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E072716A-6A4D-A941-BEFA-13F7045720FF}"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F4" i="1"/>
  <c r="BT4" i="1"/>
  <c r="BF5" i="1"/>
  <c r="BT5" i="1"/>
  <c r="BF6" i="1"/>
  <c r="BT6" i="1"/>
  <c r="BF7" i="1"/>
  <c r="BT7" i="1"/>
  <c r="BF8" i="1"/>
  <c r="BT8" i="1"/>
  <c r="BF9" i="1"/>
  <c r="BT9" i="1"/>
  <c r="BF10" i="1"/>
  <c r="BT10" i="1"/>
  <c r="BF11" i="1"/>
  <c r="BT11" i="1"/>
  <c r="BF12" i="1"/>
  <c r="BT12" i="1"/>
  <c r="BF13" i="1"/>
  <c r="BT13" i="1"/>
  <c r="BF14" i="1"/>
  <c r="BT14" i="1"/>
  <c r="BF15" i="1"/>
  <c r="BT15" i="1"/>
  <c r="BF16" i="1"/>
  <c r="BT16" i="1"/>
  <c r="BF17" i="1"/>
  <c r="BT17" i="1"/>
  <c r="BF18" i="1"/>
  <c r="BT18" i="1"/>
  <c r="BF19" i="1"/>
  <c r="BT19" i="1"/>
  <c r="BF20" i="1"/>
  <c r="BT20" i="1"/>
  <c r="BF21" i="1"/>
  <c r="BT21" i="1"/>
  <c r="BF22" i="1"/>
  <c r="BT22" i="1"/>
  <c r="BF23" i="1"/>
  <c r="BT23" i="1"/>
  <c r="BF24" i="1"/>
  <c r="BT24" i="1"/>
  <c r="BF25" i="1"/>
  <c r="BT25" i="1"/>
  <c r="BF26" i="1"/>
  <c r="BT26" i="1"/>
  <c r="BF27" i="1"/>
  <c r="BT27" i="1"/>
  <c r="BF28" i="1"/>
  <c r="BT28" i="1"/>
  <c r="BF29" i="1"/>
  <c r="BT29" i="1"/>
  <c r="BF30" i="1"/>
  <c r="BT30" i="1"/>
  <c r="BF31" i="1"/>
  <c r="BT31" i="1"/>
  <c r="BF32" i="1"/>
  <c r="BT32" i="1"/>
  <c r="BF33" i="1"/>
  <c r="BT33" i="1"/>
  <c r="BF34" i="1"/>
  <c r="BT34" i="1"/>
  <c r="BF35" i="1"/>
  <c r="BT35" i="1"/>
  <c r="BF36" i="1"/>
  <c r="BT36" i="1"/>
  <c r="BF37" i="1"/>
  <c r="BT37" i="1"/>
  <c r="BF38" i="1"/>
  <c r="BT38" i="1"/>
  <c r="BF39" i="1"/>
  <c r="BT39" i="1"/>
  <c r="BF40" i="1"/>
  <c r="BT40" i="1"/>
  <c r="BF41" i="1"/>
  <c r="BT41" i="1"/>
  <c r="BF42" i="1"/>
  <c r="BT42" i="1"/>
  <c r="BF43" i="1"/>
  <c r="BT43" i="1"/>
  <c r="BF44" i="1"/>
  <c r="BT44" i="1"/>
  <c r="BF45" i="1"/>
  <c r="BT45" i="1"/>
  <c r="BF46" i="1"/>
  <c r="BT46" i="1"/>
  <c r="BF47" i="1"/>
  <c r="BT47" i="1"/>
  <c r="BF48" i="1"/>
  <c r="BT48" i="1"/>
  <c r="BF49" i="1"/>
  <c r="BT49" i="1"/>
  <c r="BF50" i="1"/>
  <c r="BT50" i="1"/>
  <c r="BF51" i="1"/>
  <c r="BT51" i="1"/>
  <c r="BF52" i="1"/>
  <c r="BT52" i="1"/>
  <c r="BF53" i="1"/>
  <c r="BT53" i="1"/>
  <c r="BF54" i="1"/>
  <c r="BT54" i="1"/>
  <c r="BF55" i="1"/>
  <c r="BT55" i="1"/>
  <c r="BF56" i="1"/>
  <c r="BT56" i="1"/>
  <c r="BF57" i="1"/>
  <c r="BT57" i="1"/>
  <c r="BF58" i="1"/>
  <c r="BT58" i="1"/>
  <c r="BF59" i="1"/>
  <c r="BT59" i="1"/>
  <c r="BF60" i="1"/>
  <c r="BT60" i="1"/>
  <c r="BF61" i="1"/>
  <c r="BT61" i="1"/>
  <c r="BF62" i="1"/>
  <c r="BT62" i="1"/>
  <c r="BF63" i="1"/>
  <c r="BT63" i="1"/>
  <c r="BF64" i="1"/>
  <c r="BT64" i="1"/>
  <c r="BF65" i="1"/>
  <c r="BT65" i="1"/>
  <c r="BF66" i="1"/>
  <c r="BT66" i="1"/>
  <c r="BF67" i="1"/>
  <c r="BT67" i="1"/>
  <c r="BF68" i="1"/>
  <c r="BT68" i="1"/>
  <c r="BF69" i="1"/>
  <c r="BT69" i="1"/>
  <c r="BF70" i="1"/>
  <c r="BT70" i="1"/>
  <c r="BF71" i="1"/>
  <c r="BT71" i="1"/>
  <c r="BF72" i="1"/>
  <c r="BT72" i="1"/>
  <c r="BF73" i="1"/>
  <c r="BT73" i="1"/>
  <c r="BF74" i="1"/>
  <c r="BT74" i="1"/>
  <c r="BF75" i="1"/>
  <c r="BT75" i="1"/>
  <c r="BF76" i="1"/>
  <c r="BT76" i="1"/>
  <c r="BF77" i="1"/>
  <c r="BT77" i="1"/>
  <c r="BF78" i="1"/>
  <c r="BT78" i="1"/>
  <c r="BF79" i="1"/>
  <c r="BT79" i="1"/>
  <c r="BF80" i="1"/>
  <c r="BT80" i="1"/>
  <c r="BF81" i="1"/>
  <c r="BT81" i="1"/>
  <c r="BF82" i="1"/>
  <c r="BT82" i="1"/>
  <c r="BF83" i="1"/>
  <c r="BT83" i="1"/>
  <c r="BF84" i="1"/>
  <c r="BT84" i="1"/>
  <c r="BF85" i="1"/>
  <c r="BT85" i="1"/>
  <c r="BF86" i="1"/>
  <c r="BT86" i="1"/>
  <c r="BF87" i="1"/>
  <c r="BT87" i="1"/>
  <c r="BF88" i="1"/>
  <c r="BT88" i="1"/>
  <c r="BF89" i="1"/>
  <c r="BT89" i="1"/>
  <c r="BF90" i="1"/>
  <c r="BT90" i="1"/>
  <c r="BF91" i="1"/>
  <c r="BT91" i="1"/>
  <c r="BF92" i="1"/>
  <c r="BT92" i="1"/>
  <c r="BF93" i="1"/>
  <c r="BT93" i="1"/>
  <c r="BF94" i="1"/>
  <c r="BT94" i="1"/>
  <c r="BF95" i="1"/>
  <c r="BT95" i="1"/>
  <c r="BF96" i="1"/>
  <c r="BT96" i="1"/>
  <c r="BF97" i="1"/>
  <c r="BT97" i="1"/>
  <c r="BF98" i="1"/>
  <c r="BT98" i="1"/>
  <c r="BF99" i="1"/>
  <c r="BT99" i="1"/>
  <c r="BF100" i="1"/>
  <c r="BT100" i="1"/>
  <c r="BF101" i="1"/>
  <c r="BT101" i="1"/>
  <c r="BF102" i="1"/>
  <c r="BT102" i="1"/>
  <c r="BF103" i="1"/>
  <c r="BT103" i="1"/>
  <c r="BF104" i="1"/>
  <c r="BT104" i="1"/>
  <c r="BF105" i="1"/>
  <c r="BT105" i="1"/>
  <c r="BF106" i="1"/>
  <c r="BT106" i="1"/>
  <c r="BF107" i="1"/>
  <c r="BT107" i="1"/>
  <c r="BF108" i="1"/>
  <c r="BT108" i="1"/>
  <c r="BF109" i="1"/>
  <c r="BT109" i="1"/>
  <c r="BF110" i="1"/>
  <c r="BT110" i="1"/>
  <c r="BF111" i="1"/>
  <c r="BT111" i="1"/>
  <c r="BF112" i="1"/>
  <c r="BT112" i="1"/>
  <c r="BF113" i="1"/>
  <c r="BT113" i="1"/>
  <c r="BF114" i="1"/>
  <c r="BT114" i="1"/>
  <c r="BF115" i="1"/>
  <c r="BT115" i="1"/>
  <c r="BF116" i="1"/>
  <c r="BT116" i="1"/>
  <c r="BF117" i="1"/>
  <c r="BT117" i="1"/>
  <c r="BF118" i="1"/>
  <c r="BT118" i="1"/>
  <c r="BF119" i="1"/>
  <c r="BT119" i="1"/>
  <c r="BF120" i="1"/>
  <c r="BT120" i="1"/>
  <c r="BF121" i="1"/>
  <c r="BT121" i="1"/>
  <c r="BF122" i="1"/>
  <c r="BT122" i="1"/>
  <c r="BF123" i="1"/>
  <c r="BT123" i="1"/>
  <c r="BF124" i="1"/>
  <c r="BT124" i="1"/>
  <c r="BT125" i="1"/>
  <c r="BF126" i="1"/>
  <c r="BT126" i="1"/>
  <c r="BF127" i="1"/>
  <c r="BT127" i="1"/>
  <c r="BF128" i="1"/>
  <c r="BT128" i="1"/>
  <c r="BF129" i="1"/>
  <c r="BT129" i="1"/>
  <c r="BF130" i="1"/>
  <c r="BT130" i="1"/>
  <c r="BF131" i="1"/>
  <c r="BT131" i="1"/>
  <c r="BF132" i="1"/>
  <c r="BT132" i="1"/>
  <c r="BF133" i="1"/>
  <c r="BT133" i="1"/>
  <c r="BF134" i="1"/>
  <c r="BT134" i="1"/>
  <c r="BF135" i="1"/>
  <c r="BT135" i="1"/>
  <c r="BF136" i="1"/>
  <c r="BT136" i="1"/>
  <c r="BF137" i="1"/>
  <c r="BT137" i="1"/>
  <c r="BF138" i="1"/>
  <c r="BT138" i="1"/>
  <c r="BF139" i="1"/>
  <c r="BT139" i="1"/>
  <c r="BF140" i="1"/>
  <c r="BT140" i="1"/>
  <c r="BF141" i="1"/>
  <c r="BT141" i="1"/>
  <c r="BF142" i="1"/>
  <c r="BT142" i="1"/>
  <c r="BF143" i="1"/>
  <c r="BT143" i="1"/>
  <c r="BF144" i="1"/>
  <c r="BT144" i="1"/>
  <c r="BF145" i="1"/>
  <c r="BT145" i="1"/>
  <c r="BF146" i="1"/>
  <c r="BT146" i="1"/>
  <c r="BF147" i="1"/>
  <c r="BT147" i="1"/>
  <c r="BF148" i="1"/>
  <c r="BT148" i="1"/>
  <c r="BF149" i="1"/>
  <c r="BT149" i="1"/>
  <c r="BF150" i="1"/>
  <c r="BT150" i="1"/>
  <c r="BF151" i="1"/>
  <c r="BT151" i="1"/>
  <c r="BF152" i="1"/>
  <c r="BT152" i="1"/>
  <c r="BF153" i="1"/>
  <c r="BT153" i="1"/>
  <c r="BF154" i="1"/>
  <c r="BT154" i="1"/>
  <c r="BF155" i="1"/>
  <c r="BT155" i="1"/>
  <c r="BF156" i="1"/>
  <c r="BT156" i="1"/>
  <c r="BF157" i="1"/>
  <c r="BT157" i="1"/>
  <c r="BF158" i="1"/>
  <c r="BT158" i="1"/>
  <c r="BF159" i="1"/>
  <c r="BT159" i="1"/>
  <c r="BF160" i="1"/>
  <c r="BT160" i="1"/>
  <c r="BF161" i="1"/>
  <c r="BT161" i="1"/>
  <c r="BF162" i="1"/>
  <c r="BT162" i="1"/>
  <c r="BF163" i="1"/>
  <c r="BT163" i="1"/>
  <c r="BF164" i="1"/>
  <c r="BT164" i="1"/>
  <c r="BF165" i="1"/>
  <c r="BT165" i="1"/>
  <c r="BF166" i="1"/>
  <c r="BT166" i="1"/>
  <c r="BF167" i="1"/>
  <c r="BT167" i="1"/>
  <c r="BT168" i="1"/>
  <c r="BT169" i="1"/>
  <c r="BF170" i="1"/>
  <c r="BT170" i="1"/>
  <c r="BF171" i="1"/>
  <c r="BT171" i="1"/>
  <c r="BF172" i="1"/>
  <c r="BT172" i="1"/>
  <c r="BF173" i="1"/>
  <c r="BT173" i="1"/>
  <c r="BF174" i="1"/>
  <c r="BT174" i="1"/>
  <c r="BF175" i="1"/>
  <c r="BT175" i="1"/>
  <c r="BF176" i="1"/>
  <c r="BT176" i="1"/>
  <c r="BF177" i="1"/>
  <c r="BT177" i="1"/>
  <c r="BF178" i="1"/>
  <c r="BT178" i="1"/>
  <c r="BF179" i="1"/>
  <c r="BT179" i="1"/>
  <c r="BF180" i="1"/>
  <c r="BT180" i="1"/>
  <c r="BF181" i="1"/>
  <c r="BT181" i="1"/>
  <c r="BF182" i="1"/>
  <c r="BT182" i="1"/>
  <c r="BF183" i="1"/>
  <c r="BT183" i="1"/>
  <c r="BF184" i="1"/>
  <c r="BT184" i="1"/>
  <c r="BF185" i="1"/>
  <c r="BT185" i="1"/>
  <c r="BF186" i="1"/>
  <c r="BT186" i="1"/>
  <c r="BF187" i="1"/>
  <c r="BT187" i="1"/>
  <c r="BF188" i="1"/>
  <c r="BT188" i="1"/>
  <c r="BF189" i="1"/>
  <c r="BT189" i="1"/>
  <c r="BF190" i="1"/>
  <c r="BT190" i="1"/>
  <c r="BF191" i="1"/>
  <c r="BT191" i="1"/>
  <c r="BF192" i="1"/>
  <c r="BT192" i="1"/>
  <c r="BF193" i="1"/>
  <c r="BT193" i="1"/>
  <c r="BF194" i="1"/>
  <c r="BT194" i="1"/>
  <c r="BF195" i="1"/>
  <c r="BT195" i="1"/>
  <c r="BT196" i="1"/>
  <c r="BF197" i="1"/>
  <c r="BT197" i="1"/>
  <c r="BF198" i="1"/>
  <c r="BT198" i="1"/>
  <c r="BF199" i="1"/>
  <c r="BT199" i="1"/>
  <c r="BF200" i="1"/>
  <c r="BT200" i="1"/>
  <c r="BF201" i="1"/>
  <c r="BT201" i="1"/>
  <c r="BF202" i="1"/>
  <c r="BT202" i="1"/>
  <c r="BF203" i="1"/>
  <c r="BT203" i="1"/>
  <c r="BF204" i="1"/>
  <c r="BT204" i="1"/>
  <c r="BF205" i="1"/>
  <c r="BT205" i="1"/>
  <c r="BF206" i="1"/>
  <c r="BT206" i="1"/>
  <c r="BF207" i="1"/>
  <c r="BT207" i="1"/>
  <c r="BF208" i="1"/>
  <c r="BT208" i="1"/>
  <c r="BF209" i="1"/>
  <c r="BT209" i="1"/>
  <c r="BT210" i="1"/>
  <c r="BF211" i="1"/>
  <c r="BT211" i="1"/>
  <c r="BF212" i="1"/>
  <c r="BT212" i="1"/>
  <c r="BF213" i="1"/>
  <c r="BT213" i="1"/>
  <c r="BF214" i="1"/>
  <c r="BT214" i="1"/>
  <c r="BF215" i="1"/>
  <c r="BT215" i="1"/>
  <c r="BF216" i="1"/>
  <c r="BT216" i="1"/>
  <c r="BF217" i="1"/>
  <c r="BT217" i="1"/>
  <c r="BT218" i="1"/>
  <c r="BT219" i="1"/>
  <c r="BT220" i="1"/>
  <c r="BT221" i="1"/>
  <c r="BF222" i="1"/>
  <c r="BT222" i="1"/>
  <c r="BF223" i="1"/>
  <c r="BT223" i="1"/>
  <c r="BF224" i="1"/>
  <c r="BT224" i="1"/>
  <c r="BF225" i="1"/>
  <c r="BT225" i="1"/>
  <c r="BF226" i="1"/>
  <c r="BT226" i="1"/>
  <c r="BF227" i="1"/>
  <c r="BT227" i="1"/>
  <c r="BF228" i="1"/>
  <c r="BT228" i="1"/>
  <c r="BF229" i="1"/>
  <c r="BT229" i="1"/>
  <c r="BF230" i="1"/>
  <c r="BT230" i="1"/>
  <c r="BF231" i="1"/>
  <c r="BT231" i="1"/>
  <c r="BF232" i="1"/>
  <c r="BT232" i="1"/>
  <c r="BF233" i="1"/>
  <c r="BT233" i="1"/>
  <c r="BF234" i="1"/>
  <c r="BT234" i="1"/>
  <c r="BF235" i="1"/>
  <c r="BT235" i="1"/>
  <c r="BF236" i="1"/>
  <c r="BT236" i="1"/>
  <c r="BF237" i="1"/>
  <c r="BT237" i="1"/>
  <c r="BF238" i="1"/>
  <c r="BT238" i="1"/>
  <c r="BF239" i="1"/>
  <c r="BT239" i="1"/>
  <c r="BF240" i="1"/>
  <c r="BT240" i="1"/>
  <c r="BF241" i="1"/>
  <c r="BT241" i="1"/>
  <c r="BF242" i="1"/>
  <c r="BT242" i="1"/>
  <c r="BF243" i="1"/>
  <c r="BT243" i="1"/>
  <c r="BF244" i="1"/>
  <c r="BT244" i="1"/>
  <c r="BF245" i="1"/>
  <c r="BT245" i="1"/>
  <c r="BF246" i="1"/>
  <c r="BT246" i="1"/>
  <c r="BF247" i="1"/>
  <c r="BT247" i="1"/>
  <c r="BF248" i="1"/>
  <c r="BT248" i="1"/>
  <c r="BF249" i="1"/>
  <c r="BT249" i="1"/>
  <c r="BF250" i="1"/>
  <c r="BT250" i="1"/>
  <c r="BF251" i="1"/>
  <c r="BT251" i="1"/>
  <c r="BF252" i="1"/>
  <c r="BT252" i="1"/>
  <c r="BF253" i="1"/>
  <c r="BT253" i="1"/>
  <c r="BF254" i="1"/>
  <c r="BT254" i="1"/>
  <c r="BF255" i="1"/>
  <c r="BT255" i="1"/>
  <c r="BF256" i="1"/>
  <c r="BT256" i="1"/>
  <c r="BT257" i="1"/>
  <c r="BT258" i="1"/>
  <c r="BF259" i="1"/>
  <c r="BT259" i="1"/>
  <c r="BF260" i="1"/>
  <c r="BT260" i="1"/>
  <c r="BF261" i="1"/>
  <c r="BT261" i="1"/>
  <c r="BF262" i="1"/>
  <c r="BT262" i="1"/>
  <c r="BF263" i="1"/>
  <c r="BT263" i="1"/>
  <c r="BF264" i="1"/>
  <c r="BT264" i="1"/>
  <c r="BF265" i="1"/>
  <c r="BT265" i="1"/>
  <c r="BF266" i="1"/>
  <c r="BT266" i="1"/>
  <c r="BF267" i="1"/>
  <c r="BT267" i="1"/>
  <c r="BF268" i="1"/>
  <c r="BT268" i="1"/>
  <c r="BF269" i="1"/>
  <c r="BT269" i="1"/>
  <c r="BF270" i="1"/>
  <c r="BT270" i="1"/>
  <c r="BF271" i="1"/>
  <c r="BT271" i="1"/>
  <c r="BF272" i="1"/>
  <c r="BT272" i="1"/>
  <c r="BF273" i="1"/>
  <c r="BT273" i="1"/>
  <c r="BF274" i="1"/>
  <c r="BT274" i="1"/>
  <c r="BF275" i="1"/>
  <c r="BT275" i="1"/>
  <c r="BF276" i="1"/>
  <c r="BT276" i="1"/>
  <c r="BF277" i="1"/>
  <c r="BT277" i="1"/>
  <c r="BF278" i="1"/>
  <c r="BT278" i="1"/>
  <c r="BT279" i="1"/>
  <c r="BF280" i="1"/>
  <c r="BT280" i="1"/>
  <c r="BF281" i="1"/>
  <c r="BT281" i="1"/>
  <c r="BF282" i="1"/>
  <c r="BT282" i="1"/>
  <c r="BF283" i="1"/>
  <c r="BT283" i="1"/>
  <c r="BF284" i="1"/>
  <c r="BT284" i="1"/>
  <c r="BF285" i="1"/>
  <c r="BT285" i="1"/>
  <c r="BF286" i="1"/>
  <c r="BT286" i="1"/>
  <c r="BF287" i="1"/>
  <c r="BT287" i="1"/>
  <c r="BF288" i="1"/>
  <c r="BT288" i="1"/>
  <c r="BF289" i="1"/>
  <c r="BT289" i="1"/>
  <c r="BF290" i="1"/>
  <c r="BT290" i="1"/>
  <c r="BF291" i="1"/>
  <c r="BT291" i="1"/>
  <c r="BF292" i="1"/>
  <c r="BT292" i="1"/>
  <c r="BF293" i="1"/>
  <c r="BT293" i="1"/>
  <c r="BF294" i="1"/>
  <c r="BT294" i="1"/>
  <c r="BF295" i="1"/>
  <c r="BT295" i="1"/>
  <c r="BF296" i="1"/>
  <c r="BT296" i="1"/>
  <c r="BF297" i="1"/>
  <c r="BT297" i="1"/>
  <c r="BF298" i="1"/>
  <c r="BT298" i="1"/>
  <c r="BF299" i="1"/>
  <c r="BT299" i="1"/>
  <c r="BF300" i="1"/>
  <c r="BT300" i="1"/>
  <c r="BF301" i="1"/>
  <c r="BT301" i="1"/>
  <c r="BF302" i="1"/>
  <c r="BT302" i="1"/>
  <c r="BF303" i="1"/>
  <c r="BT303" i="1"/>
  <c r="BF304" i="1"/>
  <c r="BT304" i="1"/>
  <c r="BF305" i="1"/>
  <c r="BT305" i="1"/>
  <c r="BF306" i="1"/>
  <c r="BT306" i="1"/>
  <c r="BF307" i="1"/>
  <c r="BT307" i="1"/>
  <c r="BF308" i="1"/>
  <c r="BT308" i="1"/>
  <c r="BF309" i="1"/>
  <c r="BT309" i="1"/>
  <c r="BF310" i="1"/>
  <c r="BT310" i="1"/>
  <c r="BF311" i="1"/>
  <c r="BT311" i="1"/>
  <c r="BF312" i="1"/>
  <c r="BT312" i="1"/>
  <c r="BF313" i="1"/>
  <c r="BT313" i="1"/>
  <c r="BF314" i="1"/>
  <c r="BT314" i="1"/>
  <c r="BF315" i="1"/>
  <c r="BT315" i="1"/>
  <c r="BF316" i="1"/>
  <c r="BT316" i="1"/>
  <c r="BF317" i="1"/>
  <c r="BT317" i="1"/>
  <c r="BF318" i="1"/>
  <c r="BT318" i="1"/>
  <c r="BF319" i="1"/>
  <c r="BT319" i="1"/>
  <c r="BF320" i="1"/>
  <c r="BT320" i="1"/>
  <c r="BF321" i="1"/>
  <c r="BT321" i="1"/>
  <c r="BF322" i="1"/>
  <c r="BT322" i="1"/>
  <c r="BT323" i="1"/>
  <c r="BF324" i="1"/>
  <c r="BT324" i="1"/>
  <c r="BF325" i="1"/>
  <c r="BT325" i="1"/>
  <c r="BF326" i="1"/>
  <c r="BT326" i="1"/>
  <c r="BF327" i="1"/>
  <c r="BT327" i="1"/>
  <c r="BF328" i="1"/>
  <c r="BT328" i="1"/>
  <c r="BF329" i="1"/>
  <c r="BT329" i="1"/>
  <c r="BF330" i="1"/>
  <c r="BT330" i="1"/>
  <c r="BF331" i="1"/>
  <c r="BT331" i="1"/>
  <c r="BF332" i="1"/>
  <c r="BT332" i="1"/>
  <c r="BF333" i="1"/>
  <c r="BT333" i="1"/>
  <c r="BT334" i="1"/>
  <c r="BF335" i="1"/>
  <c r="BT335" i="1"/>
  <c r="BF336" i="1"/>
  <c r="BT336" i="1"/>
  <c r="BF337" i="1"/>
  <c r="BT337" i="1"/>
  <c r="BF338" i="1"/>
  <c r="BT338" i="1"/>
  <c r="BF339" i="1"/>
  <c r="BT339" i="1"/>
  <c r="BF340" i="1"/>
  <c r="BT340" i="1"/>
  <c r="BF341" i="1"/>
  <c r="BT341" i="1"/>
  <c r="BF342" i="1"/>
  <c r="BT342" i="1"/>
  <c r="BF343" i="1"/>
  <c r="BT343" i="1"/>
  <c r="BF344" i="1"/>
  <c r="BT344" i="1"/>
  <c r="BF345" i="1"/>
  <c r="BT345" i="1"/>
  <c r="BF346" i="1"/>
  <c r="BT346" i="1"/>
  <c r="BF347" i="1"/>
  <c r="BT347" i="1"/>
  <c r="BF348" i="1"/>
  <c r="BT348" i="1"/>
  <c r="BF349" i="1"/>
  <c r="BT349" i="1"/>
  <c r="BF350" i="1"/>
  <c r="BT350" i="1"/>
  <c r="BF351" i="1"/>
  <c r="BT351" i="1"/>
  <c r="BF352" i="1"/>
  <c r="BT352" i="1"/>
  <c r="BF353" i="1"/>
  <c r="BT353" i="1"/>
  <c r="BF354" i="1"/>
  <c r="BT354" i="1"/>
  <c r="BF355" i="1"/>
  <c r="BT355" i="1"/>
  <c r="BF356" i="1"/>
  <c r="BT356" i="1"/>
  <c r="BF357" i="1"/>
  <c r="BT357" i="1"/>
  <c r="BF358" i="1"/>
  <c r="BT358" i="1"/>
  <c r="BF359" i="1"/>
  <c r="BT359" i="1"/>
  <c r="BF360" i="1"/>
  <c r="BT360" i="1"/>
  <c r="BF361" i="1"/>
  <c r="BT361" i="1"/>
  <c r="BF362" i="1"/>
  <c r="BT362" i="1"/>
  <c r="BT363" i="1"/>
  <c r="BF364" i="1"/>
  <c r="BT364" i="1"/>
  <c r="BT365" i="1"/>
  <c r="BF366" i="1"/>
  <c r="BT366" i="1"/>
  <c r="BF367" i="1"/>
  <c r="BT367" i="1"/>
  <c r="BF368" i="1"/>
  <c r="BT368" i="1"/>
  <c r="BF369" i="1"/>
  <c r="BT369" i="1"/>
  <c r="BF370" i="1"/>
  <c r="BT370" i="1"/>
  <c r="BF371" i="1"/>
  <c r="BT371" i="1"/>
  <c r="BF372" i="1"/>
  <c r="BT372" i="1"/>
  <c r="BF373" i="1"/>
  <c r="BT373" i="1"/>
  <c r="BF374" i="1"/>
  <c r="BT374" i="1"/>
  <c r="BF375" i="1"/>
  <c r="BT375" i="1"/>
  <c r="BF376" i="1"/>
  <c r="BT376" i="1"/>
  <c r="BF377" i="1"/>
  <c r="BT377" i="1"/>
  <c r="BF378" i="1"/>
  <c r="BT378" i="1"/>
  <c r="BF379" i="1"/>
  <c r="BT379" i="1"/>
  <c r="BF380" i="1"/>
  <c r="BT380" i="1"/>
  <c r="BF381" i="1"/>
  <c r="BT381" i="1"/>
  <c r="BF382" i="1"/>
  <c r="BT382" i="1"/>
  <c r="BT383" i="1"/>
  <c r="BF384" i="1"/>
  <c r="BT384" i="1"/>
  <c r="BF385" i="1"/>
  <c r="BT385" i="1"/>
  <c r="BF386" i="1"/>
  <c r="BT386" i="1"/>
  <c r="BF387" i="1"/>
  <c r="BT387" i="1"/>
  <c r="BF388" i="1"/>
  <c r="BT388" i="1"/>
  <c r="BF389" i="1"/>
  <c r="BT389" i="1"/>
  <c r="BF390" i="1"/>
  <c r="BT390" i="1"/>
  <c r="BF391" i="1"/>
  <c r="BT391" i="1"/>
  <c r="BF392" i="1"/>
  <c r="BT392" i="1"/>
  <c r="BF393" i="1"/>
  <c r="BT393" i="1"/>
  <c r="BF394" i="1"/>
  <c r="BT394" i="1"/>
  <c r="BF395" i="1"/>
  <c r="BT395" i="1"/>
  <c r="BF396" i="1"/>
  <c r="BT396" i="1"/>
  <c r="BF397" i="1"/>
  <c r="BT397" i="1"/>
  <c r="BF398" i="1"/>
  <c r="BT398" i="1"/>
  <c r="BF399" i="1"/>
  <c r="BT399" i="1"/>
  <c r="BF400" i="1"/>
  <c r="BT400" i="1"/>
  <c r="BF401" i="1"/>
  <c r="BT401" i="1"/>
  <c r="BF402" i="1"/>
  <c r="BT402" i="1"/>
  <c r="BF403" i="1"/>
  <c r="BT403" i="1"/>
  <c r="BF404" i="1"/>
  <c r="BT404" i="1"/>
  <c r="BF405" i="1"/>
  <c r="BT405" i="1"/>
  <c r="BF406" i="1"/>
  <c r="BT406" i="1"/>
  <c r="BF407" i="1"/>
  <c r="BT407" i="1"/>
  <c r="BF408" i="1"/>
  <c r="BT408" i="1"/>
  <c r="BF409" i="1"/>
  <c r="BT409" i="1"/>
  <c r="BF410" i="1"/>
  <c r="BT410" i="1"/>
  <c r="BF411" i="1"/>
  <c r="BT411" i="1"/>
  <c r="BF412" i="1"/>
  <c r="BT412" i="1"/>
  <c r="BF413" i="1"/>
  <c r="BT413" i="1"/>
  <c r="BF414" i="1"/>
  <c r="BT414" i="1"/>
  <c r="BF415" i="1"/>
  <c r="BT415" i="1"/>
  <c r="BF416" i="1"/>
  <c r="BT416" i="1"/>
  <c r="BF417" i="1"/>
  <c r="BT417" i="1"/>
  <c r="BF418" i="1"/>
  <c r="BT418" i="1"/>
  <c r="BF419" i="1"/>
  <c r="BT419" i="1"/>
  <c r="BF420" i="1"/>
  <c r="BT420" i="1"/>
  <c r="BF421" i="1"/>
  <c r="BT421" i="1"/>
  <c r="BF422" i="1"/>
  <c r="BT422" i="1"/>
  <c r="BF423" i="1"/>
  <c r="BT423" i="1"/>
  <c r="BF424" i="1"/>
  <c r="BT424" i="1"/>
  <c r="BF425" i="1"/>
  <c r="BT425" i="1"/>
  <c r="BF426" i="1"/>
  <c r="BT426" i="1"/>
  <c r="BF427" i="1"/>
  <c r="BT427" i="1"/>
  <c r="BF428" i="1"/>
  <c r="BT428" i="1"/>
  <c r="BF429" i="1"/>
  <c r="BT429" i="1"/>
  <c r="BF430" i="1"/>
  <c r="BT430" i="1"/>
  <c r="BF431" i="1"/>
  <c r="BT431" i="1"/>
  <c r="BF432" i="1"/>
  <c r="BT432" i="1"/>
  <c r="BF433" i="1"/>
  <c r="BT433" i="1"/>
  <c r="BF434" i="1"/>
  <c r="BT434" i="1"/>
  <c r="BF435" i="1"/>
  <c r="BT435" i="1"/>
  <c r="BF436" i="1"/>
  <c r="BT436" i="1"/>
  <c r="BF437" i="1"/>
  <c r="BT437" i="1"/>
  <c r="BF438" i="1"/>
  <c r="BT438" i="1"/>
  <c r="BF439" i="1"/>
  <c r="BT439" i="1"/>
  <c r="BF440" i="1"/>
  <c r="BT440" i="1"/>
  <c r="BF441" i="1"/>
  <c r="BT441" i="1"/>
  <c r="BF442" i="1"/>
  <c r="BT442" i="1"/>
  <c r="BF443" i="1"/>
  <c r="BT443" i="1"/>
  <c r="BF444" i="1"/>
  <c r="BT444" i="1"/>
  <c r="BF445" i="1"/>
  <c r="BT445" i="1"/>
  <c r="BF446" i="1"/>
  <c r="BT446" i="1"/>
  <c r="BF447" i="1"/>
  <c r="BT447" i="1"/>
  <c r="BF448" i="1"/>
  <c r="BT448" i="1"/>
  <c r="BF449" i="1"/>
  <c r="BT449" i="1"/>
  <c r="BF450" i="1"/>
  <c r="BT450" i="1"/>
  <c r="BF451" i="1"/>
  <c r="BT451" i="1"/>
  <c r="BF452" i="1"/>
  <c r="BT452" i="1"/>
  <c r="BF453" i="1"/>
  <c r="BT453" i="1"/>
  <c r="BF454" i="1"/>
  <c r="BT454" i="1"/>
  <c r="BF455" i="1"/>
  <c r="BT455" i="1"/>
  <c r="BF456" i="1"/>
  <c r="BT456" i="1"/>
  <c r="BF457" i="1"/>
  <c r="BT457" i="1"/>
  <c r="BF458" i="1"/>
  <c r="BT458" i="1"/>
  <c r="BF459" i="1"/>
  <c r="BT459" i="1"/>
  <c r="BF460" i="1"/>
  <c r="BT460" i="1"/>
  <c r="BF461" i="1"/>
  <c r="BT461" i="1"/>
  <c r="BF462" i="1"/>
  <c r="BT462" i="1"/>
  <c r="BF463" i="1"/>
  <c r="BT463" i="1"/>
  <c r="BF464" i="1"/>
  <c r="BT464" i="1"/>
  <c r="BF465" i="1"/>
  <c r="BT465" i="1"/>
  <c r="BF466" i="1"/>
  <c r="BT466" i="1"/>
  <c r="BF467" i="1"/>
  <c r="BT467" i="1"/>
  <c r="BF468" i="1"/>
  <c r="BT468" i="1"/>
  <c r="BF469" i="1"/>
  <c r="BT469" i="1"/>
  <c r="BF470" i="1"/>
  <c r="BT470" i="1"/>
  <c r="BF471" i="1"/>
  <c r="BT471" i="1"/>
  <c r="BF472" i="1"/>
  <c r="BT472" i="1"/>
  <c r="BT473" i="1"/>
  <c r="BF474" i="1"/>
  <c r="BT474" i="1"/>
  <c r="BF475" i="1"/>
  <c r="BT475" i="1"/>
  <c r="BF476" i="1"/>
  <c r="BT476" i="1"/>
  <c r="BF477" i="1"/>
  <c r="BT477" i="1"/>
  <c r="BF478" i="1"/>
  <c r="BT478" i="1"/>
  <c r="BF479" i="1"/>
  <c r="BT479" i="1"/>
  <c r="BF480" i="1"/>
  <c r="BT480" i="1"/>
  <c r="BF481" i="1"/>
  <c r="BT481" i="1"/>
  <c r="BF482" i="1"/>
  <c r="BT482" i="1"/>
  <c r="BF483" i="1"/>
  <c r="BT483" i="1"/>
  <c r="BF484" i="1"/>
  <c r="BT484" i="1"/>
  <c r="BF485" i="1"/>
  <c r="BT485" i="1"/>
  <c r="BF486" i="1"/>
  <c r="BT486" i="1"/>
  <c r="BF487" i="1"/>
  <c r="BT487" i="1"/>
  <c r="BF488" i="1"/>
  <c r="BT488" i="1"/>
  <c r="BF489" i="1"/>
  <c r="BT489" i="1"/>
  <c r="BF490" i="1"/>
  <c r="BT490" i="1"/>
  <c r="BF491" i="1"/>
  <c r="BT491" i="1"/>
  <c r="BF492" i="1"/>
  <c r="BT492" i="1"/>
  <c r="BF493" i="1"/>
  <c r="BT493" i="1"/>
  <c r="BF494" i="1"/>
  <c r="BT494" i="1"/>
  <c r="BF495" i="1"/>
  <c r="BT495" i="1"/>
  <c r="BF496" i="1"/>
  <c r="BT496" i="1"/>
  <c r="BF497" i="1"/>
  <c r="BT497" i="1"/>
  <c r="BF498" i="1"/>
  <c r="BT498" i="1"/>
  <c r="BF499" i="1"/>
  <c r="BT499" i="1"/>
  <c r="BF500" i="1"/>
  <c r="BT500" i="1"/>
  <c r="BF501" i="1"/>
  <c r="BT501" i="1"/>
  <c r="BF502" i="1"/>
  <c r="BT502" i="1"/>
  <c r="BF503" i="1"/>
  <c r="BT503" i="1"/>
  <c r="BF504" i="1"/>
  <c r="BT504" i="1"/>
  <c r="BF505" i="1"/>
  <c r="BT505" i="1"/>
  <c r="BF506" i="1"/>
  <c r="BT506" i="1"/>
  <c r="BF507" i="1"/>
  <c r="BT507" i="1"/>
  <c r="BF508" i="1"/>
  <c r="BT508" i="1"/>
  <c r="BF509" i="1"/>
  <c r="BT509" i="1"/>
  <c r="BF510" i="1"/>
  <c r="BT510" i="1"/>
  <c r="BF511" i="1"/>
  <c r="BT511" i="1"/>
  <c r="BF512" i="1"/>
  <c r="BT512" i="1"/>
  <c r="BT513" i="1"/>
  <c r="BF514" i="1"/>
  <c r="BT514" i="1"/>
  <c r="BF515" i="1"/>
  <c r="BT515" i="1"/>
  <c r="BF516" i="1"/>
  <c r="BT516" i="1"/>
  <c r="BF517" i="1"/>
  <c r="BT517" i="1"/>
  <c r="BF518" i="1"/>
  <c r="BT518" i="1"/>
  <c r="BF519" i="1"/>
  <c r="BT519" i="1"/>
  <c r="BF520" i="1"/>
  <c r="BT520" i="1"/>
  <c r="BF521" i="1"/>
  <c r="BT521" i="1"/>
  <c r="BF522" i="1"/>
  <c r="BT522" i="1"/>
  <c r="BF523" i="1"/>
  <c r="BT523" i="1"/>
  <c r="BF524" i="1"/>
  <c r="BT524" i="1"/>
  <c r="BF525" i="1"/>
  <c r="BT525" i="1"/>
  <c r="BF526" i="1"/>
  <c r="BT526" i="1"/>
  <c r="BF527" i="1"/>
  <c r="BT527" i="1"/>
  <c r="BF528" i="1"/>
  <c r="BT528" i="1"/>
  <c r="BF529" i="1"/>
  <c r="BT529" i="1"/>
  <c r="BF530" i="1"/>
  <c r="BT530" i="1"/>
  <c r="BF531" i="1"/>
  <c r="BT531" i="1"/>
  <c r="BF532" i="1"/>
  <c r="BT532" i="1"/>
  <c r="BF533" i="1"/>
  <c r="BT533" i="1"/>
  <c r="BF534" i="1"/>
  <c r="BT534" i="1"/>
  <c r="BF535" i="1"/>
  <c r="BT535" i="1"/>
  <c r="BF536" i="1"/>
  <c r="BT536" i="1"/>
  <c r="BF537" i="1"/>
  <c r="BT537" i="1"/>
  <c r="BF538" i="1"/>
  <c r="BT538" i="1"/>
  <c r="BF539" i="1"/>
  <c r="BT539" i="1"/>
  <c r="BF540" i="1"/>
  <c r="BT540" i="1"/>
  <c r="BF541" i="1"/>
  <c r="BT541" i="1"/>
  <c r="BF542" i="1"/>
  <c r="BT542" i="1"/>
  <c r="BF543" i="1"/>
  <c r="BT543" i="1"/>
  <c r="BF544" i="1"/>
  <c r="BT544" i="1"/>
  <c r="BF545" i="1"/>
  <c r="BT545" i="1"/>
  <c r="BF546" i="1"/>
  <c r="BT546" i="1"/>
  <c r="BF547" i="1"/>
  <c r="BT547" i="1"/>
  <c r="BF548" i="1"/>
  <c r="BT548" i="1"/>
  <c r="BF549" i="1"/>
  <c r="BT549" i="1"/>
  <c r="BF550" i="1"/>
  <c r="BT550" i="1"/>
  <c r="BF551" i="1"/>
  <c r="BT551" i="1"/>
  <c r="BF552" i="1"/>
  <c r="BT552" i="1"/>
  <c r="BF553" i="1"/>
  <c r="BT553" i="1"/>
  <c r="BF554" i="1"/>
  <c r="BT554" i="1"/>
  <c r="BF555" i="1"/>
  <c r="BT555" i="1"/>
  <c r="BF556" i="1"/>
  <c r="BT556" i="1"/>
  <c r="BF557" i="1"/>
  <c r="BT557" i="1"/>
  <c r="BF558" i="1"/>
  <c r="BT558" i="1"/>
  <c r="BF559" i="1"/>
  <c r="BT559" i="1"/>
  <c r="BT560" i="1"/>
  <c r="BT561" i="1"/>
  <c r="BF562" i="1"/>
  <c r="BT562" i="1"/>
  <c r="BF563" i="1"/>
  <c r="BT563" i="1"/>
  <c r="BF564" i="1"/>
  <c r="BT564" i="1"/>
  <c r="BF565" i="1"/>
  <c r="BT565" i="1"/>
  <c r="BF566" i="1"/>
  <c r="BT566" i="1"/>
  <c r="BF567" i="1"/>
  <c r="BT567" i="1"/>
  <c r="BF568" i="1"/>
  <c r="BT568" i="1"/>
  <c r="BF569" i="1"/>
  <c r="BT569" i="1"/>
  <c r="BF570" i="1"/>
  <c r="BT570" i="1"/>
  <c r="BF571" i="1"/>
  <c r="BT571" i="1"/>
  <c r="BF572" i="1"/>
  <c r="BT572" i="1"/>
  <c r="BF573" i="1"/>
  <c r="BT573" i="1"/>
  <c r="BF574" i="1"/>
  <c r="BT574" i="1"/>
  <c r="BF575" i="1"/>
  <c r="BT575" i="1"/>
  <c r="BF576" i="1"/>
  <c r="BT576" i="1"/>
  <c r="BF577" i="1"/>
  <c r="BT577" i="1"/>
  <c r="BF578" i="1"/>
  <c r="BT578" i="1"/>
  <c r="BF579" i="1"/>
  <c r="BT579" i="1"/>
  <c r="BF580" i="1"/>
  <c r="BT580" i="1"/>
  <c r="BF581" i="1"/>
  <c r="BT581" i="1"/>
  <c r="BF582" i="1"/>
  <c r="BT582" i="1"/>
  <c r="BF583" i="1"/>
  <c r="BT583" i="1"/>
  <c r="BF584" i="1"/>
  <c r="BT584" i="1"/>
  <c r="BT585" i="1"/>
  <c r="BF586" i="1"/>
  <c r="BT586" i="1"/>
  <c r="BF587" i="1"/>
  <c r="BT587" i="1"/>
  <c r="BF588" i="1"/>
  <c r="BT588" i="1"/>
  <c r="BF589" i="1"/>
  <c r="BT589" i="1"/>
  <c r="BF590" i="1"/>
  <c r="BT590" i="1"/>
  <c r="BF591" i="1"/>
  <c r="BT591" i="1"/>
  <c r="BF592" i="1"/>
  <c r="BT592" i="1"/>
  <c r="BF593" i="1"/>
  <c r="BT593" i="1"/>
  <c r="BF594" i="1"/>
  <c r="BT594" i="1"/>
  <c r="BF595" i="1"/>
  <c r="BT595" i="1"/>
  <c r="BF596" i="1"/>
  <c r="BT596" i="1"/>
  <c r="BF597" i="1"/>
  <c r="BT597" i="1"/>
  <c r="BF598" i="1"/>
  <c r="BT598" i="1"/>
  <c r="BF599" i="1"/>
  <c r="BT599" i="1"/>
  <c r="BF600" i="1"/>
  <c r="BT600" i="1"/>
  <c r="BF601" i="1"/>
  <c r="BT601" i="1"/>
  <c r="BF602" i="1"/>
  <c r="BT602" i="1"/>
  <c r="BF603" i="1"/>
  <c r="BT603" i="1"/>
  <c r="BF604" i="1"/>
  <c r="BT604" i="1"/>
  <c r="BF605" i="1"/>
  <c r="BT605" i="1"/>
  <c r="BF606" i="1"/>
  <c r="BT606" i="1"/>
  <c r="BF607" i="1"/>
  <c r="BT607" i="1"/>
  <c r="BF608" i="1"/>
  <c r="BT608" i="1"/>
  <c r="BF609" i="1"/>
  <c r="BT609" i="1"/>
  <c r="BF610" i="1"/>
  <c r="BT610" i="1"/>
  <c r="BF611" i="1"/>
  <c r="BT611" i="1"/>
  <c r="BF612" i="1"/>
  <c r="BT612" i="1"/>
  <c r="BF613" i="1"/>
  <c r="BT613" i="1"/>
  <c r="BF614" i="1"/>
  <c r="BT614" i="1"/>
  <c r="BF615" i="1"/>
  <c r="BT615" i="1"/>
  <c r="BF616" i="1"/>
  <c r="BT616" i="1"/>
  <c r="BF617" i="1"/>
  <c r="BT617" i="1"/>
  <c r="BF618" i="1"/>
  <c r="BT618" i="1"/>
  <c r="BF619" i="1"/>
  <c r="BT619" i="1"/>
  <c r="BF620" i="1"/>
  <c r="BT620" i="1"/>
  <c r="BF621" i="1"/>
  <c r="BT621" i="1"/>
  <c r="BF622" i="1"/>
  <c r="BT622" i="1"/>
  <c r="BF623" i="1"/>
  <c r="BT623" i="1"/>
  <c r="BF624" i="1"/>
  <c r="BT624" i="1"/>
  <c r="BF625" i="1"/>
  <c r="BT625" i="1"/>
  <c r="BF626" i="1"/>
  <c r="BT626" i="1"/>
  <c r="BF627" i="1"/>
  <c r="BT627" i="1"/>
  <c r="BF628" i="1"/>
  <c r="BT628" i="1"/>
  <c r="BF629" i="1"/>
  <c r="BT629" i="1"/>
  <c r="BF630" i="1"/>
  <c r="BT630" i="1"/>
  <c r="BF631" i="1"/>
  <c r="BT631" i="1"/>
  <c r="BF632" i="1"/>
  <c r="BT632" i="1"/>
  <c r="BF633" i="1"/>
  <c r="BT633" i="1"/>
  <c r="BF634" i="1"/>
  <c r="BT634" i="1"/>
  <c r="BF635" i="1"/>
  <c r="BT635" i="1"/>
  <c r="BF636" i="1"/>
  <c r="BT636" i="1"/>
  <c r="BF637" i="1"/>
  <c r="BT637" i="1"/>
  <c r="BF638" i="1"/>
  <c r="BT638" i="1"/>
  <c r="BF639" i="1"/>
  <c r="BT639" i="1"/>
  <c r="BF640" i="1"/>
  <c r="BT640" i="1"/>
  <c r="BF641" i="1"/>
  <c r="BT641" i="1"/>
  <c r="BF642" i="1"/>
  <c r="BT642" i="1"/>
  <c r="BF643" i="1"/>
  <c r="BT643" i="1"/>
  <c r="BF644" i="1"/>
  <c r="BT644" i="1"/>
  <c r="BF645" i="1"/>
  <c r="BT645" i="1"/>
  <c r="BF646" i="1"/>
  <c r="BT646" i="1"/>
  <c r="BF647" i="1"/>
  <c r="BT647" i="1"/>
  <c r="BF648" i="1"/>
  <c r="BT648" i="1"/>
  <c r="BF649" i="1"/>
  <c r="BT649" i="1"/>
  <c r="BF650" i="1"/>
  <c r="BT650" i="1"/>
  <c r="BF651" i="1"/>
  <c r="BT651" i="1"/>
  <c r="BF652" i="1"/>
  <c r="BT652" i="1"/>
  <c r="BT653" i="1"/>
  <c r="BF654" i="1"/>
  <c r="BT654" i="1"/>
  <c r="BF655" i="1"/>
  <c r="BT655" i="1"/>
  <c r="BF656" i="1"/>
  <c r="BT656" i="1"/>
  <c r="BF657" i="1"/>
  <c r="BT657" i="1"/>
  <c r="BF658" i="1"/>
  <c r="BT658" i="1"/>
  <c r="BF659" i="1"/>
  <c r="BT659" i="1"/>
  <c r="BF660" i="1"/>
  <c r="BT660" i="1"/>
  <c r="BF661" i="1"/>
  <c r="BT661" i="1"/>
  <c r="BF662" i="1"/>
  <c r="BT662" i="1"/>
  <c r="BF663" i="1"/>
  <c r="BT663" i="1"/>
  <c r="BF664" i="1"/>
  <c r="BT664" i="1"/>
  <c r="BF665" i="1"/>
  <c r="BT665" i="1"/>
  <c r="BF666" i="1"/>
  <c r="BT666" i="1"/>
  <c r="BF667" i="1"/>
  <c r="BT667" i="1"/>
  <c r="BF668" i="1"/>
  <c r="BT668" i="1"/>
  <c r="BF669" i="1"/>
  <c r="BT669" i="1"/>
  <c r="BF670" i="1"/>
  <c r="BT670" i="1"/>
  <c r="BF671" i="1"/>
  <c r="BT671" i="1"/>
  <c r="BF672" i="1"/>
  <c r="BT672" i="1"/>
  <c r="BF673" i="1"/>
  <c r="BT673" i="1"/>
  <c r="BF674" i="1"/>
  <c r="BT674" i="1"/>
  <c r="BF675" i="1"/>
  <c r="BT675" i="1"/>
  <c r="BF676" i="1"/>
  <c r="BT676" i="1"/>
  <c r="BF677" i="1"/>
  <c r="BT677" i="1"/>
  <c r="BF678" i="1"/>
  <c r="BT678" i="1"/>
  <c r="BT679" i="1"/>
  <c r="BF680" i="1"/>
  <c r="BT680" i="1"/>
  <c r="BF681" i="1"/>
  <c r="BT681" i="1"/>
  <c r="BT682" i="1"/>
  <c r="BF683" i="1"/>
  <c r="BT683" i="1"/>
  <c r="BF684" i="1"/>
  <c r="BT684" i="1"/>
  <c r="BF685" i="1"/>
  <c r="BT685" i="1"/>
  <c r="BF686" i="1"/>
  <c r="BT686" i="1"/>
  <c r="BF687" i="1"/>
  <c r="BT687" i="1"/>
  <c r="BF688" i="1"/>
  <c r="BT688" i="1"/>
  <c r="BF689" i="1"/>
  <c r="BT689" i="1"/>
  <c r="BF690" i="1"/>
  <c r="BT690" i="1"/>
  <c r="BF691" i="1"/>
  <c r="BT691" i="1"/>
  <c r="BF692" i="1"/>
  <c r="BT692" i="1"/>
  <c r="BF693" i="1"/>
  <c r="BT693" i="1"/>
  <c r="BF694" i="1"/>
  <c r="BT694" i="1"/>
  <c r="BF695" i="1"/>
  <c r="BT695" i="1"/>
  <c r="BT696" i="1"/>
  <c r="BF697" i="1"/>
  <c r="BT697" i="1"/>
  <c r="BF698" i="1"/>
  <c r="BT698" i="1"/>
  <c r="BF699" i="1"/>
  <c r="BT699" i="1"/>
  <c r="BF700" i="1"/>
  <c r="BT700" i="1"/>
  <c r="BF701" i="1"/>
  <c r="BT701" i="1"/>
  <c r="BF702" i="1"/>
  <c r="BT702" i="1"/>
  <c r="BF703" i="1"/>
  <c r="BT703" i="1"/>
  <c r="BF704" i="1"/>
  <c r="BT704" i="1"/>
  <c r="BF705" i="1"/>
  <c r="BT705" i="1"/>
  <c r="BF706" i="1"/>
  <c r="BT706" i="1"/>
  <c r="BT707" i="1"/>
  <c r="BF708" i="1"/>
  <c r="BT708" i="1"/>
  <c r="BF709" i="1"/>
  <c r="BT709" i="1"/>
  <c r="BF710" i="1"/>
  <c r="BT710" i="1"/>
  <c r="BF711" i="1"/>
  <c r="BT711" i="1"/>
  <c r="BF712" i="1"/>
  <c r="BT712" i="1"/>
  <c r="BF713" i="1"/>
  <c r="BT713" i="1"/>
  <c r="BF714" i="1"/>
  <c r="BT714" i="1"/>
  <c r="BF715" i="1"/>
  <c r="BT715" i="1"/>
  <c r="BF716" i="1"/>
  <c r="BT716" i="1"/>
  <c r="BF717" i="1"/>
  <c r="BT717" i="1"/>
  <c r="BF718" i="1"/>
  <c r="BT718" i="1"/>
  <c r="BF719" i="1"/>
  <c r="BT719" i="1"/>
  <c r="BF720" i="1"/>
  <c r="BT720" i="1"/>
  <c r="BF721" i="1"/>
  <c r="BT721" i="1"/>
  <c r="BF722" i="1"/>
  <c r="BT722" i="1"/>
  <c r="BF723" i="1"/>
  <c r="BT723" i="1"/>
  <c r="BF724" i="1"/>
  <c r="BT724" i="1"/>
  <c r="BF725" i="1"/>
  <c r="BT725" i="1"/>
  <c r="BF726" i="1"/>
  <c r="BT726" i="1"/>
  <c r="BF727" i="1"/>
  <c r="BT727" i="1"/>
  <c r="BF728" i="1"/>
  <c r="BT728" i="1"/>
  <c r="BF729" i="1"/>
  <c r="BT729" i="1"/>
  <c r="BF730" i="1"/>
  <c r="BT730" i="1"/>
  <c r="BF731" i="1"/>
  <c r="BT731" i="1"/>
  <c r="BF732" i="1"/>
  <c r="BT732" i="1"/>
  <c r="BF733" i="1"/>
  <c r="BT733" i="1"/>
  <c r="BF734" i="1"/>
  <c r="BT734" i="1"/>
  <c r="BF735" i="1"/>
  <c r="BT735" i="1"/>
  <c r="BF736" i="1"/>
  <c r="BT736" i="1"/>
  <c r="BF737" i="1"/>
  <c r="BT737" i="1"/>
  <c r="BF738" i="1"/>
  <c r="BT738" i="1"/>
  <c r="BF739" i="1"/>
  <c r="BT739" i="1"/>
  <c r="BF740" i="1"/>
  <c r="BT740" i="1"/>
  <c r="BF741" i="1"/>
  <c r="BT741" i="1"/>
  <c r="BF742" i="1"/>
  <c r="BT742" i="1"/>
  <c r="BF743" i="1"/>
  <c r="BT743" i="1"/>
  <c r="BF744" i="1"/>
  <c r="BT744" i="1"/>
  <c r="BF745" i="1"/>
  <c r="BT745" i="1"/>
  <c r="BF746" i="1"/>
  <c r="BT746" i="1"/>
  <c r="BF747" i="1"/>
  <c r="BT747" i="1"/>
  <c r="BF748" i="1"/>
  <c r="BT748" i="1"/>
  <c r="BF749" i="1"/>
  <c r="BT749" i="1"/>
  <c r="BF750" i="1"/>
  <c r="BT750" i="1"/>
  <c r="BF751" i="1"/>
  <c r="BT751" i="1"/>
  <c r="BF752" i="1"/>
  <c r="BT752" i="1"/>
  <c r="BF753" i="1"/>
  <c r="BT753" i="1"/>
  <c r="BF754" i="1"/>
  <c r="BT754" i="1"/>
  <c r="BF755" i="1"/>
  <c r="BT755" i="1"/>
  <c r="BF756" i="1"/>
  <c r="BT756" i="1"/>
  <c r="BF757" i="1"/>
  <c r="BT757" i="1"/>
  <c r="BF758" i="1"/>
  <c r="BT758" i="1"/>
  <c r="BF759" i="1"/>
  <c r="BT759" i="1"/>
  <c r="BF760" i="1"/>
  <c r="BT760" i="1"/>
  <c r="BF761" i="1"/>
  <c r="BT761" i="1"/>
  <c r="BF762" i="1"/>
  <c r="BT762" i="1"/>
  <c r="BF763" i="1"/>
  <c r="BT763" i="1"/>
  <c r="BF764" i="1"/>
  <c r="BT764" i="1"/>
  <c r="BF765" i="1"/>
  <c r="BT765" i="1"/>
  <c r="BF766" i="1"/>
  <c r="BT766" i="1"/>
  <c r="BF767" i="1"/>
  <c r="BT767" i="1"/>
  <c r="BF768" i="1"/>
  <c r="BT768" i="1"/>
  <c r="BF769" i="1"/>
  <c r="BT769" i="1"/>
  <c r="BF770" i="1"/>
  <c r="BT770" i="1"/>
  <c r="BF771" i="1"/>
  <c r="BT771" i="1"/>
  <c r="BF772" i="1"/>
  <c r="BT772" i="1"/>
  <c r="BF773" i="1"/>
  <c r="BT773" i="1"/>
  <c r="BF774" i="1"/>
  <c r="BT774" i="1"/>
  <c r="BF775" i="1"/>
  <c r="BT775" i="1"/>
  <c r="BF776" i="1"/>
  <c r="BT776" i="1"/>
  <c r="BF777" i="1"/>
  <c r="BT777" i="1"/>
  <c r="BT778" i="1"/>
  <c r="BF779" i="1"/>
  <c r="BT779" i="1"/>
  <c r="BT780" i="1"/>
  <c r="BF781" i="1"/>
  <c r="BT781" i="1"/>
  <c r="BF782" i="1"/>
  <c r="BT782" i="1"/>
  <c r="BF783" i="1"/>
  <c r="BT783" i="1"/>
  <c r="BF784" i="1"/>
  <c r="BT784" i="1"/>
  <c r="BF785" i="1"/>
  <c r="BT785" i="1"/>
  <c r="BF786" i="1"/>
  <c r="BT786" i="1"/>
  <c r="BF787" i="1"/>
  <c r="BT787" i="1"/>
  <c r="BF788" i="1"/>
  <c r="BT788" i="1"/>
  <c r="BF789" i="1"/>
  <c r="BT789" i="1"/>
  <c r="BF790" i="1"/>
  <c r="BT790" i="1"/>
  <c r="BF791" i="1"/>
  <c r="BT791" i="1"/>
  <c r="BF792" i="1"/>
  <c r="BT792" i="1"/>
  <c r="BF793" i="1"/>
  <c r="BT793" i="1"/>
  <c r="BF794" i="1"/>
  <c r="BT794" i="1"/>
  <c r="BF795" i="1"/>
  <c r="BT795" i="1"/>
  <c r="BF796" i="1"/>
  <c r="BT796" i="1"/>
  <c r="BF797" i="1"/>
  <c r="BT797" i="1"/>
  <c r="BF798" i="1"/>
  <c r="BT798" i="1"/>
  <c r="BT799" i="1"/>
  <c r="BF800" i="1"/>
  <c r="BT800" i="1"/>
  <c r="BF801" i="1"/>
  <c r="BT801" i="1"/>
  <c r="BT802" i="1"/>
  <c r="BF803" i="1"/>
  <c r="BT803" i="1"/>
  <c r="BF804" i="1"/>
  <c r="BT804" i="1"/>
  <c r="BF805" i="1"/>
  <c r="BT805" i="1"/>
  <c r="BF806" i="1"/>
  <c r="BT806" i="1"/>
  <c r="BF807" i="1"/>
  <c r="BT807" i="1"/>
  <c r="BT808" i="1"/>
  <c r="BF809" i="1"/>
  <c r="BT809" i="1"/>
  <c r="BF810" i="1"/>
  <c r="BT810" i="1"/>
  <c r="BF811" i="1"/>
  <c r="BT811" i="1"/>
  <c r="BF812" i="1"/>
  <c r="BT812" i="1"/>
  <c r="BF813" i="1"/>
  <c r="BT813" i="1"/>
  <c r="BF814" i="1"/>
  <c r="BT814" i="1"/>
  <c r="BF815" i="1"/>
  <c r="BT815" i="1"/>
  <c r="BF816" i="1"/>
  <c r="BT816" i="1"/>
  <c r="BF817" i="1"/>
  <c r="BT817" i="1"/>
  <c r="BF818" i="1"/>
  <c r="BT818" i="1"/>
  <c r="BF819" i="1"/>
  <c r="BT819" i="1"/>
  <c r="BF820" i="1"/>
  <c r="BT820" i="1"/>
  <c r="BF821" i="1"/>
  <c r="BT821" i="1"/>
  <c r="BF822" i="1"/>
  <c r="BT822" i="1"/>
  <c r="BF823" i="1"/>
  <c r="BT823" i="1"/>
  <c r="BF824" i="1"/>
  <c r="BT824" i="1"/>
  <c r="BF825" i="1"/>
  <c r="BT825" i="1"/>
  <c r="BF826" i="1"/>
  <c r="BT826" i="1"/>
  <c r="BF827" i="1"/>
  <c r="BT827" i="1"/>
  <c r="BF828" i="1"/>
  <c r="BT828" i="1"/>
  <c r="BF829" i="1"/>
  <c r="BT829" i="1"/>
  <c r="BF830" i="1"/>
  <c r="BT830" i="1"/>
  <c r="BF831" i="1"/>
  <c r="BT831" i="1"/>
  <c r="BF832" i="1"/>
  <c r="BT832" i="1"/>
  <c r="BF833" i="1"/>
  <c r="BT833" i="1"/>
  <c r="BT834" i="1"/>
  <c r="BF835" i="1"/>
  <c r="BT835" i="1"/>
  <c r="BF836" i="1"/>
  <c r="BT836" i="1"/>
  <c r="BF837" i="1"/>
  <c r="BT837" i="1"/>
  <c r="BF838" i="1"/>
  <c r="BT838" i="1"/>
  <c r="BF839" i="1"/>
  <c r="BT839" i="1"/>
  <c r="BF840" i="1"/>
  <c r="BT840" i="1"/>
  <c r="BF841" i="1"/>
  <c r="BT841" i="1"/>
  <c r="BF842" i="1"/>
  <c r="BT842" i="1"/>
  <c r="BF843" i="1"/>
  <c r="BT843" i="1"/>
  <c r="BF844" i="1"/>
  <c r="BT844" i="1"/>
  <c r="BF845" i="1"/>
  <c r="BT845" i="1"/>
  <c r="BF846" i="1"/>
  <c r="BT846" i="1"/>
  <c r="BF847" i="1"/>
  <c r="BT847" i="1"/>
  <c r="BT848" i="1"/>
  <c r="BF849" i="1"/>
  <c r="BT849" i="1"/>
  <c r="BF850" i="1"/>
  <c r="BT850" i="1"/>
  <c r="BF851" i="1"/>
  <c r="BT851" i="1"/>
  <c r="BF852" i="1"/>
  <c r="BT852" i="1"/>
  <c r="BF853" i="1"/>
  <c r="BT853" i="1"/>
  <c r="BF854" i="1"/>
  <c r="BT854" i="1"/>
  <c r="BF855" i="1"/>
  <c r="BT855" i="1"/>
  <c r="BF856" i="1"/>
  <c r="BT856" i="1"/>
  <c r="BF857" i="1"/>
  <c r="BT857" i="1"/>
  <c r="BF858" i="1"/>
  <c r="BT858" i="1"/>
  <c r="BF859" i="1"/>
  <c r="BT859" i="1"/>
  <c r="BT860" i="1"/>
  <c r="BF861" i="1"/>
  <c r="BT861" i="1"/>
  <c r="BT862" i="1"/>
  <c r="BT863" i="1"/>
  <c r="BT864" i="1"/>
  <c r="BF865" i="1"/>
  <c r="BT865" i="1"/>
  <c r="BF866" i="1"/>
  <c r="BT866" i="1"/>
  <c r="BF867" i="1"/>
  <c r="BT867" i="1"/>
  <c r="BF868" i="1"/>
  <c r="BT868" i="1"/>
  <c r="BF869" i="1"/>
  <c r="BT869" i="1"/>
  <c r="BF870" i="1"/>
  <c r="BT870" i="1"/>
  <c r="BF871" i="1"/>
  <c r="BT871" i="1"/>
  <c r="BF872" i="1"/>
  <c r="BT872" i="1"/>
  <c r="BF873" i="1"/>
  <c r="BT873" i="1"/>
  <c r="BF874" i="1"/>
  <c r="BT874" i="1"/>
  <c r="BF875" i="1"/>
  <c r="BT875" i="1"/>
  <c r="BF876" i="1"/>
  <c r="BT876" i="1"/>
  <c r="BF877" i="1"/>
  <c r="BT877" i="1"/>
  <c r="BF878" i="1"/>
  <c r="BT878" i="1"/>
  <c r="BF879" i="1"/>
  <c r="BT879" i="1"/>
  <c r="BF880" i="1"/>
  <c r="BT880" i="1"/>
  <c r="BF881" i="1"/>
  <c r="BT881" i="1"/>
  <c r="BF882" i="1"/>
  <c r="BT882" i="1"/>
  <c r="BF883" i="1"/>
  <c r="BT883" i="1"/>
  <c r="BF884" i="1"/>
  <c r="BT884" i="1"/>
  <c r="BF885" i="1"/>
  <c r="BT885" i="1"/>
  <c r="BF886" i="1"/>
  <c r="BT886" i="1"/>
  <c r="BF887" i="1"/>
  <c r="BT887" i="1"/>
  <c r="BF888" i="1"/>
  <c r="BT888" i="1"/>
  <c r="BF889" i="1"/>
  <c r="BT889" i="1"/>
  <c r="BF890" i="1"/>
  <c r="BT890" i="1"/>
  <c r="BF891" i="1"/>
  <c r="BT891" i="1"/>
  <c r="BF892" i="1"/>
  <c r="BT892" i="1"/>
  <c r="BF893" i="1"/>
  <c r="BT893" i="1"/>
  <c r="BF894" i="1"/>
  <c r="BT894" i="1"/>
  <c r="BF895" i="1"/>
  <c r="BT895" i="1"/>
  <c r="BF896" i="1"/>
  <c r="BT896" i="1"/>
  <c r="BF897" i="1"/>
  <c r="BT897" i="1"/>
  <c r="BF898" i="1"/>
  <c r="BT898" i="1"/>
  <c r="BF899" i="1"/>
  <c r="BT899" i="1"/>
  <c r="BF900" i="1"/>
  <c r="BT900" i="1"/>
  <c r="BT901" i="1"/>
  <c r="BF902" i="1"/>
  <c r="BT902" i="1"/>
  <c r="BF903" i="1"/>
  <c r="BT903" i="1"/>
  <c r="BF904" i="1"/>
  <c r="BT904" i="1"/>
  <c r="BF905" i="1"/>
  <c r="BT905" i="1"/>
  <c r="BF906" i="1"/>
  <c r="BT906" i="1"/>
  <c r="BF907" i="1"/>
  <c r="BT907" i="1"/>
  <c r="BF908" i="1"/>
  <c r="BT908" i="1"/>
  <c r="BF909" i="1"/>
  <c r="BT909" i="1"/>
  <c r="BF910" i="1"/>
  <c r="BT910" i="1"/>
  <c r="BF911" i="1"/>
  <c r="BT911" i="1"/>
  <c r="BF912" i="1"/>
  <c r="BT912" i="1"/>
  <c r="BF913" i="1"/>
  <c r="BT913" i="1"/>
  <c r="BF914" i="1"/>
  <c r="BT914" i="1"/>
  <c r="BF915" i="1"/>
  <c r="BT915" i="1"/>
  <c r="BF916" i="1"/>
  <c r="BT916" i="1"/>
  <c r="BF917" i="1"/>
  <c r="BT917" i="1"/>
  <c r="BF918" i="1"/>
  <c r="BT918" i="1"/>
  <c r="BF919" i="1"/>
  <c r="BT919" i="1"/>
  <c r="BF920" i="1"/>
  <c r="BT920" i="1"/>
  <c r="BF921" i="1"/>
  <c r="BT921" i="1"/>
  <c r="BF922" i="1"/>
  <c r="BT922" i="1"/>
  <c r="BF923" i="1"/>
  <c r="BT923" i="1"/>
  <c r="BF924" i="1"/>
  <c r="BT924" i="1"/>
  <c r="BF925" i="1"/>
  <c r="BT925" i="1"/>
  <c r="BT926" i="1"/>
  <c r="BF927" i="1"/>
  <c r="BT927" i="1"/>
  <c r="BF928" i="1"/>
  <c r="BT928" i="1"/>
  <c r="BF929" i="1"/>
  <c r="BT929" i="1"/>
  <c r="BF930" i="1"/>
  <c r="BT930" i="1"/>
  <c r="BF931" i="1"/>
  <c r="BT931" i="1"/>
  <c r="BF932" i="1"/>
  <c r="BT932" i="1"/>
  <c r="BF933" i="1"/>
  <c r="BT933" i="1"/>
  <c r="BT934" i="1"/>
  <c r="BF935" i="1"/>
  <c r="BT935" i="1"/>
  <c r="BF936" i="1"/>
  <c r="BT936" i="1"/>
  <c r="BF937" i="1"/>
  <c r="BT937" i="1"/>
  <c r="BF938" i="1"/>
  <c r="BT938" i="1"/>
  <c r="BF939" i="1"/>
  <c r="BT939" i="1"/>
  <c r="BF940" i="1"/>
  <c r="BT940" i="1"/>
  <c r="BF941" i="1"/>
  <c r="BT941" i="1"/>
  <c r="BF942" i="1"/>
  <c r="BT942" i="1"/>
  <c r="BF943" i="1"/>
  <c r="BT943" i="1"/>
  <c r="BF944" i="1"/>
  <c r="BT944" i="1"/>
  <c r="BF945" i="1"/>
  <c r="BT945" i="1"/>
  <c r="BF946" i="1"/>
  <c r="BT946" i="1"/>
  <c r="BF947" i="1"/>
  <c r="BT947" i="1"/>
  <c r="BF948" i="1"/>
  <c r="BT948" i="1"/>
  <c r="BF949" i="1"/>
  <c r="BT949" i="1"/>
  <c r="BF950" i="1"/>
  <c r="BT950" i="1"/>
  <c r="BF951" i="1"/>
  <c r="BT951" i="1"/>
  <c r="BF952" i="1"/>
  <c r="BT952" i="1"/>
  <c r="BF953" i="1"/>
  <c r="BT953" i="1"/>
  <c r="BF954" i="1"/>
  <c r="BT954" i="1"/>
  <c r="BF955" i="1"/>
  <c r="BT955" i="1"/>
  <c r="BF956" i="1"/>
  <c r="BT956" i="1"/>
  <c r="BF957" i="1"/>
  <c r="BT957" i="1"/>
  <c r="BT958" i="1"/>
  <c r="BF959" i="1"/>
  <c r="BT959" i="1"/>
  <c r="BF960" i="1"/>
  <c r="BT960" i="1"/>
  <c r="BF961" i="1"/>
  <c r="BT961" i="1"/>
  <c r="BF962" i="1"/>
  <c r="BT962" i="1"/>
  <c r="BF963" i="1"/>
  <c r="BT963" i="1"/>
  <c r="BF964" i="1"/>
  <c r="BT964" i="1"/>
  <c r="BF965" i="1"/>
  <c r="BT965" i="1"/>
  <c r="BT966" i="1"/>
  <c r="BT967" i="1"/>
  <c r="BT968" i="1"/>
  <c r="BT969" i="1"/>
  <c r="BT970" i="1"/>
  <c r="BF971" i="1"/>
  <c r="BT971" i="1"/>
  <c r="BF972" i="1"/>
  <c r="BT972" i="1"/>
  <c r="BF973" i="1"/>
  <c r="BT973" i="1"/>
  <c r="BF974" i="1"/>
  <c r="BT974" i="1"/>
  <c r="BF975" i="1"/>
  <c r="BT975" i="1"/>
  <c r="BF976" i="1"/>
  <c r="BT976" i="1"/>
  <c r="BF977" i="1"/>
  <c r="BT977" i="1"/>
  <c r="BF978" i="1"/>
  <c r="BT978" i="1"/>
  <c r="BF979" i="1"/>
  <c r="BT979" i="1"/>
  <c r="BF980" i="1"/>
  <c r="BT980" i="1"/>
  <c r="BT981" i="1"/>
  <c r="BF982" i="1"/>
  <c r="BT982" i="1"/>
  <c r="BF983" i="1"/>
  <c r="BT983" i="1"/>
  <c r="BF984" i="1"/>
  <c r="BT984" i="1"/>
  <c r="BF985" i="1"/>
  <c r="BT985" i="1"/>
  <c r="BF986" i="1"/>
  <c r="BT986" i="1"/>
  <c r="BF987" i="1"/>
  <c r="BT987" i="1"/>
  <c r="BF988" i="1"/>
  <c r="BT988" i="1"/>
  <c r="BF989" i="1"/>
  <c r="BT989" i="1"/>
  <c r="BF990" i="1"/>
  <c r="BT990" i="1"/>
  <c r="BF991" i="1"/>
  <c r="BT991" i="1"/>
  <c r="BF992" i="1"/>
  <c r="BT992" i="1"/>
  <c r="BF993" i="1"/>
  <c r="BT993" i="1"/>
  <c r="BF994" i="1"/>
  <c r="BT994" i="1"/>
  <c r="BF995" i="1"/>
  <c r="BT995" i="1"/>
  <c r="BF996" i="1"/>
  <c r="BT996" i="1"/>
  <c r="BF997" i="1"/>
  <c r="BT997" i="1"/>
  <c r="BF998" i="1"/>
  <c r="BT998" i="1"/>
  <c r="BF999" i="1"/>
  <c r="BT999" i="1"/>
  <c r="BF1000" i="1"/>
  <c r="BT1000" i="1"/>
  <c r="BF1001" i="1"/>
  <c r="BT1001" i="1"/>
</calcChain>
</file>

<file path=xl/sharedStrings.xml><?xml version="1.0" encoding="utf-8"?>
<sst xmlns="http://schemas.openxmlformats.org/spreadsheetml/2006/main" count="59552" uniqueCount="17868">
  <si>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</si>
  <si>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</si>
  <si>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</si>
  <si>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</si>
  <si>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</si>
  <si>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</si>
  <si>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</si>
  <si>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</si>
  <si>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</si>
  <si>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</si>
  <si>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</si>
  <si>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</si>
  <si>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</si>
  <si>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</si>
  <si>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</si>
  <si>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</si>
  <si>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</si>
  <si>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</si>
  <si>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</si>
  <si>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</si>
  <si>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</si>
  <si>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</si>
  <si>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</si>
  <si>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</si>
  <si>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</si>
  <si>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</si>
  <si>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</si>
  <si>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</si>
  <si>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</si>
  <si>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</si>
  <si>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</si>
  <si>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</si>
  <si>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</si>
  <si>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</si>
  <si>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</si>
  <si>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</si>
  <si>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</si>
  <si>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</si>
  <si>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</si>
  <si>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</si>
  <si>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</si>
  <si>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</si>
  <si>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</si>
  <si>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</si>
  <si>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</si>
  <si>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</si>
  <si>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</si>
  <si>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</si>
  <si>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</si>
  <si>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</si>
  <si>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</si>
  <si>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</si>
  <si>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</si>
  <si>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</si>
  <si>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</si>
  <si>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</si>
  <si>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</si>
  <si>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</si>
  <si>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</si>
  <si>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</si>
  <si>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</si>
  <si>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</si>
  <si>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</si>
  <si>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</si>
  <si>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</si>
  <si>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</si>
  <si>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</si>
  <si>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</si>
  <si>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</si>
  <si>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</si>
  <si>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</si>
  <si>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</si>
  <si>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</si>
  <si>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Chen, LQ; Xu, SQ; Gao, ZY; Chen, HY; Zhang, YH; Zhan, JQ; Li, W</t>
  </si>
  <si>
    <t/>
  </si>
  <si>
    <t>Chen, Liqi; Xu, Suqing; Gao, Zhongyong; Chen, Haiying; Zhang, Yuanhui; Zhan, Jianqiong; Li, Wei</t>
  </si>
  <si>
    <t>Estimation of monthly air-sea CO2 flux in the southern Atlantic and Indian Ocean using in-situ and remotely sensed data</t>
  </si>
  <si>
    <t>REMOTE SENSING OF ENVIRONMENT</t>
  </si>
  <si>
    <t>English</t>
  </si>
  <si>
    <t>Article</t>
  </si>
  <si>
    <t>Remote sensing; Air-sea carbon flux; Southern Atlantic and Indian Ocean</t>
  </si>
  <si>
    <t>ANTARCTIC CIRCUMPOLAR CURRENT; NET COMMUNITY PRODUCTION; GAS-EXCHANGE; WIND-SPEED; ROSS SEA; VARIABILITY; SINK; WATER; SUMMER; PCO(2)</t>
  </si>
  <si>
    <t>Empirical relationships between the sea surface partial pressure of carbon dioxide (pCO(2)), sea surface chlorophyll-a concentration (Chl-a), and sea surface temperature (SST), were derived from shipboard pCO(2) measurements in sea water and atmosphere, in-situ Chl-a, and SST data along cruise tracks between Zhongshan Station in East Antarctica and Changcheng Station on the Antarctic Peninsula in December 1999, January 2000, December 2004 and January 2005 during the CHINARE XVI and XXI campaigns. These relationships were then applied to datasets of remotely sensed Chl-a and SST to estimate the monthly air-sea carbon flux and the uptake of atmospheric CO2 in the southern Atlantic and Indian Ocean. The results show significant spatial and temporal variability of carbon flux in the southern Atlantic and Indian Ocean. The monthly uptakes of atmospheric CO2 in the region from 50 degrees S to the ice edge between 60 degrees W and 80 degrees E are -0.00355 GtC, -0.00573 GtC in December 1999 and January 2000, and -0.00361 GtC, -0.00525 GtC in December 2004 and January 2005, respectively. (C) 2011 Elsevier Inc. All rights reserved.</t>
  </si>
  <si>
    <t>[Chen, Liqi; Xu, Suqing; Gao, Zhongyong; Chen, Haiying; Zhang, Yuanhui; Zhan, Jianqiong; Li, Wei] State Ocean Adm, Inst Oceanog 3, Key Lab Global Change &amp; Marine Atmospher Chem, Xiamen 361005, Peoples R China</t>
  </si>
  <si>
    <t>Third Institute of Oceanography, Ministry of Natural Resources</t>
  </si>
  <si>
    <t>Chen, LQ (corresponding author), State Ocean Adm, Inst Oceanog 3, Key Lab Global Change &amp; Marine Atmospher Chem, Xiamen 361005, Peoples R China.</t>
  </si>
  <si>
    <t>Lqchen@soa.gov.cn</t>
  </si>
  <si>
    <t>National Natural Science Foundation of China [40531007, 40671062]; National Key Technology RD Program [2008AA121703]; Chinese IPY Campaign and International Cooperation Projects [2009DFA22920, 10010013]; Natural Science Foundation of Fujian Province of China [2009J05100, 2009j06025]; SOA Key Laboratory for Polar Science (PRIC) [KP200802]</t>
  </si>
  <si>
    <t>National Natural Science Foundation of China(National Natural Science Foundation of China (NSFC)); National Key Technology RD Program(National Key Technology R&amp;D Program); Chinese IPY Campaign and International Cooperation Projects; Natural Science Foundation of Fujian Province of China(Natural Science Foundation of Fujian Province); SOA Key Laboratory for Polar Science (PRIC)</t>
  </si>
  <si>
    <t>These projects were supported by the National Natural Science Foundation of China (projects 40531007 and 40671062), the National Key Technology R&amp;D Program (project 2008AA121703), the Chinese IPY Campaign and International Cooperation Projects (projects 2009DFA22920 and 10010013); the Natural Science Foundation of Fujian Province of China (project 2009J05100, 2009j06025), and the SOA Key Laboratory for Polar Science (PRIC, project KP200802). We would like to thank the Second Institute of Oceanography and the Institute of Oceanology, Chinese Academy of Sciences, for the underway Chl-a data.</t>
  </si>
  <si>
    <t>ELSEVIER SCIENCE INC</t>
  </si>
  <si>
    <t>NEW YORK</t>
  </si>
  <si>
    <t>STE 800, 230 PARK AVE, NEW YORK, NY 10169 USA</t>
  </si>
  <si>
    <t>0034-4257</t>
  </si>
  <si>
    <t>1879-0704</t>
  </si>
  <si>
    <t>REMOTE SENS ENVIRON</t>
  </si>
  <si>
    <t>Remote Sens. Environ.</t>
  </si>
  <si>
    <t>AUG 15</t>
  </si>
  <si>
    <t>10.1016/j.rse.2011.03.016</t>
  </si>
  <si>
    <t>Environmental Sciences; Remote Sensing; Imaging Science &amp; Photographic Technology</t>
  </si>
  <si>
    <t>Science Citation Index Expanded (SCI-EXPANDED)</t>
  </si>
  <si>
    <t>Environmental Sciences &amp; Ecology; Remote Sensing; Imaging Science &amp; Photographic Technology</t>
  </si>
  <si>
    <t>785NJ</t>
  </si>
  <si>
    <t>2024-04-21</t>
  </si>
  <si>
    <t>WOS:000292235400013</t>
  </si>
  <si>
    <t>Sheese, PE; Gattinger, RL; Llewellyn, EJ; Boone, CD; Strong, K</t>
  </si>
  <si>
    <t>Sheese, P. E.; Gattinger, R. L.; Llewellyn, E. J.; Boone, C. D.; Strong, K.</t>
  </si>
  <si>
    <t>Nighttime nitric oxide densities in the Southern Hemisphere mesosphere-lower thermosphere</t>
  </si>
  <si>
    <t>GEOPHYSICAL RESEARCH LETTERS</t>
  </si>
  <si>
    <t>ATMOSPHERE; NO2; TRANSPORT; MODEL</t>
  </si>
  <si>
    <t>Observations of NO2 continuum nightglow emissions from OSIRIS, on board the Odin satellite, have been used to derive an eight-year time series of Southern Hemispheric nitric oxide densities, [NO]. OSIRIS is one of the very few current satellite instruments deriving ground state [NO] during the polar winter. The production of NO in this region is strongly dependent on energetic particle precipitation (EPP), and densities are therefore observed to vary with solar activity. Between 2003 and 2009, mean Antarctic winter [NO] in the mesosphere-lower thermosphere decreased by a factor of 3.7, and now, after the prolonged solar minimum that spanned 2008-2009, [NO] in this region is on the rise. As solar activity increases in the next few years, the production of NO is expected to increase. As downward advection readily transports NOx into the lower mesosphere and stratosphere, such an increase will lead to a greater potential for stratospheric ozone loss. Citation: Sheese, P. E., R. L. Gattinger, E. J. Llewellyn, C. D. Boone, and K. Strong (2011), Nighttime nitric oxide densities in the Southern Hemisphere mesosphere-lower thermosphere, Geophys. Res. Lett., 38, L15812, doi: 10.1029/2011GL048054.</t>
  </si>
  <si>
    <t>[Sheese, P. E.; Strong, K.] Univ Toronto, Dept Phys, Toronto, ON M5S 1A7, Canada; [Boone, C. D.] Univ Waterloo, Dept Chem, Waterloo, ON N2L 3G1, Canada; [Gattinger, R. L.; Llewellyn, E. J.] Univ Saskatchewan, Dept Phys &amp; Engn Phys, ISAS, Saskatoon, SK S7N 5E2, Canada</t>
  </si>
  <si>
    <t>University of Toronto; University of Waterloo; University of Saskatchewan</t>
  </si>
  <si>
    <t>Sheese, PE (corresponding author), Univ Toronto, Dept Phys, 60 St George St, Toronto, ON M5S 1A7, Canada.</t>
  </si>
  <si>
    <t>psheese@atmosp.physics.utoronto.ca</t>
  </si>
  <si>
    <t>Strong, Kimberly/D-2563-2012</t>
  </si>
  <si>
    <t>Strong, Kimberly/0000-0001-9947-1053</t>
  </si>
  <si>
    <t>Canadian Space Agency (CSA); Natural Sciences and Engineering Research Council Canada (NSERC); Sweden (Swedish National Space Board); Canada (CSA); France (Centre National d'Etudes Spatiales); Finland (Tekes); European Space Agency (ESA)</t>
  </si>
  <si>
    <t>Canadian Space Agency (CSA)(Canadian Space Agency); Natural Sciences and Engineering Research Council Canada (NSERC)(Natural Sciences and Engineering Research Council of Canada (NSERC)); Sweden (Swedish National Space Board); Canada (CSA)(Canadian Space Agency); France (Centre National d'Etudes Spatiales)(Centre National D'etudes Spatiales); Finland (Tekes)(Finnish Funding Agency for Technology &amp; Innovation (TEKES)); European Space Agency (ESA)(European Space Agency)</t>
  </si>
  <si>
    <t>This project was funded by grants from the Canadian Space Agency (CSA) and the Natural Sciences and Engineering Research Council Canada (NSERC). Odin is a Swedish-led satellite project funded jointly by Sweden (Swedish National Space Board), Canada (CSA), France (Centre National d'Etudes Spatiales), and Finland (Tekes), with support by the 3rd party mission programme of the European Space Agency (ESA). The Atmospheric Chemistry Experiment is a Canadian-led mission mainly supported by the CSA. The authors thank the anonymous referees for their valuable comments.</t>
  </si>
  <si>
    <t>AMER GEOPHYSICAL UNION</t>
  </si>
  <si>
    <t>WASHINGTON</t>
  </si>
  <si>
    <t>2000 FLORIDA AVE NW, WASHINGTON, DC 20009 USA</t>
  </si>
  <si>
    <t>0094-8276</t>
  </si>
  <si>
    <t>1944-8007</t>
  </si>
  <si>
    <t>GEOPHYS RES LETT</t>
  </si>
  <si>
    <t>Geophys. Res. Lett.</t>
  </si>
  <si>
    <t>AUG 13</t>
  </si>
  <si>
    <t>L15812</t>
  </si>
  <si>
    <t>10.1029/2011GL048054</t>
  </si>
  <si>
    <t>Geosciences, Multidisciplinary</t>
  </si>
  <si>
    <t>Geology</t>
  </si>
  <si>
    <t>807PG</t>
  </si>
  <si>
    <t>WOS:000293911600002</t>
  </si>
  <si>
    <t>Muto, A; Scambos, TA; Steffen, K; Slater, AG; Clow, GD</t>
  </si>
  <si>
    <t>Muto, Atsuhiro; Scambos, Ted A.; Steffen, Konrad; Slater, Andrew G.; Clow, Gary D.</t>
  </si>
  <si>
    <t>Recent surface temperature trends in the interior of East Antarctica from borehole firn temperature measurements and geophysical inverse methods</t>
  </si>
  <si>
    <t>CLIMATE; VARIABILITY; MODEL</t>
  </si>
  <si>
    <t>We use measured firn temperatures down to depths of 80 to 90 m at four locations in the interior of Dronning Maud Land, East Antarctica to derive surface temperature histories spanning the past few decades using two different inverse methods. We find that the mean surface temperatures near the ice divide (the highest-elevation ridge of East Antarctic Ice Sheet) have increased approximately 1 to 1.5 K within the past similar to 50 years, although the onset and rate of this warming vary by site. Histories at two locations, NUS07-5 (78.65 degrees S, 35.64 degrees E) and NUS07-7 (82.07 degrees S, 54.89 degrees E), suggest that the majority of this warming took place in the past one or two decades. Slight cooling to no change was indicated at one location, NUS08-5 (82.63 degrees S, 17.87 degrees E), off the divide near the Recovery Lakes region. In the most recent decade, inversion results indicate both cooler and warmer periods at different sites due to high interannual variability and relatively high resolution of the inverted surface temperature histories. The overall results of our analysis fit a pattern of recent climate trends emerging from several sources of the Antarctic temperature reconstructions: there is a contrast in surface temperature trends possibly related to altitude in this part of East Antarctica. Citation: Muto, A., T. A. Scambos, K. Steffen, A. G. Slater, and G. D. Clow (2011), Recent surface temperature trends in the interior of East Antarctica from borehole firn temperature measurements and geophysical inverse methods, Geophys. Res. Lett., 38, L15502, doi:10.1029/2011GL048086.</t>
  </si>
  <si>
    <t>[Muto, Atsuhiro; Scambos, Ted A.; Slater, Andrew G.] Univ Colorado, Natl Snow &amp; Ice Data Ctr, CIRES, Boulder, CO 80309 USA; [Steffen, Konrad] Univ Colorado, Cooperat Inst Res Environm Sci, Boulder, CO 80309 USA; [Clow, Gary D.] US Geol Survey, Lakewood, CO 80225 USA; [Muto, Atsuhiro; Steffen, Konrad] Univ Colorado, Dept Geog, Boulder, CO 80309 USA</t>
  </si>
  <si>
    <t>University of Colorado System; University of Colorado Boulder; University of Colorado System; University of Colorado Boulder; United States Department of the Interior; United States Geological Survey; University of Colorado System; University of Colorado Boulder</t>
  </si>
  <si>
    <t>Muto, A (corresponding author), Penn State Univ, Dept Geosci, 408 Deike Bldg, University Pk, PA 16802 USA.</t>
  </si>
  <si>
    <t>aum34@psu.edu</t>
  </si>
  <si>
    <t>Steffen, Konrad/C-6027-2013; Slater, Andrew G/B-4666-2008; Muto, Atsuhiro/AAJ-9558-2020</t>
  </si>
  <si>
    <t>Muto, Atsuhiro/0000-0002-1722-2457; SCAMBOS, Ted A./0000-0003-4268-6322; SLATER, ANDREW/0000-0002-4009-4844; Slater, Andrew/0000-0003-0480-8560</t>
  </si>
  <si>
    <t>U.S. National Science Foundation [OPP-0538103]</t>
  </si>
  <si>
    <t>U.S. National Science Foundation(National Science Foundation (NSF))</t>
  </si>
  <si>
    <t>We would like to thank the members of the Traverse and personnel from the Norwegian Polar Institute, Raytheon Polar Services Company, the 109th Air National Guard and the Antarctic Logistics Center International for their help in the field. We are also grateful to Frank Urban and Mark Ohms of the USGS for their help in calibrating temperature sensors. Accumulation rate and density data were kindly provided by Joe McConnell of the DRI, University of Nevada. We thank two anonymous reviewers whose comments greatly improved the text. This work was financially supported by the U.S. National Science Foundation grant OPP-0538103 to the University of Colorado.</t>
  </si>
  <si>
    <t>AUG 12</t>
  </si>
  <si>
    <t>L15502</t>
  </si>
  <si>
    <t>10.1029/2011GL048086</t>
  </si>
  <si>
    <t>807PF</t>
  </si>
  <si>
    <t>Bronze</t>
  </si>
  <si>
    <t>WOS:000293911500001</t>
  </si>
  <si>
    <t>Hoffman, JI; Nichols, HJ</t>
  </si>
  <si>
    <t>Hoffman, Joseph I.; Nichols, Hazel J.</t>
  </si>
  <si>
    <t>A Novel Approach for Mining Polymorphic Microsatellite Markers In Silico</t>
  </si>
  <si>
    <t>PLOS ONE</t>
  </si>
  <si>
    <t>ANTARCTIC FUR SEALS; NULL ALLELES; GENOTYPING ERRORS; SIMPLE SEQUENCES; CANINE SIZE; LOCI; HETEROZYGOSITY; DNA; IDENTIFICATION; TRANSCRIPTOME</t>
  </si>
  <si>
    <t>An important emerging application of high-throughput 454 sequencing is the isolation of molecular markers such as microsatellites from genomic DNA. However, few studies have developed microsatellites from cDNA despite the added potential for targeting candidate genes. Moreover, to develop microsatellites usually requires the evaluation of numerous primer pairs for polymorphism in the focal species. This can be time-consuming and wasteful, particularly for taxa with low genetic diversity where the majority of primers often yield monomorphic polymerase chain reaction (PCR) products. Transcriptome assemblies provide a convenient solution, functional annotation of transcripts allowing markers to be targeted towards candidate genes, while high sequence coverage in principle permits the assessment of variability in silico. Consequently, we evaluated fifty primer pairs designed to amplify microsatellites, primarily residing within transcripts related to immunity and growth, identified from an Antarctic fur seal (Arctocephalus gazella) transcriptome assembly. In silico visualization was used to classify each microsatellite as being either polymorphic or monomorphic and to quantify the number of distinct length variants, each taken to represent a different allele. The majority of loci (n = 36, 76.0%) yielded interpretable PCR products, 23 of which were polymorphic in a sample of 24 fur seal individuals. Loci that appeared variable in silico were significantly more likely to yield polymorphic PCR products, even after controlling for microsatellite length measured in silico. We also found a significant positive relationship between inferred and observed allele number. This study not only demonstrates the feasibility of generating modest panels of microsatellites targeted towards specific classes of gene, but also suggests that in silico microsatellite variability may provide a useful proxy for PCR product polymorphism.</t>
  </si>
  <si>
    <t>[Hoffman, Joseph I.] Univ Bielefeld, Dept Anim Behav, Bielefeld, North Rhine Wes, Germany; [Nichols, Hazel J.] Univ Cambridge, Dept Zool, Cambridge, Cambs, England</t>
  </si>
  <si>
    <t>University of Bielefeld; University of Cambridge</t>
  </si>
  <si>
    <t>Hoffman, JI (corresponding author), Univ Bielefeld, Dept Anim Behav, Bielefeld, North Rhine Wes, Germany.</t>
  </si>
  <si>
    <t>joseph.hoffman@uni-bielefeld.de</t>
  </si>
  <si>
    <t>Nichols, Hazel/D-4737-2013; Hoffman, Joseph/K-7725-2012</t>
  </si>
  <si>
    <t>Hoffman, Joseph/0000-0001-5895-8949</t>
  </si>
  <si>
    <t>Biology Faculty, University of Bielefeld; Natural Environment Research Council</t>
  </si>
  <si>
    <t>Biology Faculty, University of Bielefeld; Natural Environment Research Council(UK Research &amp; Innovation (UKRI)Natural Environment Research Council (NERC))</t>
  </si>
  <si>
    <t>This work was funded by a FIF grant (Biology Faculty, University of Bielefeld) awarded to JIH. HJN is currently supported by the Natural Environment Research Council. The funders had no role in study design, data collection and analysis, decision to publish, or preparation of the manuscript.</t>
  </si>
  <si>
    <t>PUBLIC LIBRARY SCIENCE</t>
  </si>
  <si>
    <t>SAN FRANCISCO</t>
  </si>
  <si>
    <t>1160 BATTERY STREET, STE 100, SAN FRANCISCO, CA 94111 USA</t>
  </si>
  <si>
    <t>1932-6203</t>
  </si>
  <si>
    <t>PLoS One</t>
  </si>
  <si>
    <t>AUG 10</t>
  </si>
  <si>
    <t>e23283</t>
  </si>
  <si>
    <t>10.1371/journal.pone.0023283</t>
  </si>
  <si>
    <t>Multidisciplinary Sciences</t>
  </si>
  <si>
    <t>Science &amp; Technology - Other Topics</t>
  </si>
  <si>
    <t>827UM</t>
  </si>
  <si>
    <t>Green Submitted, Green Published, gold</t>
  </si>
  <si>
    <t>WOS:000295454200064</t>
  </si>
  <si>
    <t>Villegas-Amtmann, S; Simmons, SE; Kuhn, CE; Huckstadt, LA; Costa, DP</t>
  </si>
  <si>
    <t>Villegas-Amtmann, Stella; Simmons, Samantha E.; Kuhn, Carey E.; Huckstadt, Luis A.; Costa, Daniel P.</t>
  </si>
  <si>
    <t>Latitudinal Range Influences the Seasonal Variation in the Foraging Behavior of Marine Top Predators</t>
  </si>
  <si>
    <t>ANTARCTIC FUR SEALS; DIVING BEHAVIOR; ZALOPHUS-CALIFORNIANUS; TEMPORAL VARIATION; STABLE-ISOTOPES; LIFE-HISTORY; LION; ECOLOGY; ENERGETICS; CARBON</t>
  </si>
  <si>
    <t>Non-migratory resident species should be capable of modifying their foraging behavior to accommodate changes in prey abundance and availability associated with a changing environment. Populations that are better adapted to change will have higher foraging success and greater potential for survival in the face of climate change. We studied two species of resident central place foragers from temperate and equatorial regions with differing population trends and prey availability associated to season, the California sea lion (Zalophus californianus) (CSL) whose population is increasing and the endangered Galapagos sea lion (Zalophus wollebaeki) (GSL) whose population is declining. To determine their response to environmental change, we studied and compared their diving behavior using time-depth recorders and satellite location tags and their diet by measuring C and N isotope ratios during a warm and a cold season. Based on latitudinal differences in oceanographic productivity, we hypothesized that the seasonal variation in foraging behavior would differ for these two species. CSL exhibited greater seasonal variability in their foraging behavior as seen in changes to their diving behavior, foraging areas and diet between seasons. Conversely, GSL did not change their diving behavior between seasons, presenting three foraging strategies (shallow, deep and bottom divers) during both. GSL exhibited greater dive and foraging effort than CSL. We suggest that during the warm and less productive season a greater range of foraging behaviors in CSL was associated with greater competition for prey, which relaxed during the cold season when resource availability was greater. GSL foraging specialization suggests that resources are limited throughout the year due to lower primary production and lower seasonal variation in productivity compared to CSL. These latitudinal differences influence their foraging success, pup survival and population growth reflected in contrasting population trends in which CSL are more successful and potentially more resilient to climate change.</t>
  </si>
  <si>
    <t>[Villegas-Amtmann, Stella; Simmons, Samantha E.; Kuhn, Carey E.; Costa, Daniel P.] Univ Calif Santa Cruz, Dept Ecol &amp; Evolutionary Biol, Santa Cruz, CA 95064 USA; [Huckstadt, Luis A.] Univ Calif Santa Cruz, Dept Ocean Sci, Santa Cruz, CA 95064 USA</t>
  </si>
  <si>
    <t>University of California System; University of California Santa Cruz; University of California System; University of California Santa Cruz</t>
  </si>
  <si>
    <t>Villegas-Amtmann, S (corresponding author), Univ Calif Santa Cruz, Dept Ecol &amp; Evolutionary Biol, Santa Cruz, CA 95064 USA.</t>
  </si>
  <si>
    <t>stella.villegas@gmail.com</t>
  </si>
  <si>
    <t>Carlos, Universidade Federal de São/W-8832-2019; Huckstadt, Luis/JNR-7637-2023; Huckstadt, Luis/A-5838-2018; Huckstadt, Luis A./J-8532-2019; Costa, Daniel Paul/E-2616-2013</t>
  </si>
  <si>
    <t>Carlos, Universidade Federal de São/0000-0002-0334-3899; Huckstadt, Luis/0000-0002-2453-7350; Huckstadt, Luis A./0000-0002-2453-7350; Simmons, Samantha/0000-0003-0326-6990; Costa, Daniel Paul/0000-0002-0233-5782; Kuhn, Carey/0000-0002-6835-9744</t>
  </si>
  <si>
    <t>Sloan Foundation; Packard Foundation; Moore Foundation; Office of Naval Research; UC MEXUS; CONACYT; NSF Office of Polar Programs; CRS (Center for Remote Sensing); Ecology and Evolutionary Biology Department at UCSC</t>
  </si>
  <si>
    <t>Sloan Foundation(Alfred P. Sloan Foundation); Packard Foundation(The David &amp; Lucile Packard Foundation); Moore Foundation(Gordon and Betty Moore Foundation); Office of Naval Research(Office of Naval Research); UC MEXUS; CONACYT(Consejo Nacional de Ciencia y Tecnologia (CONACyT)); NSF Office of Polar Programs(National Science Foundation (NSF)); CRS (Center for Remote Sensing); Ecology and Evolutionary Biology Department at UCSC</t>
  </si>
  <si>
    <t>This work was part of the TOPP (Tagging of Pacific Predators) Program supported by the Sloan, Packard and Moore Foundations, the Office of Naval Research, UC MEXUS, CONACYT, NSF Office of Polar Programs, CRS (Center for Remote Sensing) and the Ecology and Evolutionary Biology Department at UCSC. The funders had no role in study design, data collection and analysis, decision to publish, or preparation of the manuscript.</t>
  </si>
  <si>
    <t>e23166</t>
  </si>
  <si>
    <t>10.1371/journal.pone.0023166</t>
  </si>
  <si>
    <t>Green Published, gold</t>
  </si>
  <si>
    <t>WOS:000295454200048</t>
  </si>
  <si>
    <t>Alhazzaa, R; Bridle, AR; Nichols, PD; Carter, CG</t>
  </si>
  <si>
    <t>Alhazzaa, Ramez; Bridle, Andrew R.; Nichols, Peter D.; Carter, Chris G.</t>
  </si>
  <si>
    <t>Up-regulated Desaturase and Elongase Gene Expression Promoted Accumulation of Polyunsaturated Fatty Acid (PUFA) but Not Long-Chain PUFA in Lates calcarifer, a Tropical Euryhaline Fish, Fed a Stearidonic Acid- and γ-Linoleic Acid-Enriched Diet</t>
  </si>
  <si>
    <t>JOURNAL OF AGRICULTURAL AND FOOD CHEMISTRY</t>
  </si>
  <si>
    <t>Echium plantagineum; fatty acid; fish oil replacement; rapeseed oil; stearidonic acid</t>
  </si>
  <si>
    <t>ACYL DELTA-6 DESATURASE; ASIAN SEA BASS; ECHIUM OIL; EICOSAPENTAENOIC ACID; NUTRITIONAL REGULATION; FUNCTIONAL-CHARACTERIZATION; DOCOSAHEXAENOIC ACID; SALVELINUS-ALPINUS; LIPID-COMPOSITION; FRESH-WATER</t>
  </si>
  <si>
    <t>The limited activity of Delta 6 fatty acid desaturase (FAD6) on a-linolenic (ALA, 18:3n-3) and linoleic (LA, 18:2n-6) acids in marine fish alters the long-chain (&gt;= C-20) polyunsaturated fatty acid (LC-PUFA) concentration in fish muscle and liver when vegetable oils replace fish oil (FO) in aquafeeds. Echium oil (EO), rich in stearidonic acid (SDA, 18:4n-3) and gamma-linoleic acid (GLA, 18:3n-6), may enhance the biosynthesis of n-3 and n-6 LC-PUFA by bypassing the rate-limiting FAD6 step. Nutritional and environmental modulation of the mechanisms in LC-PUFA biosynthesis was examined in barramundi, Lates calcarifer, a tropical euryhaline fish. Juveniles were maintained in either freshwater or seawater and fed different dietary LC-PUFA precursors present in EO or rapeseed oil (RO) and compared with FO. After 8 weeks, growth of fish fed EO was slower compared to the FO and RO treatments. Irrespective of salinity, expression of the FAD6 and elongase was up-regulated in fish fed EO and RO diets, but did not lead to significant accumulation of LC-PUFA in the neutral lipid of fish tissues as occurred in the FO treatment. However, significant concentrations of eicosapentaenoic acid (EPA, 20:5n-3) and arachidonic acid (ARA, 20:4n-6), but not docosahexaenoic acid (DHA, 22:6n-3), appeared in liver and, to a lesser extent, in muscle of fish fed EO with marked increases in the phospholipid fraction. Fish in the EO treatment had higher EPA and ARA in their liver phospholipids than fish fed FO. Endogenous conversion of dietary precursors into neutral lipid LC-PUFA appears to be limited by factors other than the initial rate-limiting step. In contrast, phospholipid LC-PUFA had higher biosynthesis, or selective retention, in barramundi fed EO rather than RO.</t>
  </si>
  <si>
    <t>[Alhazzaa, Ramez; Bridle, Andrew R.] Univ Tasmania, Natl Ctr Marine Conservat &amp; Resource Sustainabil, Launceston, Tas 7250, Australia; [Alhazzaa, Ramez; Nichols, Peter D.] Food Futures Flagship, Hobart, Tas 7001, Australia; [Alhazzaa, Ramez; Nichols, Peter D.] CSIRO Marine &amp; Atmospher Res, Hobart, Tas 7001, Australia; [Carter, Chris G.] Univ Tasmania, Inst Marine &amp; Antarctic Studies IMAS, Hobart, Tas 7001, Australia</t>
  </si>
  <si>
    <t>University of Tasmania; Commonwealth Scientific &amp; Industrial Research Organisation (CSIRO); Commonwealth Scientific &amp; Industrial Research Organisation (CSIRO); University of Tasmania</t>
  </si>
  <si>
    <t>Alhazzaa, R (corresponding author), Univ Tasmania, Natl Ctr Marine Conservat &amp; Resource Sustainabil, Locked Bag 1370, Launceston, Tas 7250, Australia.</t>
  </si>
  <si>
    <t>Ramez.Alhazzaa@utas.edu.au</t>
  </si>
  <si>
    <t>Nichols, Peter D/C-5128-2011; Alhazzaa, Ramez/C-2307-2008; Bridle, Andrew R/B-4117-2013; Carter, Chris Guy/A-3438-2008</t>
  </si>
  <si>
    <t>Alhazzaa, Ramez/0000-0001-9762-0377; Carter, Chris Guy/0000-0001-5210-1282; Bridle, Andrew/0000-0002-5788-1297</t>
  </si>
  <si>
    <t>EIPRS at UTas; CSIRO</t>
  </si>
  <si>
    <t>EIPRS at UTas; CSIRO(Commonwealth Scientific &amp; Industrial Research Organisation (CSIRO))</t>
  </si>
  <si>
    <t>R.A. was supported by EIPRS at UTas and by a CSIRO Food Futures Flagship Award.</t>
  </si>
  <si>
    <t>AMER CHEMICAL SOC</t>
  </si>
  <si>
    <t>1155 16TH ST, NW, WASHINGTON, DC 20036 USA</t>
  </si>
  <si>
    <t>0021-8561</t>
  </si>
  <si>
    <t>1520-5118</t>
  </si>
  <si>
    <t>J AGR FOOD CHEM</t>
  </si>
  <si>
    <t>J. Agric. Food Chem.</t>
  </si>
  <si>
    <t>10.1021/jf201871w</t>
  </si>
  <si>
    <t>Agriculture, Multidisciplinary; Chemistry, Applied; Food Science &amp; Technology</t>
  </si>
  <si>
    <t>Agriculture; Chemistry; Food Science &amp; Technology</t>
  </si>
  <si>
    <t>800JG</t>
  </si>
  <si>
    <t>WOS:000293355000048</t>
  </si>
  <si>
    <t>Werner, M; Langebroek, PM; Carlsen, T; Herold, M; Lohmann, G</t>
  </si>
  <si>
    <t>Werner, Martin; Langebroek, Petra M.; Carlsen, Tim; Herold, Marcus; Lohmann, Gerrit</t>
  </si>
  <si>
    <t>Stable water isotopes in the ECHAM5 general circulation model: Toward high-resolution isotope modeling on a global scale</t>
  </si>
  <si>
    <t>JOURNAL OF GEOPHYSICAL RESEARCH-ATMOSPHERES</t>
  </si>
  <si>
    <t>SURFACE MASS-BALANCE; ATMOSPHERIC CIRCULATION; ANTARCTIC CLIMATE; HDO/H2O RATIOS; ICE-CORE; PRECIPITATION; O-18; CYCLE; VARIABILITY; OXYGEN</t>
  </si>
  <si>
    <t>In this study, a first set of four present-day global experiments with the ECHAM5 atmospheric general circulation model enhanced by stable water isotope diagnostics (ECHAM5-wiso) is presented. Model resolution varies from a typical coarse horizontal grid of 3.8 degrees x 3.8 degrees (T31) to a fine grid of 0.75 degrees x 0.75 degrees (T159). Vertical resolution varies from 19 to 31 model levels. On a global scale, the ECHAM5-wiso simulation results are in good agreement with available observations of the isotopic composition of precipitation from the Global Network of Isotopes in Precipitation (GNIP), on an annual as well as a seasonal time scale. In many instances, the isotope simulation results clearly benefit from an increased horizontal and vertical model resolution. The exemplary relevance of this model resolution dependence is demonstrated for the simulation of the isotopic composition of Antarctic precipitation. Here, the simulation with the fine T159L31 model resolution not only yields a better agreement with observational data sets but also allows for a more realistic retuning of the supersaturation function leading to improved deuterium excess performance over the Antarctic continent, which is important for the interpretation of polar ice cores. Finally, the ECHAM5-wiso simulation results are compared to newly available measurements of the isotopic composition of atmospheric water vapor. Model and data agree well, with differences in the range of +/- 10 parts per thousand for near-surface atmospheric values at several GNIP stations. A comparison of the ECHAM5-wiso simulations with total column averaged HDO data from the Scanning Imaging Absorption Spectrometer for Atmospheric Cartography (SCIAMACHY) instrument on board the environmental satellite Envisat shows the same latitudinal gradients but an offset between 20 parts per thousand and 50 parts per thousand of unknown origin.</t>
  </si>
  <si>
    <t>[Werner, Martin; Langebroek, Petra M.; Carlsen, Tim; Herold, Marcus; Lohmann, Gerrit] Alfred Wegener Inst Polar &amp; Marine Res AWI, D-27570 Bremerhaven, Germany; [Carlsen, Tim] Univ Jena, Sch Phys &amp; Astron, D-07743 Jena, Germany; [Herold, Marcus; Lohmann, Gerrit] Univ Bremen, Ctr Marine Environm Sci MARUM, Bremen, Germany</t>
  </si>
  <si>
    <t>Helmholtz Association; Alfred Wegener Institute, Helmholtz Centre for Polar &amp; Marine Research; Friedrich Schiller University of Jena; University of Bremen</t>
  </si>
  <si>
    <t>Werner, M (corresponding author), Alfred Wegener Inst Polar &amp; Marine Res AWI, Bussestr 24, D-27570 Bremerhaven, Germany.</t>
  </si>
  <si>
    <t>martin.werner@awi.de</t>
  </si>
  <si>
    <t>Lohmann, Gerrit/M-7453-2016; Werner, Martin/C-8067-2014; Herold, Marcus/F-9282-2012; Carlsen, Tim/G-2195-2017; Langebroek, Petra/K-2076-2014</t>
  </si>
  <si>
    <t>Lohmann, Gerrit/0000-0003-2089-733X; Werner, Martin/0000-0002-6473-0243; Herold, Marcus/0000-0003-1559-6567; Carlsen, Tim/0000-0003-0695-9047; Langebroek, Petra/0000-0002-1246-8781</t>
  </si>
  <si>
    <t>Deutsche Forschungsgemeinschaft (DFG) [668]</t>
  </si>
  <si>
    <t>Deutsche Forschungsgemeinschaft (DFG)(German Research Foundation (DFG))</t>
  </si>
  <si>
    <t>P.M.L. is grateful for funding received from the Deutsche Forschungsgemeinschaft (DFG) within the framework of the DAPHNE Forschergruppe (Dated speleothems archives of the palaeoenvironment, DFG Forschergruppe 668). M.H. acknowledges support from the Center for Marine Environmental Sciences (MARUM), which is also funded by the DFG. The constructive comments and suggested changes from three anonymous reviewers helped us to improve our manuscript and are greatly appreciated.</t>
  </si>
  <si>
    <t>2169-897X</t>
  </si>
  <si>
    <t>2169-8996</t>
  </si>
  <si>
    <t>J GEOPHYS RES-ATMOS</t>
  </si>
  <si>
    <t>J. Geophys. Res.-Atmos.</t>
  </si>
  <si>
    <t>D15109</t>
  </si>
  <si>
    <t>10.1029/2011JD015681</t>
  </si>
  <si>
    <t>Meteorology &amp; Atmospheric Sciences</t>
  </si>
  <si>
    <t>807NT</t>
  </si>
  <si>
    <t>WOS:000293906700005</t>
  </si>
  <si>
    <t>Wang, Z; Kuhlbrodt, T; Meredith, MP</t>
  </si>
  <si>
    <t>Wang, Z.; Kuhlbrodt, T.; Meredith, M. P.</t>
  </si>
  <si>
    <t>On the response of the Antarctic Circumpolar Current transport to climate change in coupled climate models</t>
  </si>
  <si>
    <t>JOURNAL OF GEOPHYSICAL RESEARCH-OCEANS</t>
  </si>
  <si>
    <t>SOUTHERN-OCEAN; DRAKE PASSAGE; ANNULAR MODE; SEA-ICE; CIRCULATION; VARIABILITY; EDDIES; OSCILLATION; ATMOSPHERE; SINK</t>
  </si>
  <si>
    <t>The Coupled Model Intercomparison Project phase 3 (Intergovernmental Panel on Climate Change (IPCC) Fourth Assessment Report) models show a consistent intensification and poleward shift of the westerly winds over the Southern Ocean during the 21st century. However, the responses of the Antarctic Circumpolar Currents (ACC) show great diversity in these models, with many even showing reductions in transport. To obtain some understanding of diverse responses in the ACC transport, we investigate both external atmospheric and internal oceanic processes that control the ACC transport responses in these models. While the strengthened westerlies act to increase the tilt of isopycnal surfaces and hence the ACC transport through Ekman pumping effects, the associated changes in buoyancy forcing generally tend to reduce the surface meridional density gradient. The steepening of isopycnal surfaces induced by increased wind forcing leads to enhanced (parameterized) eddy-induced transports that act to reduce the isopycnal slopes. There is also considerable narrowing of the ACC that tends to reduce the ACC transport, caused mainly by the poleward shifts of the subtropical gyres and to a lesser extent by the equatorward expansions of the subpolar gyres in some models. If the combined effect of these retarding processes is larger than that of enhanced Ekman pumping, the ACC transport will be reduced. In addition, the effect of Ekman pumping on the ACC is reduced in weakly stratified models. These findings give insight into the reliability of IPCC-class model predictions of the Southern Ocean circulation and into the observed decadal scale steady ACC transport.</t>
  </si>
  <si>
    <t>[Wang, Z.; Meredith, M. P.] British Antarctic Survey, Cambridge CB3 0ET, England; [Kuhlbrodt, T.] Univ Reading, NCAS Climate, Dept Meteorol, Reading RG6 6BB, Berks, England</t>
  </si>
  <si>
    <t>UK Research &amp; Innovation (UKRI); Natural Environment Research Council (NERC); NERC British Antarctic Survey; University of Reading; UK Research &amp; Innovation (UKRI); Natural Environment Research Council (NERC); NERC National Centre for Atmospheric Science</t>
  </si>
  <si>
    <t>Wang, Z (corresponding author), British Antarctic Survey, Madingley Rd, Cambridge CB3 0ET, England.</t>
  </si>
  <si>
    <t>zwa@bas.ac.uk; t.kuhlbrodt@reading.ac.uk</t>
  </si>
  <si>
    <t>Kuhlbrodt, Till/0000-0003-2328-6729; Meredith, Michael/0000-0002-7342-7756</t>
  </si>
  <si>
    <t>European Community; Natural Environment Research Council [bas0100028, ncas10009] Funding Source: researchfish; NERC [bas0100028] Funding Source: UKRI</t>
  </si>
  <si>
    <t>European Community; Natural Environment Research Council(UK Research &amp; Innovation (UKRI)Natural Environment Research Council (NERC)); NERC(UK Research &amp; Innovation (UKRI)Natural Environment Research Council (NERC))</t>
  </si>
  <si>
    <t>We acknowledge the modeling groups, the Program for Climate Model Diagnosis and Intercomparison (PCMDI), and the WCRP's Working Group on Coupled Modeling (WGCM) for their roles in making available the WCRP CMIP3 multimodel data set. T. Kuhlbrodt was supported by a Marie Curie IntraEuropean Fellowship within the 7th European Community Framework Programme.</t>
  </si>
  <si>
    <t>2169-9275</t>
  </si>
  <si>
    <t>2169-9291</t>
  </si>
  <si>
    <t>J GEOPHYS RES-OCEANS</t>
  </si>
  <si>
    <t>J. Geophys. Res.-Oceans</t>
  </si>
  <si>
    <t>C08011</t>
  </si>
  <si>
    <t>10.1029/2010JC006757</t>
  </si>
  <si>
    <t>Oceanography</t>
  </si>
  <si>
    <t>807TL</t>
  </si>
  <si>
    <t>Green Accepted</t>
  </si>
  <si>
    <t>WOS:000293922500002</t>
  </si>
  <si>
    <t>Agatha, S</t>
  </si>
  <si>
    <t>Agatha, Sabine</t>
  </si>
  <si>
    <t>Global Diversity of Aloricate Oligotrichea (Protista, Ciliophora, Spirotricha) in Marine and Brackish Sea Water</t>
  </si>
  <si>
    <t>Review</t>
  </si>
  <si>
    <t>HALTERIA-GRANDINELLA MULLER; N. SP CILIOPHORA; CILIATES CILIOPHORA; COMMUNITY STRUCTURE; MOLECULAR EVIDENCE; COASTAL WATERS; GEOGRAPHIC-DISTRIBUTION; PHYLOGENETIC POSITION; HETEROSIGMA-AKASHIWO; GENETIC-DIVERGENCE</t>
  </si>
  <si>
    <t>Oligotrichids and choreotrichids are ciliate taxa contributing to the multi-step microbial food web and episodically dominating the marine microzooplankton. The global diversity and distribution of aloricate Oligotrichea are unknown. Here, the geographic ranges of the 141 accepted species and their synonyms in marine and brackish sea water are analyzed, using hundreds of taxonomical and ecological studies; the quality of the records is simultaneously evaluated. The aloricate Oligotrichea match the moderate endemicity model, i.e., the majority (94) of morphospecies has a wide, occasionally cosmopolitan distribution, while 47 morphospecies show biogeographic patterns: they are restricted to single geographic regions and probably include 12 endemic morphospecies. These endemics are found in the Antarctic, North Pacific, and Black Sea, whereas the flagship species Strombidinopsis cercionis is confined to the Caribbean Sea. Concerning genera, again several geographic patterns are recognizable. The species richness is distinctly lower in the southern hemisphere than in the northern, ranging from nine morphospecies in the South Pacific to 95 in the North Atlantic; however, this pattern is probably caused by undersampling. Since the loss of species might affect higher trophical levels substantially, the aloricate Oligotrichea should not any longer be ignored in conservation issues. The ecophysiological diversity is considerably larger than the morphological, and even tops the richness of SSrRNA and ITS haplotypes, indicating that probably more than 83-89% of the diversity in aloricate Oligotrichea are unknown. The huge challenge to discover all these species can only be managed by combining the expertises of morphological taxonomists, molecular biologists, ecologists, and physiologists.</t>
  </si>
  <si>
    <t>Salzburg Univ, Dept Organism Biol, A-5020 Salzburg, Austria</t>
  </si>
  <si>
    <t>Salzburg University</t>
  </si>
  <si>
    <t>Agatha, S (corresponding author), Salzburg Univ, Dept Organism Biol, A-5020 Salzburg, Austria.</t>
  </si>
  <si>
    <t>sabine.agatha@sbg.ac.at</t>
  </si>
  <si>
    <t>Agatha, Sabine/AAB-4836-2022</t>
  </si>
  <si>
    <t>Agatha, Sabine/0000-0003-3083-9782</t>
  </si>
  <si>
    <t>Austrian Science Foundation (FWF) [P20461-B17]; Austrian Science Fund (FWF) [P20461] Funding Source: Austrian Science Fund (FWF)</t>
  </si>
  <si>
    <t>Austrian Science Foundation (FWF)(Austrian Science Fund (FWF)); Austrian Science Fund (FWF)(Austrian Science Fund (FWF))</t>
  </si>
  <si>
    <t>The study was supported by the Austrian Science Foundation (FWF; Project P20461-B17), which had no role in the study design, data collection and analysis, decision to publish, or preparation of the manuscript.</t>
  </si>
  <si>
    <t>e22466</t>
  </si>
  <si>
    <t>10.1371/journal.pone.0022466</t>
  </si>
  <si>
    <t>WOS:000295454200011</t>
  </si>
  <si>
    <t>Suckling, CC; Symonds, RC; Kelly, MS; Young, AJ</t>
  </si>
  <si>
    <t>Suckling, C. C.; Symonds, R. C.; Kelly, M. S.; Young, A. J.</t>
  </si>
  <si>
    <t>The effect of artificial diets on gonad colour and biomass in the edible sea urchin Psammechinus miliaris</t>
  </si>
  <si>
    <t>AQUACULTURE</t>
  </si>
  <si>
    <t>Psammechinus miliaris; Carotenoid; Artificial diet; Gonad colour; Sea urchin; Aquaculture</t>
  </si>
  <si>
    <t>RAINBOW-TROUT; GROWTH; CAROTENOIDS; GUT</t>
  </si>
  <si>
    <t>During two 12 week trials, groups of edible sea urchins. Psammechinus miliaris, were fed artificial diets containing carotenoid pigments. The aim was to improve both the biomass and the colour of the sea urchin gonad in terms of its acceptability as a human food-stuff in the European market place. The pigmented artificial diets, based on the formula used by Robinson et al. (2002), increased gonad index (GI), pigment deposition and improved gonad colour from that of the initial samples. In Trial I gonad beta-carotene levels increased &gt;2 fold, echinenone and total carotenoid &gt;7 fold. Trial II showed greater increases. Diets containing high levels of beta-carotene (500 mg per kg dry weight of diet) gave rise to the highest percentages of marketable gonad colours (61-73%), and GI of 17.87-19.81%, (Trial I and II respectively). There was some variation in the results for this particular diet treatment across the two trials presumably reflecting individual urchins varying capacity to ingest, deposit or express the carotenoids in their diet. Providing additional lipids in the diets gave no improvement to gonad colour (56% acceptable) or GI (15.95%) suggesting the lipid content of the basic formulation is adequate. Utilizing an esterified form of lutein and zeaxanthin as a pigment source gave no significant improvement in gonad colour (30-63% acceptable) suggesting that this form of xanthophyll cannot be assimilated by P. miliaris. Female urchins had acceptable gonad colouration more often than males. The dominant carotenoid in the successful diets was beta-carotene and this was successfully metabolized into echinenone, the dominant carotenoid in all gonad samples. Total levels of echinenone positively correlated with acceptable gonad colour scores. This study demonstrates that 12 weeks is sufficient to effect the desired change in gonad biomass and colour in cultivated P. miliaris. (C) 2011 Elsevier B.V. All rights reserved.</t>
  </si>
  <si>
    <t>[Suckling, C. C.; Kelly, M. S.] Scottish Assoc Marine Sci, Oban PA37 1QA, Argyll, Scotland; [Symonds, R. C.; Young, A. J.] Liverpool John Moores Univ, Sch Biol &amp; Earth Sci, Liverpool L3 3AF, Merseyside, England</t>
  </si>
  <si>
    <t>UHI Millennium Institute; Liverpool John Moores University</t>
  </si>
  <si>
    <t>Suckling, CC (corresponding author), British Antarctic Survey, Madingley Rd, Cambridge CB3 0ET, England.</t>
  </si>
  <si>
    <t>colckl@bas.ac.uk</t>
  </si>
  <si>
    <t>Suckling, Coleen/0000-0002-8572-0909; Young, Andrew/0000-0001-6251-0944</t>
  </si>
  <si>
    <t>AAAG (Atlantic Arc Aquaculture Group); European Union; NERC [dml010007] Funding Source: UKRI; Natural Environment Research Council [dml010007] Funding Source: researchfish</t>
  </si>
  <si>
    <t>AAAG (Atlantic Arc Aquaculture Group); European Union(European Union (EU)); NERC(UK Research &amp; Innovation (UKRI)Natural Environment Research Council (NERC)); Natural Environment Research Council(UK Research &amp; Innovation (UKRI)Natural Environment Research Council (NERC))</t>
  </si>
  <si>
    <t>This work was partially funded by the AAAG (Atlantic Arc Aquaculture Group) project financed with the support of the European Union ERDF-INTERREG IIIB Atlantic Area.</t>
  </si>
  <si>
    <t>ELSEVIER</t>
  </si>
  <si>
    <t>AMSTERDAM</t>
  </si>
  <si>
    <t>RADARWEG 29, 1043 NX AMSTERDAM, NETHERLANDS</t>
  </si>
  <si>
    <t>0044-8486</t>
  </si>
  <si>
    <t>1873-5622</t>
  </si>
  <si>
    <t>Aquaculture</t>
  </si>
  <si>
    <t>AUG 8</t>
  </si>
  <si>
    <t>3-4</t>
  </si>
  <si>
    <t>10.1016/j.aquaculture.2011.05.042</t>
  </si>
  <si>
    <t>Fisheries; Marine &amp; Freshwater Biology</t>
  </si>
  <si>
    <t>799DR</t>
  </si>
  <si>
    <t>WOS:000293264200012</t>
  </si>
  <si>
    <t>van der Merwe, P; Lannuzel, D; Bowie, AR; Meiners, KM</t>
  </si>
  <si>
    <t>van der Merwe, P.; Lannuzel, D.; Bowie, A. R.; Meiners, K. M.</t>
  </si>
  <si>
    <t>High temporal resolution observations of spring fast ice melt and seawater iron enrichment in East Antarctica</t>
  </si>
  <si>
    <t>JOURNAL OF GEOPHYSICAL RESEARCH-BIOGEOSCIENCES</t>
  </si>
  <si>
    <t>FLOW-INJECTION ANALYSIS; 1ST-YEAR SEA-ICE; SOUTHERN-OCEAN; TRACE-METALS; DISSOLVED IRON; MARINE DIATOMS; WEDDELL SEA; PHYTOPLANKTON; FERTILIZATION; ENVIRONMENT</t>
  </si>
  <si>
    <t>A time series experiment was conducted in late austral spring (November-December 2009) in coastal fast ice, East Antarctica (66 degrees 13'07 '' S, 110 degrees 39'02 '' E). Iron (Fe) measurements were made in sea ice, snow, brines, and underlying seawater, together with meteorological, physical, and biogeochemical measurements to investigate the processes controlling the release of Fe into the underlying water column. Warming air temperatures were clearly associated with decreasing brine volume fractions. Macronutrient profiles revealed very low (&lt;1 mu M) nitrate + nitrite concentrations in the interior of the sea ice, and the brines suggested nitrate + nitrite drawdown exceeded Redfield ratios in comparison to phosphate and silicate. In the basal ice, nitrate + nitrite and silicate were drawn down through time but did not lead to a limiting condition. We found that dissolved Fe tracked the brine volume fraction and was readily transferred from the surface/interior to the underlying water column over time. In contrast, particulate Fe did not show this clear decreasing trend and correlated with particulate organic carbon and chlorophyll a distributions. Over the 28 d of sampling, two distinct mean air temperature warming events were observed (-12.1 to -1.3 degrees C and -6.4 to 0.8 degrees C). This resulted in the release of 419 mu mol of TDFe per m(2) of sea ice from our coastal fast ice station into the underlying water column during the study period. Assuming an increase of 1 nM Fe is sufficient for Antarctic diatoms to bloom, our study site presented a fertilization potential for 419 m(3) of Fe limited surface Southern Ocean seawater with TDFe and 29 m(3) with dFe, per m(2) of fast ice.</t>
  </si>
  <si>
    <t>[van der Merwe, P.; Lannuzel, D.; Bowie, A. R.; Meiners, K. M.] Univ Tasmania, Antarctic Climate &amp; Ecosyst CRC, Hobart, Tas 7001, Australia; [van der Merwe, P.; Lannuzel, D.] Univ Tasmania, Inst Marine &amp; Antarctic Studies, Hobart, Tas 7001, Australia; [Meiners, K. M.] Australian Antarctic Div, Dept Sustainabil Environm Water Populat &amp; Communi, Kingston, Tas 7050, Australia</t>
  </si>
  <si>
    <t>University of Tasmania; University of Tasmania; Australian Antarctic Division</t>
  </si>
  <si>
    <t>van der Merwe, P (corresponding author), Univ Tasmania, Antarctic Climate &amp; Ecosyst CRC, Private Bag 80, Hobart, Tas 7001, Australia.</t>
  </si>
  <si>
    <t>pvander@utas.edu.au</t>
  </si>
  <si>
    <t>lannuzel, delphine/J-7937-2014; Bowie, Andrew/C-8677-2013; van der Merwe, Pier/C-9210-2015</t>
  </si>
  <si>
    <t>lannuzel, delphine/0000-0001-6154-1837; Bowie, Andrew/0000-0002-5144-7799; van der Merwe, Pier/0000-0002-7428-8030</t>
  </si>
  <si>
    <t>Australian Government's Cooperative Research Center through the Antarctic Climate and Ecosystems Cooperative Research Centre (ACECRC); Australian Antarctic Science grant [3026]</t>
  </si>
  <si>
    <t>Australian Government's Cooperative Research Center through the Antarctic Climate and Ecosystems Cooperative Research Centre (ACECRC)(Australian GovernmentDepartment of Industry, Innovation and ScienceCooperative Research Centres (CRC) Programme); Australian Antarctic Science grant</t>
  </si>
  <si>
    <t>We gratefully acknowledge the management, laboratory manager, and support staff at Casey Station (Australia). We would like to thank Andy Cianchi, Simon Cross, and Mick Stapleton for field support to gain access to the sampling site. This work was partially funded by the Australian Government's Cooperative Research Centers Program through the Antarctic Climate and Ecosystems Cooperative Research Centre (ACE CRC). This project was sponsored by an Australian Antarctic Science grant (3026). We would like to thank Ashley Townsend and the Central Science Laboratory (CSL) at the University of Tasmania for invaluable mentoring and support with the ICP-MS analyses. Total nitrogen, carbon, and hydrogen was determined by Thomas Rodemann at the Central Science Laboratory, University of Tasmania. The analysis for macronutrients was made by the CSIRO Hydrochemistry team, Hobart. Some or all of the data used for Figure 1 of this paper were obtained from the Australian Antarctic Data Centre (IDN Node AMD/AU), a part of the Australian Antarctic Division (Commonwealth of Australia). These data are described in the metadata record Windmill Islands 1:50000 Topographic GIS Dataset, Ursula Harris (1999, updated 2010).</t>
  </si>
  <si>
    <t>2169-8953</t>
  </si>
  <si>
    <t>2169-8961</t>
  </si>
  <si>
    <t>J GEOPHYS RES-BIOGEO</t>
  </si>
  <si>
    <t>J. Geophys. Res.-Biogeosci.</t>
  </si>
  <si>
    <t>AUG 6</t>
  </si>
  <si>
    <t>G03017</t>
  </si>
  <si>
    <t>10.1029/2010JG001628</t>
  </si>
  <si>
    <t>Environmental Sciences; Geosciences, Multidisciplinary</t>
  </si>
  <si>
    <t>Environmental Sciences &amp; Ecology; Geology</t>
  </si>
  <si>
    <t>804KX</t>
  </si>
  <si>
    <t>WOS:000293653800001</t>
  </si>
  <si>
    <t>Wang, XW; Zender, CS</t>
  </si>
  <si>
    <t>Wang, Xianwei; Zender, Charles S.</t>
  </si>
  <si>
    <t>Arctic and Antarctic diurnal and seasonal variations of snow albedo from multiyear Baseline Surface Radiation Network measurements</t>
  </si>
  <si>
    <t>JOURNAL OF GEOPHYSICAL RESEARCH-EARTH SURFACE</t>
  </si>
  <si>
    <t>REFLECTANCE DISTRIBUTION FUNCTION; SPECTRAL ALBEDO; MODEL; AREA; VARIABILITY; RETRIEVALS; VALIDATION; ASYMMETRY; SUMMER; LAND</t>
  </si>
  <si>
    <t>This study analyzes diurnal and seasonal variations of snow albedo at four Baseline Surface Radiation Network stations in the Arctic and Antarctica from 2003 to 2008 to elucidate similarities and differences in snow albedo diurnal cycles across geographic zones and to assess how diurnal changes in snow albedo affect the surface energy budget. At the seasonal scale, the daily albedo for the perennial snow at stations South Pole and Georg von Neumayer in Antarctica has a similar symmetric variation with solar zenith angle (SZA) around the austral summer; whereas the daily albedo for the seasonal snow at stations Barrow, Alaska, and Ny-Alesund, Spitsbergen, in the Arctic tends to decrease with SZA decrease from winter to spring before snow starts melting. At the hourly scale, each station shows unique diurnal cycles due to different processes that affect snow albedo such as cloud cover, snow metamorphism, surface hoar formation, SZA, solar azimuth angle, and surface features. Cloud escalates the snow albedo at all four stations by shifting solar radiation to visible wavelengths and diminishes the diurnal variation by diffusing incident solar radiation. The 24 h mean snow albedo is higher on cloudy than clear days by 0.02 at the South Pole (December) and Barrow (May), 0.05 at Neumayer (December), and 0.07 at Ny-Alesund (April). Snow surface structures, for example, wind-channeled sastrugi, appear to be a controlling factor in the diurnal variation of clear-sky snow albedo at the South Pole and Ny-Alesund. The surface hoar formation cycles and snow metamorphism are consistent with the asymmetric diurnal variation of snow albedo at Neumayer and Barrow. Near the melting point temperature, melt-freeze cycles exceed cloud and surface structure impacts and dominate the diurnal variation of snow albedo at stations Barrow and Ny-Alesund. The satellite-measured clear-sky snow albedo usually underestimates the average all-sky snow albedo at these stations. These results illustrate the potential biases in daily and monthly albedo products constructed from sun-synchronous satellite daily instantaneous observations which inevitably undersample the diurnal variation of snow albedo.</t>
  </si>
  <si>
    <t>[Wang, Xianwei] Sun Yat Sen Univ, Sch Geog &amp; Planning, Guangzhou 510275, Guangdong, Peoples R China; [Wang, Xianwei; Zender, Charles S.] Univ Calif Irvine, Dept Earth Syst Sci, Irvine, CA 92697 USA; [Wang, Xianwei] Sun Yat Sen Univ, Guangdong Key Lab Urbanizat &amp; Geosimulat, Guangzhou 510275, Guangdong, Peoples R China</t>
  </si>
  <si>
    <t>Sun Yat Sen University; University of California System; University of California Irvine; Sun Yat Sen University</t>
  </si>
  <si>
    <t>Wang, XW (corresponding author), Sun Yat Sen Univ, Sch Geog &amp; Planning, Guangzhou 510275, Guangdong, Peoples R China.</t>
  </si>
  <si>
    <t>wangxw8@mail.sysu.edu.cn</t>
  </si>
  <si>
    <t>Zender, Charles S/D-4485-2012; Wang, Xianwei/E-2146-2011</t>
  </si>
  <si>
    <t>Zender, Charles S/0000-0003-0129-8024;</t>
  </si>
  <si>
    <t>NASA [NNX07AR23G]; National Basic Research Program of China (973 Program) [2011CB707103]; Sun Yat-sen University; NSF [OPP ARC-0714088]</t>
  </si>
  <si>
    <t>NASA(National Aeronautics &amp; Space Administration (NASA)); National Basic Research Program of China (973 Program)(National Basic Research Program of China); Sun Yat-sen University; NSF(National Science Foundation (NSF))</t>
  </si>
  <si>
    <t>We thank all the researchers who deploy, operate, and maintain the World Climate Research Programme (WCRP) Baseline Surface Radiation Network (BSRN) stations that provide the in situ measurements on air temperature, shortwave upwelling, downwelling, and direct and diffuse solar radiation used here. We thank Florent Domine and two anonymous reviewers for their helpful and insightful comments. Funding for this work is provided by NASA NNX07AR23G; National Basic Research Program of China (973 Program) (grant 2011CB707103); Sun Yat-sen University's Hundred Talents program; NASA International Polar Year (IPY) Program, NASA NNX07AR23G; and NSF OPP ARC-0714088.</t>
  </si>
  <si>
    <t>2169-9003</t>
  </si>
  <si>
    <t>2169-9011</t>
  </si>
  <si>
    <t>J GEOPHYS RES-EARTH</t>
  </si>
  <si>
    <t>J. Geophys. Res.-Earth Surf.</t>
  </si>
  <si>
    <t>F03008</t>
  </si>
  <si>
    <t>10.1029/2010JF001864</t>
  </si>
  <si>
    <t>804LB</t>
  </si>
  <si>
    <t>Green Published, Bronze</t>
  </si>
  <si>
    <t>WOS:000293654200001</t>
  </si>
  <si>
    <t>Subbotin, DA; Shprits, YY; Gkioulidou, M; Lyons, LR; Ni, B; Merkin, VG; Toffoletto, FR; Thorne, RM; Horne, RB; Hudson, MK</t>
  </si>
  <si>
    <t>Subbotin, D. A.; Shprits, Y. Y.; Gkioulidou, M.; Lyons, L. R.; Ni, B.; Merkin, V. G.; Toffoletto, F. R.; Thorne, R. M.; Horne, R. B.; Hudson, M. K.</t>
  </si>
  <si>
    <t>Simulation of the acceleration of relativistic electrons in the inner magnetosphere using RCM-VERB coupled codes</t>
  </si>
  <si>
    <t>JOURNAL OF GEOPHYSICAL RESEARCH-SPACE PHYSICS</t>
  </si>
  <si>
    <t>RADIATION BELT ELECTRONS; PITCH-ANGLE DIFFUSION; TAIL CURRENT SHEET; MAGNETIC-FIELD; TRAPPED ELECTRONS; SALAMMBO CODE; CHORUS WAVES; RING CURRENT; MODEL; STORM</t>
  </si>
  <si>
    <t>Radiation belt dynamics have been modeled by the modified Fokker-Planck diffusion equation with sources from the low-energy plasma sheet population and losses to the atmosphere and magnetopause. We perform a coupled simulation of the Rice Convection Model (RCM) and Versatile Electron Radiation Belt (VERB) code. The RCM models magnetospheric convection and provides a low-energy electron seed population for the VERB diffusion code simulations of the Earth's radiation belts. VERB simulations are driven by the realistic time-dependent electron seed population and by the Kp index, which is used to specify rates of diffusion by ultralow frequency (ULF) and very low frequency wave activity and, therefore, diffusion processes. Radial diffusion is produced by ULF waves, while pitch angle and energy diffusion are produced by chorus waves outside the plasmasphere and by hiss waves inside the plasmasphere. The results of the simulation indicate that storm time enhanced magnetospheric convection combined with radial diffusion can bring electrons with tens of keV energy close to the Earth and can affect electron fluxes at 3-4 R-E. These electrons can be further accelerated locally by chorus waves to MeV energies. Furthermore, outward radial diffusion smooths out the peak of the high-energy fluxes and produces MeV electron enhancement around geosynchronous orbit (6-7 R-E) despite the absence of local electron acceleration in that region. Our coupled simulations indicate that local acceleration in the inner magnetosphere may be a dominant source of relativistic electrons that reach geosynchronous orbit.</t>
  </si>
  <si>
    <t>[Subbotin, D. A.; Shprits, Y. Y.; Gkioulidou, M.; Lyons, L. R.; Ni, B.; Thorne, R. M.] Univ Calif Los Angeles, Dept Atmospher &amp; Ocean Sci, Los Angeles, CA 90095 USA; [Shprits, Y. Y.] Univ Calif Los Angeles, Inst Geophys &amp; Planetary Phys, Los Angeles, CA 90095 USA; [Merkin, V. G.] Boston Univ, Ctr Space Phys, Boston, MA 02215 USA; [Toffoletto, F. R.] Rice Univ, Dept Space Phys &amp; Astron, Houston, TX 77005 USA; [Horne, R. B.] British Antarctic Survey, Nat Environm Res Council, Cambridge CB3 0ET, England; [Hudson, M. K.] Dartmouth Coll, Dept Phys &amp; Astron, Hanover, NH 03755 USA</t>
  </si>
  <si>
    <t>University of California System; University of California Los Angeles; University of California System; University of California Los Angeles; Boston University; Rice University; UK Research &amp; Innovation (UKRI); Natural Environment Research Council (NERC); NERC British Antarctic Survey; Dartmouth College</t>
  </si>
  <si>
    <t>Subbotin, DA (corresponding author), Univ Calif Los Angeles, Dept Atmospher &amp; Ocean Sci, 405 Hilgard Ave,7127 Math Sci Bldg, Los Angeles, CA 90095 USA.</t>
  </si>
  <si>
    <t>subbotin@atmos.ucla.edu; yshprits@atmos.ucla.edu; mgioul@atmos.ucla.edu; larry@atmos.ucla.edu; bbni@atmos.ucla.edu; slava.merkin@jhuapl.edu; toffo@rice.edu; rmt@atmos.ucla.edu; rh@bas.ac.uk; mary.k.hudson@dartmouth.edu</t>
  </si>
  <si>
    <t>Gkioulidou, Matina/G-9009-2015; Merkin, Viacheslav/D-5982-2016; Ni, Binbin/I-5244-2013; Horne, Richard B/U-3764-2019; Shprits, Yuri Y/I-2174-2014</t>
  </si>
  <si>
    <t>Gkioulidou, Matina/0000-0001-9979-2164; Merkin, Viacheslav/0000-0003-4344-5424; Horne, Richard B/0000-0002-0412-6407; Shprits, Yuri/0000-0002-9625-0834; Toffoletto, Frank/0000-0001-7789-2615</t>
  </si>
  <si>
    <t>NASA [NNX09AF51G, NNX07AF66G, NNX09AQ41H]; NSF [ATM-0603191, ATM-0819864]; AFRL [FA9550-08-1-0140]; [09-LR-04-200 116720-SHPY]; NASA [110778, NNX09AQ41H] Funding Source: Federal RePORTER; NERC [bas0100023] Funding Source: UKRI; Natural Environment Research Council [bas0100023] Funding Source: researchfish</t>
  </si>
  <si>
    <t>NASA(National Aeronautics &amp; Space Administration (NASA)); NSF(National Science Foundation (NSF)); AFRL(United States Department of DefenseUS Air Force Research Laboratory); ; NASA(National Aeronautics &amp; Space Administration (NASA)); NERC(UK Research &amp; Innovation (UKRI)Natural Environment Research Council (NERC)); Natural Environment Research Council(UK Research &amp; Innovation (UKRI)Natural Environment Research Council (NERC))</t>
  </si>
  <si>
    <t>This research was supported by the NASA grant NNX09AF51G, NSF GEM grant ATM-0603191, AFRL grant FA9550-08-1-0140, and lab Research Fee grant 09-LR-04-200 116720-SHPY. The work by Larry R. Lyons and M. Gkioulidou has been supported by NASA grants NNX07AF66G and NNX09AQ41H and NSF grant ATM-0819864. The authors would like to thank Chih-Ping Wang for providing information of the boundary conditions used in the RCM simulation.</t>
  </si>
  <si>
    <t>2169-9380</t>
  </si>
  <si>
    <t>2169-9402</t>
  </si>
  <si>
    <t>J GEOPHYS RES-SPACE</t>
  </si>
  <si>
    <t>J. Geophys. Res-Space Phys.</t>
  </si>
  <si>
    <t>A08211</t>
  </si>
  <si>
    <t>10.1029/2010JA016350</t>
  </si>
  <si>
    <t>Astronomy &amp; Astrophysics</t>
  </si>
  <si>
    <t>804JO</t>
  </si>
  <si>
    <t>Green Accepted, Bronze</t>
  </si>
  <si>
    <t>WOS:000293650300002</t>
  </si>
  <si>
    <t>Jones, DC; Ito, T; Lovenduski, NS</t>
  </si>
  <si>
    <t>Jones, Daniel C.; Ito, Takamitsu; Lovenduski, Nicole S.</t>
  </si>
  <si>
    <t>The transient response of the Southern Ocean pycnocline to changing atmospheric winds</t>
  </si>
  <si>
    <t>ANTARCTIC CIRCUMPOLAR CURRENT; CIRCULATION MODELS; MOMENTUM BALANCE; CLIMATE-CHANGE; ANNULAR MODE; EDDIES; REANALYSIS; TRANSPORT; PROJECT; TRENDS</t>
  </si>
  <si>
    <t>The vertical density structure of the Southern Ocean is dynamically linked to wind stress at the surface, but the nature of this coupling is not fully understood. Observations from the last several decades show a significant increase in the strength of westerly winds over the Southern Ocean, but an appreciable change in the tilt of constant density surfaces (isopycnals) has not yet been detected there. Using a combination of theory and idealized numerical simulations, we show that the response of the density structure occurs on centennial timescales, making it difficult to detect significant changes with a few decades of hydrographic observations. Dynamic coupling between the circumpolar current and northern basins regulates the slow adjustment of the density structure. Our results provide a new interpretation for recent observations and highlight the importance of the interaction between regional Southern Ocean dynamics and global ocean circulation. Citation: Jones, D. C., T. Ito, and N. S. Lovenduski (2011), The transient response of the Southern Ocean pycnocline to changing atmospheric winds, Geophys. Res. Lett., 38, L15604, doi:10.1029/2011GL048145.</t>
  </si>
  <si>
    <t>[Jones, Daniel C.; Ito, Takamitsu] Colorado State Univ, Dept Atmospher Sci, Ft Collins, CO 80523 USA; [Lovenduski, Nicole S.] Univ Colorado, Dept Atmospher &amp; Ocean Sci, Boulder, CO 80309 USA; [Lovenduski, Nicole S.] Univ Colorado, Inst Arctic &amp; Alpine Res, Boulder, CO 80309 USA</t>
  </si>
  <si>
    <t>Colorado State University; University of Colorado System; University of Colorado Boulder; University of Colorado System; University of Colorado Boulder</t>
  </si>
  <si>
    <t>Jones, DC (corresponding author), Colorado State Univ, Dept Atmospher Sci, 1371 Campus Delivery, Ft Collins, CO 80523 USA.</t>
  </si>
  <si>
    <t>Lovenduski, Nicole/V-4014-2019; Ito, Takamitsu/F-3856-2010</t>
  </si>
  <si>
    <t>Lovenduski, Nicole/0000-0001-5893-1009; Jones, Dani/0000-0002-8701-4506; Ito, Takamitsu/0000-0001-9873-099X</t>
  </si>
  <si>
    <t>National Aeronautics and Space Administration (NASA) [NNX08AL72G]; National Oceanic and Atmospheric Administration (NOAA) [NA08OAR4320893]</t>
  </si>
  <si>
    <t>National Aeronautics and Space Administration (NASA)(National Aeronautics &amp; Space Administration (NASA)); National Oceanic and Atmospheric Administration (NOAA)(National Oceanic Atmospheric Admin (NOAA) - USA)</t>
  </si>
  <si>
    <t>We are thankful for the support from the National Aeronautics and Space Administration (NASA) grant NNX08AL72G and the National Oceanic and Atmospheric Administration (NOAA) grant NA08OAR4320893. NASA Advanced Supercomputing division provided computing and data storage resources. We thank Ryan Abernathey, Anne Willem Omta, Baylor Fox-Kemper, Maxim Nikurashin, ChuanLi Jiang, Seong-Joong Kim, and two anonymous reviewers for comments and discussion that greatly improved this letter.</t>
  </si>
  <si>
    <t>AUG 4</t>
  </si>
  <si>
    <t>L15604</t>
  </si>
  <si>
    <t>10.1029/2011GL048145</t>
  </si>
  <si>
    <t>804JT</t>
  </si>
  <si>
    <t>WOS:000293650800004</t>
  </si>
  <si>
    <t>Kidston, J; Taschetto, AS; Thompson, DWJ; England, MH</t>
  </si>
  <si>
    <t>Kidston, J.; Taschetto, A. S.; Thompson, D. W. J.; England, M. H.</t>
  </si>
  <si>
    <t>The influence of Southern Hemisphere sea-ice extent on the latitude of the mid-latitude jet stream</t>
  </si>
  <si>
    <t>NORTH-ATLANTIC SST; ATMOSPHERIC RESPONSE; WINTER CIRCULATION; ANOMALIES; SIMULATION; FEEDBACK; EDDIES; OCEAN; CAM3; CCM3</t>
  </si>
  <si>
    <t>An atmospheric general circulation model with prescribed sea-ice and sea-surface temperatures is used to examine the sensitivity of the atmospheric circulation to changes in sea-ice extent in the Southern Hemisphere. Experiments are conducted where the sea-ice edge is expanded or contracted by 7 degrees of latitude compared with its position in a control run. The experiments suggest that the latitude of the sea-ice edge influences the latitude of the Southern Hemisphere mid-latitude jet stream, but that the amplitude of the atmospheric response depends critically on the location and seasonality of the sea-ice anomalies. During the cold season, the mid-latitude jet shifts significantly poleward when the sea-ice extent is increased, but exhibits very little response when the sea-ice extent is decreased. During the warm season, the jet does not shift significantly regardless of whether the sea-ice edge is extended or contracted. The cause of the asymmetry in the atmospheric response relates to the extent to which the sea-ice anomalies affect meridional temperature gradients in the near-surface baroclinic zone. The results suggest that 1) any future decreases in Antarctic sea-ice are unlikely to have a profound effect on the Southern Hemisphere mid-latitude circulation; and 2) the usefulness of sea-ice variability for seasonal prediction is limited to the cold season and to the case of increases in sea-ice extent. Citation: Kidston, J., A. S. Taschetto, D. W. J. Thompson, and M. H. England (2011), The influence of Southern Hemisphere sea-ice extent on the latitude of the mid-latitude jet stream, Geophys. Res. Lett., 38, L15804, doi:10.1029/2011GL048056.</t>
  </si>
  <si>
    <t>[Kidston, J.; Taschetto, A. S.; England, M. H.] Univ New S Wales, Climate Change Res Ctr, Sydney, NSW 2052, Australia; [Thompson, D. W. J.] Colorado State Univ, Dept Atmospher Sci, Ft Collins, CO 80523 USA</t>
  </si>
  <si>
    <t>University of New South Wales Sydney; Colorado State University</t>
  </si>
  <si>
    <t>Kidston, J (corresponding author), Univ New S Wales, Climate Change Res Ctr, Level 4 Matthews Bldg, Sydney, NSW 2052, Australia.</t>
  </si>
  <si>
    <t>j.kidston@unsw.edu.au</t>
  </si>
  <si>
    <t>Taschetto, Andrea S/H-2050-2011; Thompson, David W J/F-9627-2012; Thompson, David/C-3520-2008; England, Matthew/A-7539-2011</t>
  </si>
  <si>
    <t>Thompson, David W J/0000-0002-5413-4376; England, Matthew/0000-0001-9696-2930; Taschetto, Andrea/0000-0001-6020-1603</t>
  </si>
  <si>
    <t>Australian Research Council; Australian Commonwealth Government; Div Atmospheric &amp; Geospace Sciences; Directorate For Geosciences [0936255] Funding Source: National Science Foundation</t>
  </si>
  <si>
    <t>Australian Research Council(Australian Research Council); Australian Commonwealth Government(Australian Government); Div Atmospheric &amp; Geospace Sciences; Directorate For Geosciences(National Science Foundation (NSF)NSF - Directorate for Geosciences (GEO))</t>
  </si>
  <si>
    <t>M. H. England and A. S. Taschetto were supported by the Australian Research Council. The use of NCAR CAM3 model is gratefully acknowledged. This research was undertaken on the NCI National Facility in Canberra, Australia, which is supported by the Australian Commonwealth Government.</t>
  </si>
  <si>
    <t>L15804</t>
  </si>
  <si>
    <t>10.1029/2011GL048056</t>
  </si>
  <si>
    <t>WOS:000293650800002</t>
  </si>
  <si>
    <t>Tomasi, C; Petkov, B; Benedetti, E; Valenziano, L; Vitale, V</t>
  </si>
  <si>
    <t>Tomasi, Claudio; Petkov, Boyan; Benedetti, Elena; Valenziano, Luca; Vitale, Vito</t>
  </si>
  <si>
    <t>Analysis of a 4 year radiosonde data set at Dome C for characterizing temperature and moisture conditions of the Antarctic atmosphere</t>
  </si>
  <si>
    <t>WATER-VAPOR; CLOUD COVER; SOUTH-POLE; RELATIVE-HUMIDITY; SKY BRIGHTNESS; DRY BIAS; SURFACE; TROPOPAUSE; INVERSION; SITE</t>
  </si>
  <si>
    <t>A 4 year set of vertical profiles of pressure, temperature and relative humidity derived from 1113 radiosounding measurements performed at Dome C (Antarctica) at 12: 00 UTC of each day, from late March 2005 to March 2009, were analyzed using an updated procedure for removing the most important temperature and humidity errors and dry biases. The monthly mean vertical profiles of pressure, temperature, and moisture parameters were determined, providing evidence of the strong seasonal variations in temperature occurring within the ground layer and in the tropopause region. The results are presented for use in the analysis of the ground-based measurements of both short- and long-wave radiation budget terms routinely performed at this site, and to better investigate the water vapor role in the Antarctic Plateau surface-atmosphere system. The evaluation of atmospheric water vapor content W (precipitable water) is of great relevance for astronomical studies, to verify that high atmospheric transmission conditions exist, especially in the submillimeter and millimeter range, for the exceptionally dry air characteristics of the Dome C atmosphere. The monthly mean data sets of moisture parameters were analyzed to determine the monthly mean vertical profiles of absolute humidity, and to evaluate the daily values of W, varying from less than 0.30 mm (from June to October) to more than 0.60 mm in January, on average. The monthly mean percentiles of W indicate that this parameter is expected to be lower than 0.20 mm on at least 25% of days from May to October, indicating that very high atmospheric transparency conditions should occur in the infrared-millimeter spectral range on at least 40 days during austral autumn and winter.</t>
  </si>
  <si>
    <t>[Tomasi, Claudio; Petkov, Boyan; Benedetti, Elena; Vitale, Vito] CNR, ISAC, I-40129 Bologna, Italy; [Petkov, Boyan] Abdus Salaam Int Ctr Theoret Phys, Trieste, Italy; [Valenziano, Luca] INAF, Inst Space Astrophys &amp; Cosm Phys, Bologna, Italy</t>
  </si>
  <si>
    <t>Consiglio Nazionale delle Ricerche (CNR); Istituto di Scienze dell'Atmosfera e del Clima (ISAC-CNR); Abdus Salam International Centre for Theoretical Physics (ICTP); Istituto Nazionale Astrofisica (INAF)</t>
  </si>
  <si>
    <t>Tomasi, C (corresponding author), CNR, ISAC, Via P Gobetti 101, I-40129 Bologna, Italy.</t>
  </si>
  <si>
    <t>c.tomasi@isac.cnr.it</t>
  </si>
  <si>
    <t>vitale, vito/AAW-8441-2021</t>
  </si>
  <si>
    <t>vitale, vito/0000-0003-0978-8976; Petkov, Boyan/0000-0002-8328-340X; Valenziano, Luca/0000-0002-1170-0104</t>
  </si>
  <si>
    <t>Programma Nazionale di Ricerche in Antartide (PNRA) [2006/6.01]</t>
  </si>
  <si>
    <t>Programma Nazionale di Ricerche in Antartide (PNRA)</t>
  </si>
  <si>
    <t>The research activity was supported by the Programma Nazionale di Ricerche in Antartide (PNRA) and developed as a part of Subproject 2006/6.01: POLAR-AOD: a network to characterize the means, variability and trends of the climate-forcing properties of aerosols in polar regions. The authors gratefully acknowledge the International Centre for Theoretical Physics, Trieste, Italy, for its support of the participation of B. Petkov in the framework of the Programme for Training and Research in Italian Laboratories, and the Meteorological Group of the Antarctic Project (ENEA, C. R. Casaccia, Rome, Italy) at the Concordia station, directed by A. Pellegrini, who performed the 4 year set of radio-sounding measurements. Data and information were obtained from IPEV/PNRA Project Routine Meteorological Observation at Station Concordia (http://www.climantartide.it). The meteorological tower observations were provided by Laboratoire de Glaciologie, Grenoble (France), as part of the IPEV-sponsored CALVA (1013) program. The authors also gratefully acknowledge P. Ricaud (Laboratoire d'Aerologie, CNRS, Toulouse, France) for providing the HAMSTRAD measurements of Integrated Water Vapor carried out at Dome C in late January and early February of 2009. Tower observations shown in Figures 1 and 4 were obtained by Laboratoire de Glaciologie, Grenoble (France) as part of the IPEV-sponsored CALVA (1013) program.</t>
  </si>
  <si>
    <t>D15304</t>
  </si>
  <si>
    <t>10.1029/2011JD015803</t>
  </si>
  <si>
    <t>804LS</t>
  </si>
  <si>
    <t>WOS:000293655900005</t>
  </si>
  <si>
    <t>German, CR; Ramirez-Llodra, E; Baker, MC; Tyler, PA</t>
  </si>
  <si>
    <t>German, Christopher R.; Ramirez-Llodra, Eva; Baker, Maria C.; Tyler, Paul A.</t>
  </si>
  <si>
    <t>ChEss Sci Steering Comm</t>
  </si>
  <si>
    <t>Deep-Water Chemosynthetic Ecosystem Research during the Census of Marine Life Decade and Beyond: A Proposed Deep-Ocean Road Map</t>
  </si>
  <si>
    <t>SPREADING GAKKEL RIDGE; COLD SEEP COMMUNITIES; HYDROTHERMAL ACTIVITY; MUSSEL BEDS; PHYLOGENETIC-RELATIONSHIPS; BRANSFIELD STRAIT; CHILE RIDGE; SEA; VENT; DISCOVERY</t>
  </si>
  <si>
    <t>The ChEss project of the Census of Marine Life (2002-2010) helped foster internationally-coordinated studies worldwide focusing on exploration for, and characterization of new deep-sea chemosynthetic ecosystem sites. This work has advanced our understanding of the nature and factors controlling the biogeography and biodiversity of these ecosystems in four geographic locations: the Atlantic Equatorial Belt (AEB), the New Zealand region, the Arctic and Antarctic and the SE Pacific off Chile. In the AEB, major discoveries include hydrothermal seeps on the Costa Rica margin, deepest vents found on the Mid-Cayman Rise and the hottest vents found on the Southern Mid-Atlantic Ridge. It was also shown that the major fracture zones on the MAR do not create barriers for the dispersal but may act as trans-Atlantic conduits for larvae. In New Zealand, investigations of a newly found large cold-seep area suggest that this region may be a new biogeographic province. In the Arctic, the newly discovered sites on the Mohns Ridge (71 degrees N) showed extensive mats of sulfur-oxidisng bacteria, but only one gastropod potentially bears chemosynthetic symbionts, while cold seeps on the Haakon Mossby Mud Volcano (72 degrees N) are dominated by siboglinid worms. In the Antarctic region, the first hydrothermal vents south of the Polar Front were located and biological results indicate that they may represent a new biogeographic province. The recent exploration of the South Pacific region has provided evidence for a sediment hosted hydrothermal source near a methane-rich cold-seep area. Based on our 8 years of investigations of deep-water chemosynthetic ecosystems worldwide, we suggest highest priorities for future research: (i) continued exploration of the deep-ocean ridge-crest; (ii) increased focus on anthropogenic impacts; (iii) concerted effort to coordinate a major investigation of the deep South Pacific Ocean - the largest contiguous habitat for life within Earth's biosphere, but also the world's least investigated deep-ocean basin.</t>
  </si>
  <si>
    <t>[German, Christopher R.] Woods Hole Oceanog Inst, Woods Hole, MA 02543 USA; [Ramirez-Llodra, Eva] Inst Ciencias Mar, Consejo Super Invest Cient, E-08039 Barcelona, Spain; [Baker, Maria C.; Tyler, Paul A.] Univ Southampton, Sch Ocean &amp; Earth Sci, Natl Oceanog Ctr, Southampton, Hants, England</t>
  </si>
  <si>
    <t>Woods Hole Oceanographic Institution; Consejo Superior de Investigaciones Cientificas (CSIC); CSIC - Centro Mediterraneo de Investigaciones Marinas y Ambientales (CMIMA); CSIC - Instituto de Ciencias del Mar (ICM); NERC National Oceanography Centre; University of Southampton</t>
  </si>
  <si>
    <t>German, CR (corresponding author), Woods Hole Oceanog Inst, Woods Hole, MA 02543 USA.</t>
  </si>
  <si>
    <t>ezr@icm.csic.es</t>
  </si>
  <si>
    <t>Bright, Monika/AAA-7015-2021; Cordes, Erik E/B-3293-2009; Juniper, Kim/N-6769-2015; Boetius, Antje/D-5459-2013; Serrao Santos, Ricardo/B-3960-2008; Dubilier, Nicole/I-8203-2018</t>
  </si>
  <si>
    <t>Bright, Monika/0000-0001-7066-1363; Cordes, Erik E/0000-0002-6989-2348; Juniper, Kim/0000-0002-7608-260X; Boetius, Antje/0000-0003-2117-4176; Baker, Maria/0000-0001-6977-8935; Serrao Santos, Ricardo/0000-0002-2536-1369; Van Dover, Cindy/0000-0001-9845-8391; Rowden, Ashley/0000-0003-2975-2524; Ramirez-Llodra, Eva/0000-0003-0137-1906; Levin, Lisa/0000-0002-2858-8622; Dubilier, Nicole/0000-0002-9394-825X</t>
  </si>
  <si>
    <t>Alfred P. Sloan Foundation; SYNDEEP synthesis project; Fondation Total for the ChEss synthesis phase; Petersen Fellowship in IFM-GEOMAR</t>
  </si>
  <si>
    <t>Alfred P. Sloan Foundation(Alfred P. Sloan Foundation); SYNDEEP synthesis project; Fondation Total for the ChEss synthesis phase; Petersen Fellowship in IFM-GEOMAR</t>
  </si>
  <si>
    <t>Alfred P. Sloan Foundation for the ChEss-Census of Marine Life programme (2002-2010) and the SYNDEEP synthesis project (2009-2010) (www.coml.org). Fondation Total for the ChEss synthesis phase and SYNDEEP synthesis project (2007-2010) (http://fondation.total.com/). Petersen Fellowship in IFM-GEOMAR to CRG. The funders had no role in study design, data collection and analysis, decision to publish, or preparation of the manuscript.</t>
  </si>
  <si>
    <t>e23259</t>
  </si>
  <si>
    <t>10.1371/journal.pone.0023259</t>
  </si>
  <si>
    <t>803DK</t>
  </si>
  <si>
    <t>WOS:000293561200060</t>
  </si>
  <si>
    <t>Rossetti, F; Vignaroli, G; Di Vincenzo, G; Gerdes, A; Ghezzo, C; Theye, T; Balsamo, F</t>
  </si>
  <si>
    <t>Rossetti, Federico; Vignaroli, Gianluca; Di Vincenzo, Gianfranco; Gerdes, Axel; Ghezzo, Claudio; Theye, Thomas; Balsamo, Fabrizio</t>
  </si>
  <si>
    <t>Long-lived orogenic construction along the paleo-Pacific margin of Gondwana (Deep Freeze Range, North Victoria Land, Antarctica)</t>
  </si>
  <si>
    <t>TECTONICS</t>
  </si>
  <si>
    <t>ROSS OROGEN; TECTONIC EVOLUTION; LANTERMAN RANGE; ACTIVE-MARGIN; TRANSANTARCTIC MOUNTAINS; DELAMERIAN OROGENY; LACHLAN OROGEN; U-PB; COLLISIONAL OROGENESIS; ISOTOPIC STRUCTURE</t>
  </si>
  <si>
    <t>[1] The paleo-Pacific margin of Gondwana records a prolonged history of convergence during the Cambrian-Early Ordovician Ross-Delamerian and the Middle Ordovician-Early Silurian Lachlan orogenies. This study describes structure, petrology, and geochronology of a set of NW-SE striking ductile shear zones that crosscut the Ross age, Early Cambrian granitoid rocks of the Wilson Terrane in the Deep Freeze Range (North Victoria Land, Antarctica). The shear zones developed under amphibolite facies metamorphic conditions (650-700 degrees C and 0.5-0.7 GPa) and show a systematic top-to-the-NE sense of shear. The shear zone activity interferes with emplacement of late, subhorizontal leucocratic dikes and combined U-(Th)-Pb (zircon and monazite) and 40Ar-39Ar (biotite and phengite) geochronology constrains the shearing event at similar to 470 Ma, with the sheared granite yielding U-Pb zircon crystallization ages of similar to 508 Ma. The reconstructed P-T path followed by the granite protoliths indicates an anticlockwise trajectory, suggesting the synshearing amphibolite metamorphism was associated with the burial of an early formed, Ross continental crustal section. These new findings are interpreted as evidence of a renewed, Ordovician episode of orogenic construction at the paleo-Pacific margin of Gondwana that predated the onset of the Lachlan orogeny in the region. A polycyclic reactivation of the Ross age Wilson Terrane of North Victoria Land is suggested, which is used to propose a unitary framework for the space-time transition from the Ross-Delamerian to the Lachlan orogeny along the proto-Pacific active margin of Gondwana.</t>
  </si>
  <si>
    <t>[Rossetti, Federico; Vignaroli, Gianluca; Balsamo, Fabrizio] Univ Roma Tre, Dipartimento Sci Geol, I-00146 Rome, Italy; [Di Vincenzo, Gianfranco] CNR, Ist Geosci &amp; Georisorse, I-56124 Pisa, Italy; [Gerdes, Axel] Goethe Univ Frankfurt, Inst Geowissensch, D-60438 Frankfurt, Germany; [Ghezzo, Claudio] Univ Siena, Dipartimento Sci Terra, I-58100 Siena, Italy; [Theye, Thomas] Univ Stuttgart, Inst Mineral &amp; Kristallchem, D-70174 Stuttgart, Germany</t>
  </si>
  <si>
    <t>Roma Tre University; Consiglio Nazionale delle Ricerche (CNR); Istituto di Geoscienze e Georisorse (IGG-CNR); Goethe University Frankfurt; University of Siena; University of Stuttgart</t>
  </si>
  <si>
    <t>Rossetti, F (corresponding author), Univ Roma Tre, Dipartimento Sci Geol, I-00146 Rome, Italy.</t>
  </si>
  <si>
    <t>rossetti@uniroma3.it</t>
  </si>
  <si>
    <t>Gerdes, Axel/B-6096-2008; Ghezzo, Claudio/JCF-1491-2023; Vignaroli, Gianluca/AAK-8342-2020; Balsamo, Fabrizio/F-1674-2017</t>
  </si>
  <si>
    <t>Gerdes, Axel/0000-0003-3823-2125; ROSSETTI, Federico/0000-0001-8071-7252; DI VINCENZO, GIANFRANCO/0000-0002-9669-9789; Balsamo, Fabrizio/0000-0003-1931-466X; VIGNAROLI, Gianluca/0000-0001-7345-6162</t>
  </si>
  <si>
    <t>PNRA [2004/4.6]</t>
  </si>
  <si>
    <t>PNRA</t>
  </si>
  <si>
    <t>We wish to thanks all the colleagues of the 2005/2006 Antarctic campaign who shared with us the field activities for helpful discussions and suggestions in the field. We acknowledge the logistic support from the personnel of the Italian Mario Zucchelli base. A. Dini partly participated to the field work. This paper benefited of discussion with S. Rocchi, F. Storti, and H.-J. Massonne. Constructive and thoughtful revisions from J. Goodge and an anonymous reviewer contributed significantly to improve the paper. Financial support from the PNRA 2004/4.6 project (Chronologic-dynamic zoning of the Ross Orogen) was coordinated by S. Rocchi.</t>
  </si>
  <si>
    <t>0278-7407</t>
  </si>
  <si>
    <t>1944-9194</t>
  </si>
  <si>
    <t>Tectonics</t>
  </si>
  <si>
    <t>AUG 3</t>
  </si>
  <si>
    <t>TC4008</t>
  </si>
  <si>
    <t>10.1029/2010TC002804</t>
  </si>
  <si>
    <t>Geochemistry &amp; Geophysics</t>
  </si>
  <si>
    <t>804JC</t>
  </si>
  <si>
    <t>WOS:000293649100001</t>
  </si>
  <si>
    <t>Lepidi, S; Cafarella, L; Pietrolungo, M; Di Mauro, D</t>
  </si>
  <si>
    <t>Lepidi, S.; Cafarella, L.; Pietrolungo, M.; Di Mauro, D.</t>
  </si>
  <si>
    <t>Daily variation characteristics at polar geomagnetic observatories</t>
  </si>
  <si>
    <t>ADVANCES IN SPACE RESEARCH</t>
  </si>
  <si>
    <t>Geomagnetic field; Diurnal variation; Antarctic geomagnetic observatory; Solar wind-magnetosphere interactions; Polar cap phenomena; Time variations; diurnal to secular</t>
  </si>
  <si>
    <t>INTERPLANETARY MAGNETIC-FIELD; ALIGNED CURRENTS; STATION ANTARCTICA; DIPOLE TILT; B-Y; DEPENDENCE; CUSP; CAP; IMF; LATITUDE</t>
  </si>
  <si>
    <t>This paper is based on the statistical analysis of the diurnal variation as observed at six polar geomagnetic observatories, three in the Northern and three in the Southern hemisphere. Data are for 2006, a year of low geomagnetic activity. We compared the Italian observatory Mario Zucchelli Station (TNB; corrected geomagnetic latitude: 80.0 degrees S), the French-Italian observatory Dome C (DMC; 88.9 degrees S), the French observatory Dumont D'Urville (DRV; 80.4 degrees S) and the three Canadian observatories, Resolute Bay (RES; 83.0 degrees N), Cambridge Bay (CBB; 77.0 degrees N) and Alert (ALE, 87.2 degrees N). The aim of this work was to highlight analogies and differences in daily variation as observed at the different observatories during low geomagnetic activity year, also considering Interplanetary Magnetic Field conditions and geomagnetic indices. (C) 2011 COSPAR. Published by Elsevier Ltd. All rights reserved.</t>
  </si>
  <si>
    <t>[Lepidi, S.; Cafarella, L.; Pietrolungo, M.; Di Mauro, D.] Ist Nazl Geofis &amp; Vulcanol, I-00143 Rome, Italy</t>
  </si>
  <si>
    <t>Istituto Nazionale Geofisica e Vulcanologia (INGV)</t>
  </si>
  <si>
    <t>Cafarella, L (corresponding author), Ist Nazl Geofis &amp; Vulcanol, Via Vigna Murata 605, I-00143 Rome, Italy.</t>
  </si>
  <si>
    <t>lili.cafarella@ingv.it</t>
  </si>
  <si>
    <t>Lepidi, Stefania/HGU-5046-2022; Di Mauro, Domenico/ABD-6663-2021; Cafarella, Lili/HTO-5890-2023; cafarella, lili/G-4160-2011</t>
  </si>
  <si>
    <t>Di Mauro, Domenico/0000-0003-1757-9816; Pietrolungo, Manuela/0000-0002-2965-592X; Lepidi, Stefania/0000-0002-5692-2560; cafarella, lili/0000-0003-2005-8923</t>
  </si>
  <si>
    <t>Italian PNRA (Programma Nazionale di Ricerche in Antartide); French IPEV (Institut Polaire Francais Paul Emile Victor); PNRA</t>
  </si>
  <si>
    <t>Italian PNRA (Programma Nazionale di Ricerche in Antartide)(Ministry of Education, Universities and Research (MIUR)); French IPEV (Institut Polaire Francais Paul Emile Victor); PNRA</t>
  </si>
  <si>
    <t>The research activity at TNB is supported by Italian PNRA (Programma Nazionale di Ricerche in Antartide). The research activity at DMC is supported by Italian PNRA and French IPEV (Institut Polaire Francais Paul Emile Victor). The research activity at DRV is supported by French IPEV (Institut Polaire Francais Paul Emile Victor). The work of M. Pietrolungo was supported by a PNRA fellowship. The authors thank Ecole et Observatoire des Sciences de la Terre, France that operates the INTERMAGNET observatory DRV and the Geological Survey of Canada that operates the INTERMAGNET observatories ALE, CBB, RES. We thank INTERMAGNET for promoting high standards of magnetic observatory practice (www.intermagnet.org). ACE data were provided by CDAWeb, run by NASA GSFC; thanks also to the ACE team and the ACE Science Center.</t>
  </si>
  <si>
    <t>ELSEVIER SCI LTD</t>
  </si>
  <si>
    <t>OXFORD</t>
  </si>
  <si>
    <t>THE BOULEVARD, LANGFORD LANE, KIDLINGTON, OXFORD OX5 1GB, OXON, ENGLAND</t>
  </si>
  <si>
    <t>0273-1177</t>
  </si>
  <si>
    <t>ADV SPACE RES</t>
  </si>
  <si>
    <t>Adv. Space Res.</t>
  </si>
  <si>
    <t>10.1016/j.asr.2011.03.039</t>
  </si>
  <si>
    <t>Engineering, Aerospace; Astronomy &amp; Astrophysics; Geosciences, Multidisciplinary; Meteorology &amp; Atmospheric Sciences</t>
  </si>
  <si>
    <t>Engineering; Astronomy &amp; Astrophysics; Geology; Meteorology &amp; Atmospheric Sciences</t>
  </si>
  <si>
    <t>799ST</t>
  </si>
  <si>
    <t>WOS:000293307100012</t>
  </si>
  <si>
    <t>Heinrich, S; Zonneveld, KAF; Bickert, T; Willems, H</t>
  </si>
  <si>
    <t>Heinrich, Sonja; Zonneveld, Karin A. F.; Bickert, Torsten; Willems, Helmut</t>
  </si>
  <si>
    <t>The Benguela upwelling related to the Miocene cooling events and the development of the Antarctic Circumpolar Current: Evidence from calcareous dinoflagellate cysts</t>
  </si>
  <si>
    <t>PALEOCEANOGRAPHY</t>
  </si>
  <si>
    <t>SOUTH-ATLANTIC-OCEAN; ATMOSPHERIC CARBON-DIOXIDE; UPPER WATER COLUMN; SURFACE SEDIMENTS; EQUATORIAL ATLANTIC; MIDDLE MIOCENE; ODP SITE-1085; AGULHAS RETROFLECTION; QUATERNARY EASTERN; THERMOCLINE WATER</t>
  </si>
  <si>
    <t>Sediment samples from ODP Site 1085 were investigated in order to obtain more information on the initiation and development of the Benguela upwelling system during the middle and upper Miocene. In particular, our intent was to establish the causes of the upwelling as well as the response of the upwelling regime to the development of the Antarctic Circumpolar Current. Based on changes in the calcareous dinoflagellate cyst association, we found an initial increase of the dinoflagellate cyst productivity, probably related to the initiation of upwelling about 11.8 Ma ago. Two distinct increases in cyst productivity in conjunction with temperature decreases of the upper water masses reflect upwelling pulses off Namibia and occur at the end of the Miocene cooling events Mi5 (about 11.5 Ma) and Mi6 (about 10.5 Ma). Both cooling events are associated with an ice volume increase in Antarctica and are thought to have led to an increase in southeasterly winds, possibly causing these two upwelling pulses. We demonstrate a decrease in dinoflagellate cyst productivity and enhanced terrigenous input via the Orange River after the Mi5 event. At about 11.1 Ma, the dinoflagellate cyst productivity increases again. The polar cyst species Caracomia arctica occurs here for the first time. This implies an influence of subantarctic mode water and therefore a change in the quality of the upwelling water which allowed the Benguela upwelling to develop into modern conditions. From about 10.4 Ma, C. arctica forms a permanent part of the association, pointing to an establishment of the upwelling regime.</t>
  </si>
  <si>
    <t>[Heinrich, Sonja; Zonneveld, Karin A. F.; Willems, Helmut] Univ Bremen, Dept Geosci, D-28359 Bremen, Germany; [Bickert, Torsten] Marum Ctr Marine Environm Sci, D-28359 Bremen, Germany</t>
  </si>
  <si>
    <t>University of Bremen; University of Bremen</t>
  </si>
  <si>
    <t>Heinrich, S (corresponding author), Univ Bremen, Dept Geosci FB5, D-28359 Bremen, Germany.</t>
  </si>
  <si>
    <t>sonja.heinrich@uni-bremen.de</t>
  </si>
  <si>
    <t>Heinrich, Sonja/0000-0001-7536-0017</t>
  </si>
  <si>
    <t>Deutsche Forschungs Gemeinschaft International Graduate College</t>
  </si>
  <si>
    <t>Thanks are given to Petra Witte for her help with the SEM analyses. We thank Lieselotte Diester-Haass for providing data on the carbon and coarse fraction of the sediments from ODP Site 1085, as well as foraminiferal accumulation rates. Thanks to Thomas Westerhold for making available the data for the age model. We thank Kara Bogus for improving the language. We gratefully acknowledge thoughtful comments from Christopher Charles, one anonymous editor, and two anonymous reviewers. This work was funded through the Deutsche Forschungs Gemeinschaft International Graduate College Proxies in Earth History program.</t>
  </si>
  <si>
    <t>0883-8305</t>
  </si>
  <si>
    <t>Paleoceanography</t>
  </si>
  <si>
    <t>PA3209</t>
  </si>
  <si>
    <t>10.1029/2010PA002065</t>
  </si>
  <si>
    <t>Geosciences, Multidisciplinary; Oceanography; Paleontology</t>
  </si>
  <si>
    <t>Geology; Oceanography; Paleontology</t>
  </si>
  <si>
    <t>804GJ</t>
  </si>
  <si>
    <t>WOS:000293642000002</t>
  </si>
  <si>
    <t>Woodward, HN; Rich, TH; Chinsamy, A; Vickers-Rich, P</t>
  </si>
  <si>
    <t>Woodward, Holly N.; Rich, Thomas H.; Chinsamy, Anusuya; Vickers-Rich, Patricia</t>
  </si>
  <si>
    <t>Growth Dynamics of Australia's Polar Dinosaurs</t>
  </si>
  <si>
    <t>SKELETOCHRONOLOGY; INDICATORS; HISTOLOGY; EVOLUTION; PATTERNS</t>
  </si>
  <si>
    <t>Analysis of bone microstructure in ornithopod and theropod dinosaurs from Victoria, Australia, documents ontogenetic changes, providing insight into the dinosaurs' successful habitation of Cretaceous Antarctic environments. Woven-fibered bone tissue in the smallest specimens indicates rapid growth rates during early ontogeny. Later ontogeny is marked by parallel-fibered tissue, suggesting reduced growth rates approaching skeletal maturity. Bone microstructure similarities between the ornithopods and theropods, including the presence of LAGs in each group, suggest there is no osteohistologic evidence supporting the hypothesis that polar theropods hibernated seasonally. Results instead suggest high-latitude dinosaurs had growth trajectories similar to their lower-latitude relatives and thus, rapid early ontogenetic growth and the cyclical suspensions of growth inherent in the theropod and ornithopod lineages enabled them to successfully exploit polar regions.</t>
  </si>
  <si>
    <t>[Woodward, Holly N.] Montana State Univ, Museum Rockies, Bozeman, MT 59717 USA; [Rich, Thomas H.] Museum Victoria, Melbourne, Vic, Australia; [Chinsamy, Anusuya] Univ Cape Town, Dept Zool, Rhodes Gift, South Africa; [Rich, Thomas H.; Vickers-Rich, Patricia] Monash Univ, Sch Geosci, Clayton, Vic, Australia</t>
  </si>
  <si>
    <t>Montana State University System; Montana State University Bozeman; Museum Victoria; University of Cape Town; Monash University</t>
  </si>
  <si>
    <t>Woodward, HN (corresponding author), Montana State Univ, Museum Rockies, Bozeman, MT 59717 USA.</t>
  </si>
  <si>
    <t>holly.n.woodward@gmail.com</t>
  </si>
  <si>
    <t>Ballard, HollyNoelle/AED-7676-2022</t>
  </si>
  <si>
    <t>Ballard, HollyNoelle/0000-0003-0413-0681; Chinsamy-Turan, Anusuya/0000-0002-9786-5080</t>
  </si>
  <si>
    <t>National Science Foundation through the East Asia and Pacific Summer Institutes</t>
  </si>
  <si>
    <t>This research is supported by the National Science Foundation through the East Asia and Pacific Summer Institutes program. The funder had no role in study design, data collection and analysis, decision to publish, or preparation of the manuscript.</t>
  </si>
  <si>
    <t>e23339</t>
  </si>
  <si>
    <t>10.1371/journal.pone.0023339</t>
  </si>
  <si>
    <t>803CQ</t>
  </si>
  <si>
    <t>gold, Green Published</t>
  </si>
  <si>
    <t>WOS:000293558900076</t>
  </si>
  <si>
    <t>Horn, MG; Robinson, RS; Rynearson, TA; Sigman, DM</t>
  </si>
  <si>
    <t>Horn, Matthew G.; Robinson, Rebecca S.; Rynearson, Tatiana A.; Sigman, Daniel M.</t>
  </si>
  <si>
    <t>Nitrogen isotopic relationship between diatom-bound and bulk organic matter of cultured polar diatoms</t>
  </si>
  <si>
    <t>SOUTHERN-OCEAN; ATLANTIC SECTOR; IRON-DEFICIENCY; GROWTH-RATE; NUTRIENT CONSUMPTION; NITRATE REDUCTASE; NATURAL-ABUNDANCE; STABLE CARBON; CELL-SIZE; FRACTIONATION</t>
  </si>
  <si>
    <t>Using batch cultures, the (NN)-N-15-N-/14 (hereafter delta N-15) of diatom-bound organic matter was measured and compared to the delta N-15 of total diatom biomass during the progressive consumption of a nitrate pool in four polar diatom species (Fragilariopsis cylindrus, Fragilariopsis kerguelensis, Pseudo-nitzschia seriata, and Thalassiosira nordenskioeldii) and one temperate species (Thalassiosira aestivalis). In general, the delta N-15 of the dissolved nitrate in seawater was greater than that of the biomass, which was greater than that of the diatom-bound N. Rayleigh-type relationships were observed, allowing for estimation of the isotope effect (epsilon) for each species, with a range from 1.0 parts per thousand to 14.0 parts per thousand across all species. For all cultured strains, the delta N-15 values of the diatom-bound (delta N-15(DB)) fraction was lower than those of the total diatom biomass (delta N-15(biomass)). The isotopic offset between the biomass and diatom-bound N (delta(NDBoffset)-N-15 = delta(15)Nbiomass -delta N-15(DB)) was relatively constant along the growth curve for each individual species but varied among species, with a range of 1.9 parts per thousand-11.2 parts per thousand. Weak relationships were determined when epsilon and the delta(NDBoffset)-N-15 were compared to cellular size and surface area: volume ratio. More significantly, with the exception of Pseudo-nitzschia seriata, a strong positive relationship was found between epsilon and delta(NDBoffset)-N-15. While the culture data indicate a positive delta(NDBoffset)-N-15 across all studied diatom species, surface sediment data suggest a negative delta(NDBoffset)-N-15 for sedimentary assemblages. This indicates that either (1) the growth conditions of our cultures had some effect on delta(NDBoffset)-N-15 or (2) a low-delta N-15 component of the N that we measure as diatom frustule-bound is lost during early diagenesis. Given documented assemblage changes, our culture data for relevant species do not suggest that the higher delta N-15(DB) observed in the Antarctic during ice ages can be explained by species related changes in the sedimentary bulk-to-diatom-bound isotopic difference. Future work on the diatom-bound material in cultured diatoms grown under in situ nutrient conditions, analysis of sediment trap and net tow material, and frustule dissolution experiments will more completely assess this paleoproxy.</t>
  </si>
  <si>
    <t>[Horn, Matthew G.; Robinson, Rebecca S.; Rynearson, Tatiana A.] Univ Rhode Isl, Grad Sch Oceanog, Narragansett, RI 02882 USA; [Sigman, Daniel M.] Princeton Univ, Dept Geosci, Princeton, NJ 08544 USA</t>
  </si>
  <si>
    <t>University of Rhode Island; Princeton University</t>
  </si>
  <si>
    <t>Horn, MG (corresponding author), Univ Rhode Isl, Grad Sch Oceanog, S Ferry Rd, Narragansett, RI 02882 USA.</t>
  </si>
  <si>
    <t>horn@gso.uri.edu; rebeccar@gso.uri.edu; rynearson@gso.uri.edu; sigman@princeton.edu</t>
  </si>
  <si>
    <t>Sigman, Daniel M./IYJ-2613-2023; Sigman, Daniel M./A-2649-2008</t>
  </si>
  <si>
    <t>Sigman, Daniel M./0000-0002-7923-1973; Robinson, Rebecca/0000-0002-8072-1603</t>
  </si>
  <si>
    <t>NSF [00554548]; U.S. NSF [OPP-0453680]; URI Graduate School of Oceanography alumni; URI</t>
  </si>
  <si>
    <t>NSF(National Science Foundation (NSF)); U.S. NSF(National Science Foundation (NSF)); URI Graduate School of Oceanography alumni; URI</t>
  </si>
  <si>
    <t>E. Baker provided assistance with the flowing seawater facility and environmental chambers (supported by NSF EPSCoR award 00554548). J. Rines, A. Drzewianowski, J. Graff, and J. Krumholz helped with culturing. P. Assmy generously donated live cultures of Fragilariopsis kerguelensis. R. Campbell provided access to a Coulter counter. A. VanKeuren of the Nixon lab analyzed P and Si samples. This work was supported in part by U.S. NSF OPP-0453680, a URI Graduate School of Oceanography alumni grant, and a URI graduate assistant united fellowship.</t>
  </si>
  <si>
    <t>1944-9186</t>
  </si>
  <si>
    <t>AUG 2</t>
  </si>
  <si>
    <t>PA3208</t>
  </si>
  <si>
    <t>10.1029/2010PA002080</t>
  </si>
  <si>
    <t>804GH</t>
  </si>
  <si>
    <t>WOS:000293641800002</t>
  </si>
  <si>
    <t>Grist, JP; Josey, SA; Boehme, L; Meredith, MP; Davidson, FJM; Stenson, GB; Hammill, MO</t>
  </si>
  <si>
    <t>Grist, Jeremy P.; Josey, Simon A.; Boehme, Lars; Meredith, Michael P.; Davidson, Fraser J. M.; Stenson, Garry B.; Hammill, Mike O.</t>
  </si>
  <si>
    <t>Temperature signature of high latitude Atlantic boundary currents revealed by marine mammal-borne sensor and Argo data</t>
  </si>
  <si>
    <t>LABRADOR SEA; FRESH-WATER; EAST; CIRCULATION; ICE</t>
  </si>
  <si>
    <t>Results from the development and analysis of a novel temperature dataset for the high latitude North-West Atlantic are presented. The new 1 degrees gridded dataset (ATLAS) has been produced from about 13,000 Argo and 48,000 marine mammal (hooded seal, harp seal, grey seal and beluga) profiles spanning 2004-8. These data sources are highly complementary as marine mammals greatly enhance shelf region coverage where Argo floats are absent. ATLAS reveals distinctive boundary current related temperature minima in the Labrador Sea (-1.1 degrees C) and at the east Greenland coast (1.8 degrees C), largely absent in the widely-used Levitus'09 and EN3v2a datasets. The ATLAS 0-500 m average temperature is lower than Levitus'09 and EN3v2a by up to 3 degrees C locally. Differences are strongest from 0-300 m and persist at reduced amplitude from 300-500 m. Our results clearly reveal the value of marine mammal-borne sensors for a reliable description of the North-West Atlantic at a time of rapid change. Citation: Grist, J. P., S. A. Josey, L. Boehme, M. P. Meredith, F. J. M. Davidson, G. B. Stenson, and M. O. Hammill (2011), Temperature signature of high latitude Atlantic boundary currents revealed by marine mammal-borne sensor and Argo data, Geophys. Res. Lett., 38, L15601, doi:10.1029/2011GL048204.</t>
  </si>
  <si>
    <t>[Grist, Jeremy P.; Josey, Simon A.] Natl Oceanog Ctr, Southampton SO14 3ZH, Hants, England; [Boehme, Lars] Univ St Andrews, Sea Mammal Res Unit, St Andrews KY16 8LB, Fife, Scotland; [Meredith, Michael P.] British Antarctic Survey, Cambridge CB3 0ET, England; [Davidson, Fraser J. M.; Stenson, Garry B.] Fisheries &amp; Oceans Canada, St John, NF A1C 5X1, Canada; [Hammill, Mike O.] Fisheries &amp; Oceans Canada, Maurice Lamontagne Inst, Mont Joli, PQ G5H 3Z4, Canada</t>
  </si>
  <si>
    <t>NERC National Oceanography Centre; University of St Andrews; UK Research &amp; Innovation (UKRI); Natural Environment Research Council (NERC); NERC British Antarctic Survey; Fisheries &amp; Oceans Canada; Fisheries &amp; Oceans Canada</t>
  </si>
  <si>
    <t>Grist, JP (corresponding author), Natl Oceanog Ctr, European Way, Southampton SO14 3ZH, Hants, England.</t>
  </si>
  <si>
    <t>jeremy.grist@noc.ac.uk; simon.a.josey@noc.ac.uk; lb284@st-andrews.ac.uk; mmm@bas.ac.uk; fraser.davidson@dfo-mpo.gc.ca; garry.stenson@dfo-mpo.gc.ca; mike.hammill@dfo-mpo.gc.ca</t>
  </si>
  <si>
    <t>Jeremy, Grist P/B-4517-2012; Boehme, Lars/B-6567-2009</t>
  </si>
  <si>
    <t>Jeremy, Grist P/0000-0003-1068-9211; Meredith, Michael/0000-0002-7342-7756; Boehme, Lars/0000-0003-3513-6816</t>
  </si>
  <si>
    <t>UK Natural Environment Research Council [NE/H01103X/1]; Fisheries and Oceans Canada Centre of Expertise in Marine Mammalogy (CEMAM); DFO; Canada's International Polar Year Program; Greenland Institute of Natural Resource; Natural Environment Research Council [noc010012, bas0100028, noc010010, smru10001, NE/H01103X/1] Funding Source: researchfish; NERC [NE/H01103X/1, noc010010, bas0100028] Funding Source: UKRI</t>
  </si>
  <si>
    <t>UK Natural Environment Research Council(UK Research &amp; Innovation (UKRI)Natural Environment Research Council (NERC)); Fisheries and Oceans Canada Centre of Expertise in Marine Mammalogy (CEMAM); DFO; Canada's International Polar Year Program; Greenland Institute of Natural Resource; Natural Environment Research Council(UK Research &amp; Innovation (UKRI)Natural Environment Research Council (NERC)); NERC(UK Research &amp; Innovation (UKRI)Natural Environment Research Council (NERC))</t>
  </si>
  <si>
    <t>We thank Penny Holliday for beneficial discussions of this research, which is funded by UK Natural Environment Research Council grant NE/H01103X/1. The marine mammal deployments were funded by Fisheries and Oceans Canada Centre of Expertise in Marine Mammalogy (CEMAM), DFO's International Governance and Atlantic Seal Research Programs, Canada's International Polar Year Program and the Greenland Institute of Natural Resource. Enquiries about the marine mammal data should be made to GS (garry.stenson@dfo-mpo.gc.ca). Simon Good provided data on the number of observations in EN3.</t>
  </si>
  <si>
    <t>L15601</t>
  </si>
  <si>
    <t>10.1029/2011GL048204</t>
  </si>
  <si>
    <t>804GL</t>
  </si>
  <si>
    <t>Bronze, Green Accepted</t>
  </si>
  <si>
    <t>WOS:000293642200005</t>
  </si>
  <si>
    <t>Scarrow, JH; Molina, JF; Bea, F; Montero, P; Vaughan, APM</t>
  </si>
  <si>
    <t>Scarrow, Jane H.; Francisco Molina, Jose; Bea, Fernando; Montero, Pilar; Vaughan, Alan P. M.</t>
  </si>
  <si>
    <t>Lamprophyre dikes as tectonic markers of late orogenic transtension timing and kinematics: A case study from the Central Iberian Zone</t>
  </si>
  <si>
    <t>SPANISH-CENTRAL-SYSTEM; ALKALINE LAMPROPHYRES; LIQUID IMMISCIBILITY; VARISCAN BELT; CONTINENTAL-CRUST; GEOCHEMICAL CHARACTERISTICS; WESTERN SICHUAN; PLATE-TECTONICS; BOHEMIAN MASSIF; GRANITIC MAGMA</t>
  </si>
  <si>
    <t>Variscan Central Iberian Zone lamprophyre dikes cut synorogenic to late orogenic peraluminous S-type granitoids marking an important shift in regional tectonic regime from earlier, 350-290 Ma, extension-related crustal melting to later, 265 Ma, transtension-related mantle melting. The mean trend of the camptonite and bostonite dikes strikes similar to 36 degrees counterclockwise of the associated N-S trending Menga-El Pico fault zone. This indicates emplacement under sinistral transtension, D4, that postdates the D1 compressional, D2 main extensional, and D3 compressional phases of Variscan deformation in the Iberian Massif and gives new insight into late orogenic geodynamic evolution of the region. The progression from extension to transtension ensued as transpression, common in many orogens related to oblique plate convergence, waned. In this context, steep, lithospherescale, Riedel fractures permitted transport of early formed, small-scale, hydrous, enriched potassic mantle melts to shallow depths. Formation and location of such crustal-scale shear may be determined by underlying mantle heterogeneities that focus sites of melting resulting in structurally weak zones of lithosphere. So, the mantle heterogeneity localizes strain and acts as a nucleation point for newly developed steep strike-slip faults which then act as conduits for magma with magmatism controlling faulting rather than being a result of it. Throughout the geological record late orogenic K-rich magmatism is associated with strike-slip movement showing that orogenic igneous rocks are tectonomagmatic markers of geodynamic evolution.</t>
  </si>
  <si>
    <t>[Scarrow, Jane H.; Francisco Molina, Jose; Bea, Fernando; Montero, Pilar] Univ Granada, Dept Mineral &amp; Petrol, E-18002 Granada, Spain; [Vaughan, Alan P. M.] British Antarctic Survey, Cambridge CB3 0ET, England</t>
  </si>
  <si>
    <t>University of Granada; UK Research &amp; Innovation (UKRI); Natural Environment Research Council (NERC); NERC British Antarctic Survey</t>
  </si>
  <si>
    <t>Scarrow, JH (corresponding author), Univ Granada, Dept Mineral &amp; Petrol, Campus Fuentenueva, E-18002 Granada, Spain.</t>
  </si>
  <si>
    <t>jscarrow@ugr.es; jfmolina@ugr.es; fbea@ugr.es; pmontero@ugr.es; a.vaughan@bas.ac.uk</t>
  </si>
  <si>
    <t>Bea, Fernando/G-6376-2012; Molina, J.F./J-8928-2017; Montero, Pilar/AAE-1975-2022; Montero, Pilar/M-6977-2014; Vaughan, Alan PM/B-7829-2010; Molina, José F/AAU-7022-2021; Scarrow, Jane Hannah/J-9237-2017</t>
  </si>
  <si>
    <t>Bea, Fernando/0000-0001-6245-2625; Molina, J.F./0000-0002-2860-0118; Montero, Pilar/0000-0001-6245-2625; Montero, Pilar/0000-0002-3651-1473; Molina, José F/0000-0002-2860-0118; Scarrow, Jane Hannah/0000-0001-8585-8679</t>
  </si>
  <si>
    <t>Junta de Andalucia [P06-RNM-1595]; CICYT [CGL2008-02864]; Ministerio de Asuntos Exteriores y de Cooperacion [A/025250/09]; Natural Environment Research Council [bas0100026] Funding Source: researchfish; NERC [bas0100026] Funding Source: UKRI</t>
  </si>
  <si>
    <t>Junta de Andalucia(Junta de Andalucia); CICYT(Consejo Interinstitucional de Ciencia y Tecnologia (CICYT)Spanish Government); Ministerio de Asuntos Exteriores y de Cooperacion; Natural Environment Research Council(UK Research &amp; Innovation (UKRI)Natural Environment Research Council (NERC)); NERC(UK Research &amp; Innovation (UKRI)Natural Environment Research Council (NERC))</t>
  </si>
  <si>
    <t>We are grateful to two anonymous referees for detailed reviews which helped us to considerably improve the manuscript. Onno Oncken is thanked for his editorial handling. This work has been supported by the Spanish projects: P06-RNM-1595 (Junta de Andalucia), CGL2008-02864 (CICYT), and A/025250/09 (Ministerio de Asuntos Exteriores y de Cooperacion).</t>
  </si>
  <si>
    <t>TC4007</t>
  </si>
  <si>
    <t>10.1029/2010TC002755</t>
  </si>
  <si>
    <t>804JA</t>
  </si>
  <si>
    <t>WOS:000293648900001</t>
  </si>
  <si>
    <t>Gabis, IP; Troshichev, OA</t>
  </si>
  <si>
    <t>Gabis, I. P.; Troshichev, O. A.</t>
  </si>
  <si>
    <t>The Quasi-Biennial Oscillation in the Equatorial Stratosphere: Seasonal Regularity in Zonal Wind Changes, Discrete QBO-cycle Period and Prediction of QBO-cycle Duration</t>
  </si>
  <si>
    <t>GEOMAGNETISM AND AERONOMY</t>
  </si>
  <si>
    <t>SOLAR UV IRRADIANCE; PHASE-SPACE; OZONE; MODULATION</t>
  </si>
  <si>
    <t>The changes of vertical wind structure in equatorial stratosphere in course of Quasi-Biennial Oscillation (QBO) demonstrates the evident seasonal dependence. The easterly wind regime descending from the middle to lower stratosphere always includes the stationary period-the stagnation stage. At stagnation stage the bottom boundary of the easterly wind is located in different QBO-cycles at different altitude in the range from similar to 22 to similar to 26 km, but in each QBO-cycle this altitude is actually constant during the whole stagnation period. Stagnation always begins in solstice (in June-July or December-January). Descent of the easterly wind after stagnation is always resumed near equinox-in March-April or September-October. Consequently, the duration of stagnation stage varies discretely and can be equal to one, three, or five seasons (three, nine, or fifteen months, respectively) in different QBO-cycles. The QBO-cycle period determined as an interval between the beginnings of two successive stagnation stages turns out to be of discrete duration also, and can be equal to 24, 30, or 36 months. The dependence of many atmosphere phenomena determining the Earth's climate on QBO-phase suggests the need to forecast the QBO-cycle evolution. The established seasonal regularity and discrete QBO-cycle period make it possible the forecasting the QBO-cycle evolution, its duration, and the dates of the QBO-phase changing.</t>
  </si>
  <si>
    <t>[Gabis, I. P.; Troshichev, O. A.] Arctic &amp; Antarctic Res Inst, St Petersburg 199397, Russia</t>
  </si>
  <si>
    <t>Arctic &amp; Antarctic Research Institute</t>
  </si>
  <si>
    <t>Gabis, IP (corresponding author), Arctic &amp; Antarctic Res Inst, Ul Beringa 38, St Petersburg 199397, Russia.</t>
  </si>
  <si>
    <t>gabis@aari.nw.ru; olegtro@aari.nw.ru</t>
  </si>
  <si>
    <t>MAIK NAUKA/INTERPERIODICA/SPRINGER</t>
  </si>
  <si>
    <t>233 SPRING ST, NEW YORK, NY 10013-1578 USA</t>
  </si>
  <si>
    <t>0016-7932</t>
  </si>
  <si>
    <t>GEOMAGN AERONOMY+</t>
  </si>
  <si>
    <t>Geomagn. Aeron.</t>
  </si>
  <si>
    <t>AUG</t>
  </si>
  <si>
    <t>10.1134/S0016793211040104</t>
  </si>
  <si>
    <t>865ZA</t>
  </si>
  <si>
    <t>WOS:000298348200009</t>
  </si>
  <si>
    <t>Blagoveshchenskiy, DV; Rogov, DD</t>
  </si>
  <si>
    <t>Blagoveshchenskiy, D. V.; Rogov, D. D.</t>
  </si>
  <si>
    <t>Manifestations of Geomagnetic Activity on a Transauroral HF Radio Path</t>
  </si>
  <si>
    <t>PROPAGATION; STORM</t>
  </si>
  <si>
    <t>This paper considers the results of an experiment conducted in May 2002 on the radio path St. Petersburg-Spitsbergen with a length of D = 2150 km and equipped with instrumentation for oblique ionospheric sounding (OIS). The features of OIS ionograms at various degrees of magnetic activity are revealed, and a comparison of these ionograms with the vertical sounding (VS) data at the Sodankyla observatory (Finland) is performed. This observatory is located near the reflection point of the path in question. In order to estimate the auroral absorption, riometer data from the Sodankyla observatory were included in the analysis of the OIS and VS ionograms. The merits of the OIS method as a diagnostic tool of ionospheroic plasma in comparison with VS at high latitudes are demonstrated. These merits are mainly formulated for magnetically disturbed periods: in the presence of B events (black-outs), anomalous sporadic Es formations, and a series of other events.</t>
  </si>
  <si>
    <t>[Blagoveshchenskiy, D. V.] St Petersburg State Univ Aerosp Instrumentat, St Petersburg, Russia; [Rogov, D. D.] Arctic &amp; Antarctic Res Inst, St Petersburg, Russia</t>
  </si>
  <si>
    <t>Saint Petersburg State University of Aerospace Instrumentation; Arctic &amp; Antarctic Research Institute</t>
  </si>
  <si>
    <t>Blagoveshchenskiy, DV (corresponding author), St Petersburg State Univ Aerosp Instrumentat, St Petersburg, Russia.</t>
  </si>
  <si>
    <t>Rogov, Denis/AAH-2763-2020</t>
  </si>
  <si>
    <t>10.1134/S001679321104013X</t>
  </si>
  <si>
    <t>WOS:000298348200012</t>
  </si>
  <si>
    <t>Tarakanov, RY</t>
  </si>
  <si>
    <t>Tarakanov, R. Yu</t>
  </si>
  <si>
    <t>Southern Jets of the Antarctic Circumpolar Current in the Eastern Pacific Antarctic</t>
  </si>
  <si>
    <t>OCEANOLOGY</t>
  </si>
  <si>
    <t>OCEAN FRONTS; DRIVEN; EXTENT; SEA</t>
  </si>
  <si>
    <t>The advent of the era of satellite observations of the ocean surface has resulted in a considerable complication of views on the structure of currents in the World Ocean. Up to eight jets came to be distinguished in the zone of the Antarctic Circumpolar Current (ACC). To identify these jets, it is conventional to use qualitative criteria relating a jet's position to the isoline of a characteristic (temperature, for instance) on any near-horizantal surface. In the present work, based on data of sections and climatology of the World Ocean Circulation Experiment (WOCE) program, we examine the temperature patterns of the subsurface waters of the Southern Ocean, which are commonly used for recognition of fronts. The focus is on the southern jets of the ACC in the Eastern Pacific Antarctic. There are two groups of criteria for these jets, which imply that position of the latter is determined from a certain isotherm on the surface of the minimum (maximum) potential temperature of the Winter water (Upper Circumpolar Deep Water). However, the results of our analysis show that, in fact, the WOCE climatology data allow one to formulate temperature criteria only for the second of the above groups and only for individual sectors of the Southern Ocean-specifically, for the study area. These criteria serve as the basis for determining localization of the southern jets of the ACC in the WOCE sections in this ocean's region. We also show that the temperature increased by about 0.1 degrees C from the mid-1990s to the mid-2000s in the layer of maximum temperature of the Upper Circumpolar Deep Water in the zone of southern jets of the ACC.</t>
  </si>
  <si>
    <t>Russian Acad Sci, PP Shirshov Oceanol Inst, Moscow, Russia</t>
  </si>
  <si>
    <t>Russian Academy of Sciences; Shirshov Institute of Oceanology</t>
  </si>
  <si>
    <t>Tarakanov, RY (corresponding author), Russian Acad Sci, PP Shirshov Oceanol Inst, Moscow, Russia.</t>
  </si>
  <si>
    <t>rtarakanov@gmail.com</t>
  </si>
  <si>
    <t>Tarakanov, Roman/R-3325-2016</t>
  </si>
  <si>
    <t>Tarakanov, Roman/0000-0002-8711-1859</t>
  </si>
  <si>
    <t>Russian Foundation for Basic Research [09-05-00802a]; Fundamental Research of the Presidium of the Russian Academy of Sciences [20]</t>
  </si>
  <si>
    <t>Russian Foundation for Basic Research(Russian Foundation for Basic Research (RFBR)Spanish Government); Fundamental Research of the Presidium of the Russian Academy of Sciences</t>
  </si>
  <si>
    <t>This study was supported by the Russian Foundation for Basic Research (project no. 09-05-00802a) and by Program No. 20 of Fundamental Research of the Presidium of the Russian Academy of Sciences.</t>
  </si>
  <si>
    <t>0001-4370</t>
  </si>
  <si>
    <t>OCEANOLOGY+</t>
  </si>
  <si>
    <t>Oceanology</t>
  </si>
  <si>
    <t>10.1134/S0001437011040175</t>
  </si>
  <si>
    <t>868YU</t>
  </si>
  <si>
    <t>WOS:000298563300006</t>
  </si>
  <si>
    <t>Schreider, AA; Schreider, AA; Boiko, AN; Kashintsev, GL; Evsenko, EI</t>
  </si>
  <si>
    <t>Schreider, Al A.; Schreider, A. A.; Boiko, A. N.; Kashintsev, G. L.; Evsenko, E. I.</t>
  </si>
  <si>
    <t>The Separation of Ceylon from Antarctica</t>
  </si>
  <si>
    <t>SPREADING MAGNETIC-ANOMALIES; SRI-LANKA; EAST ANTARCTICA; CONTINENTAL-MARGIN; CENTRAL MADAGASCAR; ENDERBY BASIN; FLOOD BASALTS; BREAK-UP; SEA; GONDWANA</t>
  </si>
  <si>
    <t>The geometry of the junction between Ceylon and Antarctica during the Gondwanaland breakup is still under discussion. Analysis of the available geological-geophysical materials has allowed the peculiarities of Ceylon separation from Antarctica to be characterized, the new paleogeodynamical reconstruction to be elaborated, and a prognosis of the tectonic structure and mineral resources in the areas of Antarctic coast that were adjacent to Ceylon to be made.</t>
  </si>
  <si>
    <t>[Schreider, Al A.] OOO NIIgazekonomika, Moscow, Russia; [Schreider, A. A.; Boiko, A. N.; Kashintsev, G. L.; Evsenko, E. I.] Russian Acad Sci, PP Shirshov Oceanol Inst, Moscow, Russia</t>
  </si>
  <si>
    <t>Schreider, AA (corresponding author), OOO NIIgazekonomika, Moscow, Russia.</t>
  </si>
  <si>
    <t>aschr@ocean.ru</t>
  </si>
  <si>
    <t>Boyko, Alexey N/Z-2106-2018; Sazhneva, Alexandra/HPG-9897-2023</t>
  </si>
  <si>
    <t>1531-8508</t>
  </si>
  <si>
    <t>10.1134/S0001437011040151</t>
  </si>
  <si>
    <t>WOS:000298563300014</t>
  </si>
  <si>
    <t>Ferrari, L; Gil, DG; Vinuesa, JH</t>
  </si>
  <si>
    <t>Ferrari, Lucrecia; Gil, Damian G.; Vinuesa, Julio H.</t>
  </si>
  <si>
    <t>Breeding and fecundity of the sub-Antarctic crab Halicarcinus planatus (Crustacea: Hymenosomatidae) in the Deseado River estuary, Argentina</t>
  </si>
  <si>
    <t>JOURNAL OF THE MARINE BIOLOGICAL ASSOCIATION OF THE UNITED KINGDOM</t>
  </si>
  <si>
    <t>embryonic development; spawning; incubation time; Halicarcinus planatus</t>
  </si>
  <si>
    <t>AUSTRALIS HASWELL CRUSTACEA; MUNIDA-GREGARIA; DECAPODA; REPRODUCTION; BRACHYURA; GROWTH; GALATHEIDAE</t>
  </si>
  <si>
    <t>Halicarcinus planatus is the only species of the genus occurring at the southern tip of South America, in sub- Antarctic, cold-temperate waters. Previously it has been shown that the population from the estuary of the Deseado River presents a spatial segregation by sex, a complete overlapping of sizes among adolescents and adult females. Females go through two reproductive seasons, separated by a resting period during late summer and early autumn, and 7 to 8 spawns are produced following a single mating. The aims of the present work were to evaluate the duration of the embryonic development until hatching during successive spawning, to determine the fecundity and to discuss the adaptive reproductive strategies of this population. Breeding occurs from nearly 2 degrees C to above 16 degrees C. The incubation period lasts nearly 100 days in winter and between 30 and 40 days in summer. The fecundity ranged from 210 to 2150 eggs, it differs between successive spawning and a positive relationship was found between fecundity and carapace width. This population has the highest fecundity compared to other populations, but also compared to other species of the genus. The high number of successive spawns is directly linked to the increase of seawater temperature by the end of spring and during summer. This way, this species would be very well adapted to live in the more temperate waters of Patagonian coasts.</t>
  </si>
  <si>
    <t>[Gil, Damian G.; Vinuesa, Julio H.] Univ Nacl Patagonia San Juan Bosco, Inst Desarrollo Costero, RA-9000 Comodoro Rivadavia, Chubut, Argentina; [Ferrari, Lucrecia] Univ Nacl Lujan, Inst Ecol &amp; Desarrollo Sustentable, Dept Ciencias Basicas, Programa Ecofisiol Aplicada, RA-6700 Lujan, Argentina; [Ferrari, Lucrecia] Comis Invest Cient, RA-1900 La Plata, Buenos Aires, Argentina; [Vinuesa, Julio H.] Consejo Nacl Invest Cient &amp; Tecn, RA-9000 Comodoro Rivadavia, Chubut, Argentina</t>
  </si>
  <si>
    <t>Universidad Nacional de la Patagonia San Juan Bosco; Universidad Nacional de Lujan; Comision de Investigaciones Cientificas; Consejo Nacional de Investigaciones Cientificas y Tecnicas (CONICET)</t>
  </si>
  <si>
    <t>Vinuesa, JH (corresponding author), Univ Nacl Patagonia San Juan Bosco, Inst Desarrollo Costero, Ruta 1,Km 4, RA-9000 Comodoro Rivadavia, Chubut, Argentina.</t>
  </si>
  <si>
    <t>julio.vinuesa@gmail.com</t>
  </si>
  <si>
    <t>Gil, Damian Gaspar/ABF-8094-2021</t>
  </si>
  <si>
    <t>Gil, Damian Gaspar/0000-0002-8084-2181</t>
  </si>
  <si>
    <t>Consejo Nacional de Investigaciones Cientificas y Tecnicas (CONICET); Universidad Nacional de Lujan, Argentina</t>
  </si>
  <si>
    <t>Consejo Nacional de Investigaciones Cientificas y Tecnicas (CONICET)(Consejo Nacional de Investigaciones Cientificas y Tecnicas (CONICET)); Universidad Nacional de Lujan, Argentina</t>
  </si>
  <si>
    <t>We thank Natalia Melgar for technical assistance. Our gratitude to the referees' comments, suggestions and criticisms that helped us to improve significantly the manuscript. This research was partially supported by the Consejo Nacional de Investigaciones Cientificas y Tecnicas (CONICET) and the Universidad Nacional de Lujan, Argentina.</t>
  </si>
  <si>
    <t>CAMBRIDGE UNIV PRESS</t>
  </si>
  <si>
    <t>32 AVENUE OF THE AMERICAS, NEW YORK, NY 10013-2473 USA</t>
  </si>
  <si>
    <t>0025-3154</t>
  </si>
  <si>
    <t>1469-7769</t>
  </si>
  <si>
    <t>J MAR BIOL ASSOC UK</t>
  </si>
  <si>
    <t>J. Mar. Biol. Assoc. U.K.</t>
  </si>
  <si>
    <t>10.1017/S0025315410001840</t>
  </si>
  <si>
    <t>Marine &amp; Freshwater Biology</t>
  </si>
  <si>
    <t>785WN</t>
  </si>
  <si>
    <t>Green Published</t>
  </si>
  <si>
    <t>WOS:000292263400007</t>
  </si>
  <si>
    <t>Lee, JE; Chown, SL</t>
  </si>
  <si>
    <t>Lee, Jennifer E.; Chown, Steven L.</t>
  </si>
  <si>
    <t>Quantification of intra-regional propagule movements in the Antarctic</t>
  </si>
  <si>
    <t>ANTARCTIC SCIENCE</t>
  </si>
  <si>
    <t>Marion Island; non-indigenous species; risk assessment; vector</t>
  </si>
  <si>
    <t>PRINCE EDWARD ISLANDS; ALIEN VASCULAR PLANTS; VICTORIA LAND; INVASIONS; MARION; CONSERVATION; EXPANSION; SELECTION; ECOLOGY; MODEL</t>
  </si>
  <si>
    <t>Management of non-native species introductions is a conservation priority in the Antarctic region. However, despite the recognised importance of intra-regional propagule transfer, the majority of studies have focused on inter-regional pathways (i.e. from outside of the Antarctic region). Here we quantify the number of seeds carried by expeditioners who have visited sub-Antarctic Marion Island. We recorded 420 seeds from 225 items of clothing, with seeds found on 52% of the items and soil on 45% of them. The median number of seeds for field-based and station-based personnel was 20.5 and 3 per person, respectively. Waterproof trousers and socks, particularly those of field workers, carry the greatest number of propagules (for field workers, medians of 5 and 6.5, respectively) and therefore should be the focus of intra-regional management interventions. Amongst the seeds found entrained within clothing several were from species which are widespread aliens in the Antarctic region including Agrostis stolonifera, Poa annua and Sagina procumbens, and indigenous zoochorous species (Acaena magellanica, Uncinia compacta) were also well represented. The present data provide quantitative evidence in support of previous, largely hypothetical concerns about the risks of intra-regional propagule transfer in the Antarctic.</t>
  </si>
  <si>
    <t>[Lee, Jennifer E.; Chown, Steven L.] Univ Stellenbosch, Dept Bot &amp; Zool, Ctr Invas Biol, ZA-7602 Matieland, South Africa</t>
  </si>
  <si>
    <t>Stellenbosch University</t>
  </si>
  <si>
    <t>Lee, JE (corresponding author), Univ Stellenbosch, Dept Bot &amp; Zool, Ctr Invas Biol, Private Bag X1, ZA-7602 Matieland, South Africa.</t>
  </si>
  <si>
    <t>jlee@sun.ac.za</t>
  </si>
  <si>
    <t>Chown, Steven/ABD-7646-2021; Chown, Steven/H-3347-2011</t>
  </si>
  <si>
    <t>Chown, Steven/0000-0001-6069-5105</t>
  </si>
  <si>
    <t>0954-1020</t>
  </si>
  <si>
    <t>1365-2079</t>
  </si>
  <si>
    <t>ANTARCT SCI</t>
  </si>
  <si>
    <t>Antarct. Sci.</t>
  </si>
  <si>
    <t>10.1017/S0954102011000198</t>
  </si>
  <si>
    <t>Environmental Sciences; Geography, Physical; Geosciences, Multidisciplinary</t>
  </si>
  <si>
    <t>Environmental Sciences &amp; Ecology; Physical Geography; Geology</t>
  </si>
  <si>
    <t>800CQ</t>
  </si>
  <si>
    <t>WOS:000293337000004</t>
  </si>
  <si>
    <t>Pecl, GT; Tracey, SR; Danyushevsky, L; Wotherspoon, S; Moltschaniwskyj, NA</t>
  </si>
  <si>
    <t>Pecl, Gretta T.; Tracey, Sean R.; Danyushevsky, Leonid; Wotherspoon, Simon; Moltschaniwskyj, Natalie A.</t>
  </si>
  <si>
    <t>Elemental fingerprints of southern calamary (Sepioteuthis australis) reveal local recruitment sources and allow assessment of the importance of closed areas</t>
  </si>
  <si>
    <t>CANADIAN JOURNAL OF FISHERIES AND AQUATIC SCIENCES</t>
  </si>
  <si>
    <t>POPULATION-STRUCTURE; LARVAL DISPERSAL; TRACE-ELEMENTS; MARINE INVERTEBRATE; SPATIAL MANAGEMENT; FISH OTOLITHS; LIFE-HISTORY; SQUID; CONNECTIVITY; STATOLITHS</t>
  </si>
  <si>
    <t>Movement of individuals over a range of temporal and spatial scales is a critical process in determining the structure and size of populations. For most marine species, a substantial amount of movement that is responsible for connecting subpopulations occurs when individuals are too small and numerous to be tagged using conventional methods. Using the elemental fingerprints of the statoliths of the squid Sepioteuthis australis and a robust machine learning classification technique, this study determined that newly hatched squid had elemental signatures that exhibited sufficient spatial variation to act as natural tags for natal origin and that elemental signatures can be used to allocate adult squid back to their natal site. Between 55% and 84% of the adult squid caught throughout the east and southeast of Tasmania, Australia, were classified back to an area that is closed to commercial fishing over much of the peak spawning period, and this was the only location with substantive evidence of natal recruitment. Although many studies have demonstrated the potential of this approach to discern connectivity between population units, few studies have successfully done so by then examining the trace element profiles of adults in addition to those of hatchlings as we have demonstrated with S. australis.</t>
  </si>
  <si>
    <t>[Pecl, Gretta T.; Tracey, Sean R.] Univ Tasmania, Inst Marine &amp; Antarctic Studies, Hobart, Tas 7001, Australia; [Danyushevsky, Leonid] Univ Tasmania, Ctr Ore Deposit Res, Hobart, Tas 7001, Australia; [Wotherspoon, Simon] Univ Tasmania, Sch Math &amp; Phys, Hobart, Tas 7001, Australia; [Moltschaniwskyj, Natalie A.] Univ Tasmania, Natl Ctr Marine Conservat &amp; Resource Sustainabil, Hobart, Tas 7520, Australia</t>
  </si>
  <si>
    <t>University of Tasmania; University of Tasmania; University of Tasmania; University of Tasmania</t>
  </si>
  <si>
    <t>Pecl, GT (corresponding author), Univ Tasmania, Inst Marine &amp; Antarctic Studies, Private Bag 49, Hobart, Tas 7001, Australia.</t>
  </si>
  <si>
    <t>Gretta.Pecl@utas.edu.au</t>
  </si>
  <si>
    <t>Moltschaniwskyj, Natalie/D-2048-2012; Wotherspoon, Simon J/B-2390-2013; Pecl, Gretta/D-7267-2011; Moltschaniwskyj, Natalie/AAB-7236-2019; Danyushevsky, Leonid/C-5346-2013; Tracey, Sean/J-7446-2014</t>
  </si>
  <si>
    <t>Wotherspoon, Simon J/0000-0002-6947-4445; Pecl, Gretta/0000-0003-0192-4339; Danyushevsky, Leonid/0000-0003-4050-6850; Moltschaniwskyj, Natalie/0000-0001-9709-9876; Tracey, Sean/0000-0002-6735-5899</t>
  </si>
  <si>
    <t>Australian Research Council [LP0347556]; Fishwise Community; Department of Primary Industry; Tasmanian Seafood Industry Council; Australian Research Council [LP0347556] Funding Source: Australian Research Council</t>
  </si>
  <si>
    <t>Australian Research Council(Australian Research Council); Fishwise Community; Department of Primary Industry; Tasmanian Seafood Industry Council; Australian Research Council(Australian Research Council)</t>
  </si>
  <si>
    <t>We thank Sarah Gilbert for assistance with the trace element procedures, Arko Lucieer and Hugh Pederson for earlier discussion on the statistical procedures, and Bronwyn Gillanders for general advice on the use of trace element analysis. We also extend thanks to the southern calamary fishers who provided adult samples and staff from the Tasmanian Aquaculture and Fisheries Institute who assisted with dive surveys for the collection of southern calamary hatchlings. This project was funded by the Australian Research Council LP0347556 awarded to GTP, the Fishwise Community Grant Scheme, and the Department of Primary Industry, Parks and the Environment with the support of Tasmanian Seafood Industry Council.</t>
  </si>
  <si>
    <t>CANADIAN SCIENCE PUBLISHING</t>
  </si>
  <si>
    <t>OTTAWA</t>
  </si>
  <si>
    <t>65 AURIGA DR, SUITE 203, OTTAWA, ON K2E 7W6, CANADA</t>
  </si>
  <si>
    <t>0706-652X</t>
  </si>
  <si>
    <t>1205-7533</t>
  </si>
  <si>
    <t>CAN J FISH AQUAT SCI</t>
  </si>
  <si>
    <t>Can. J. Fish. Aquat. Sci.</t>
  </si>
  <si>
    <t>10.1139/F2011-059</t>
  </si>
  <si>
    <t>835JX</t>
  </si>
  <si>
    <t>WOS:000296033800005</t>
  </si>
  <si>
    <t>C</t>
  </si>
  <si>
    <t>Becker, JK</t>
  </si>
  <si>
    <t>Becker, J. K.</t>
  </si>
  <si>
    <t>IceCube Collaboration</t>
  </si>
  <si>
    <t>Status and results of the IceCube experiment</t>
  </si>
  <si>
    <t>NUCLEAR PHYSICS B-PROCEEDINGS SUPPLEMENTS</t>
  </si>
  <si>
    <t>Proceedings Paper</t>
  </si>
  <si>
    <t>Neutrino Oscillation Workshop (NOW)</t>
  </si>
  <si>
    <t>SEP 05-11, 2010</t>
  </si>
  <si>
    <t>Otranto, ITALY</t>
  </si>
  <si>
    <t>HIGH-ENERGY NEUTRINOS; SPECTRA</t>
  </si>
  <si>
    <t>IceCube is a 1 km(3) scale detector, deployed in the Antarctic ice, aimed at observing high-energy neutrinos from extraterrestrial sources. Currently, 79 strings of photomultipliers are installed between 1500 m and 2500 m below the ice surface. Completion is planned for January 2011, with a total of 86 strings. Neutrinos above 100 GeV are already being detected, so far identified as atmospheric neutrinos, generated in the interaction of cosmic rays with molecules in the atmosphere. One if the central goals of IceCube is the identification of sources of cosmic rays: when neutrinos are produced in proton-photon or proton-proton interactions in a cosmic ray source, the neutrinos carry unique information about the sources and source region, as they travel straight from the production region to the detection region. Cosmic rays do not provide this information, since they are deflected and scrambled by cosmic magnetic fields. In this talk, the status of the IceCube experiment will be presented. Further, the prospects of IceCube detecting extragalactic sources like supernova remnants, Active Galactic Nuclei and gamma-ray bursts will be reviewed.</t>
  </si>
  <si>
    <t>[Becker, J. K.] Ruhr Univ Bochum, Fak Phys &amp; Astron, D-44780 Bochum, Germany</t>
  </si>
  <si>
    <t>University of Wurzburg; Ruhr University Bochum</t>
  </si>
  <si>
    <t>Becker, JK (corresponding author), Ruhr Univ Bochum, Fak Phys &amp; Astron, D-44780 Bochum, Germany.</t>
  </si>
  <si>
    <t>Sánchez, Juan Antonio Aguilar/H-4467-2015; Tjus, Julia/G-8145-2012</t>
  </si>
  <si>
    <t>Tjus, Julia/0000-0002-1748-7367</t>
  </si>
  <si>
    <t>0920-5632</t>
  </si>
  <si>
    <t>1873-3832</t>
  </si>
  <si>
    <t>NUCL PHYS B-PROC SUP</t>
  </si>
  <si>
    <t>Nucl. Phys. B-Proc. Suppl.</t>
  </si>
  <si>
    <t>10.1016/j.nuclphysbps.2011.04.116</t>
  </si>
  <si>
    <t>Physics, Particles &amp; Fields</t>
  </si>
  <si>
    <t>Conference Proceedings Citation Index - Science (CPCI-S)</t>
  </si>
  <si>
    <t>Physics</t>
  </si>
  <si>
    <t>825QI</t>
  </si>
  <si>
    <t>WOS:000295296500063</t>
  </si>
  <si>
    <t>Siingh, D; Pant, V; Kamra, AK</t>
  </si>
  <si>
    <t>Siingh, Devendraa; Pant, Vimlesh; Kamra, A. K.</t>
  </si>
  <si>
    <t>The ion-aerosol interactions from the ion mobility and aerosol particle size distribution measurements on January 17 and February 18, 2005 at Maitri, Antarctica - A case study</t>
  </si>
  <si>
    <t>JOURNAL OF EARTH SYSTEM SCIENCE</t>
  </si>
  <si>
    <t>Mobility spectra of ions; aerosol particle size distribution; Gerdian Ion Counter Battery; ion-aerosol interactions; new-particle formation at Antarctica</t>
  </si>
  <si>
    <t>GLOBAL ELECTRIC-CIRCUIT; AIR IONS; ATMOSPHERIC IONS; EARTHS ATMOSPHERE; FORMATION EVENTS; BOREAL FOREST; COSMIC-RAYS; SPECTRUM; CLASSIFICATION; CONDUCTIVITY</t>
  </si>
  <si>
    <t>A case study for the ion-aerosol interactions is presented from the simultaneous measurements of mobility spectra of atmospheric ions in the mobility range of 2.29 to 2.98 x 10(-4) cm(2) V(-1) s(-1) (diameter range 0.41-109 nm) and of size distribution of atmospheric aerosol particles in the size ranges of 4.4-700 nm and 500-20,000 nm diameters made at Maitri (70 degrees 45'52 '' S, 11 degrees 44'2.7 '' E; 130 m above mean sea level), Antarctica, on two days January 17 and February 18, 2005, with contrasting meteorological conditions. In contrast to January 17, on February 18, winds were stronger from the morning to noon and lower from the noon to evening, atmospheric pressure was lower, cloudiness was more, the land surface remained snow-covered after a blizzard on February 16 and 17 and the airmass over Maitri, descended from an altitude of similar to 3 km after an excursion over ocean. On these days mobility spectra showed two modes, corresponding to intermediate ions and light large ions and an indication of additional one/two maxima for small/cluster ions and heavy large ions. The small ions generated by cosmic rays, and the nucleation mode particles generated probably by photochemical reactions grew in size by condensation of volatile trace gases on them and produced the cluster and intermediate ion modes and the Aitken particle mode in ion/particle spectra. Particles in the size range of 9-26 nm have been estimated to grow at the rate of 1.9 nm h(-1) on February 18, 2005. Both, ions and aerosol particles show bimodal size distributions in the 16-107 nm size range, and comparison of the two size distributions suggests the formation of multiple charged ions. Attachment of small ions to particles in this bimodal distribution of Aitken particles together with the formation of multiple charged ions are proposed to result in the light and heavy large ion modes. Growth of the nucleation mode particles on February 18, 2005 is associated with the passage of the airmass over ocean. In contrast, though the ion size distributions were not much different, the aerosol size distributions did not show a dominant peak for the formation and growth of nucleation mode particles on January 17. More measurements are needed before the conclusion of this case study is generalized.</t>
  </si>
  <si>
    <t>[Siingh, Devendraa; Pant, Vimlesh; Kamra, A. K.] Indian Inst Trop Meteorol, Pune 411008, Maharashtra, India</t>
  </si>
  <si>
    <t>Ministry of Earth Sciences (MoES) - India; Indian Institute of Tropical Meteorology (IITM)</t>
  </si>
  <si>
    <t>Siingh, D (corresponding author), Indian Inst Trop Meteorol, Dr Homi Bhabha Rd, Pune 411008, Maharashtra, India.</t>
  </si>
  <si>
    <t>devendraasiingh@tropmet.res.in</t>
  </si>
  <si>
    <t>Siingh, Dr Devendraa/ABF-2491-2021</t>
  </si>
  <si>
    <t>Siingh, Dr Devendraa/0000-0003-3044-596X; Pant, Vimlesh/0000-0002-9564-8605; Siingh, Devendraa Siingh/0000-0002-1716-3688</t>
  </si>
  <si>
    <t>INSA Senior Scientist Programme</t>
  </si>
  <si>
    <t>Authors gratefully acknowledge the National Centre for Antarctic and Ocean Research (NCAOR) Goa, India for their participation in the 24th Indian Scientific Expedition to Antarctica (ISEA) and the India Meteorological Department for providing the metrological data. They thank Kirankumar Johare (JSO) for his technical help. Authors also acknowledge the NOAA Air Resources Laboratory (ARL) for the provision of the HYSPLIT transport and dispersion model and READY website (http://www.arl.nioaa.gov.ready.html) and NCEP reanalysis data provided by the NOAA/OAR/ESRL PSD, Boulder, Colorado, USA, from their website (http://www.cdc.noaa.gov). One of the authors (AKK) acknowledges the support under the INSA Senior Scientist Programme. The authors thank the anonymous reviewers for their critical comments which helped in improving the scientific value of this paper.</t>
  </si>
  <si>
    <t>INDIAN ACAD SCIENCES</t>
  </si>
  <si>
    <t>BANGALORE</t>
  </si>
  <si>
    <t>C V RAMAN AVENUE, SADASHIVANAGAR, P B #8005, BANGALORE 560 080, INDIA</t>
  </si>
  <si>
    <t>0253-4126</t>
  </si>
  <si>
    <t>J EARTH SYST SCI</t>
  </si>
  <si>
    <t>J. Earth Syst. Sci.</t>
  </si>
  <si>
    <t>10.1007/s12040-011-0102-5</t>
  </si>
  <si>
    <t>Geosciences, Multidisciplinary; Multidisciplinary Sciences</t>
  </si>
  <si>
    <t>Geology; Science &amp; Technology - Other Topics</t>
  </si>
  <si>
    <t>828XJ</t>
  </si>
  <si>
    <t>WOS:000295537300014</t>
  </si>
  <si>
    <t>Rana, PK; Dash, MK; Routray, A; Pandey, PC</t>
  </si>
  <si>
    <t>Rana, Pravin K.; Dash, Mihir K.; Routray, A.; Pandey, P. C.</t>
  </si>
  <si>
    <t>Prediction of Sea Ice Edge in the Antarctic Using GVF Snake Model</t>
  </si>
  <si>
    <t>JOURNAL OF THE GEOLOGICAL SOCIETY OF INDIA</t>
  </si>
  <si>
    <t>Sea ice modelling; Sea ice edge; Snake model; Antarctica</t>
  </si>
  <si>
    <t>ACTIVE CONTOUR MODELS</t>
  </si>
  <si>
    <t>Antarctic sea ice cover plays an important role in shaping the earth's climate, primarily by insulating the ocean from the atmosphere and increasing the surface albedo. The convective processes accompanied with the sea ice formation result bottom water formation. The cold and dense bottom water moves towards the equator along the ocean basins and takes part in the global thermohaline circulation. Sea ice edge is a potential indicator of climate change. Additionally, fishing and commercial shipping activities as well as military submarine operations in the polar seas need reliable ice edge information. However, as the sea ice edge is unstable in time, the temporal validity of the estimated ice edge is often shorter than the time required to transfer the information to the operational user. Hence, an accurate sea ice edge prediction as well as determination is crucial for fine-scale geophysical modeling and for near-real-time operations. In this study, active contour modelling (known as Snake model) and non-rigid motion estimation techniques have been used for predicting the sea ice edge (SIE) in the Antarctic. For this purpose the SIE has been detected from sea ice concentration derived using special sensor microwave imager (SSM/I) observations. The 15% sea ice concentration pixels are being taken as the edge pixel between ice and water. The external force, gradient vector flow (GVF), of SIE for total the Antarctic region is parameterised for daily as well as weekly data set. The SIE is predicted at certain points using a statistical technique. These predicted points have been used to constitute a SIE using artificial intelligence technique, the gradient vector flow (GVF). The predicted edge has been validated with that of SSM/I. It is found that all the major curvatures have been captured by the predicated edge and it is in good agreement with that of the SSM/I observation.</t>
  </si>
  <si>
    <t>[Rana, Pravin K.] Royal Inst Technol, Stockholm, Sweden; [Dash, Mihir K.; Routray, A.; Pandey, P. C.] Indian Inst Technol, Kharagpur 721302, W Bengal, India</t>
  </si>
  <si>
    <t>Royal Institute of Technology; Indian Institute of Technology System (IIT System); Indian Institute of Technology (IIT) - Kharagpur</t>
  </si>
  <si>
    <t>Rana, PK (corresponding author), Royal Inst Technol, Stockholm, Sweden.</t>
  </si>
  <si>
    <t>mihir@coral.iikgp.ernet.in</t>
  </si>
  <si>
    <t>Rana, Pravin Kumar/J-2435-2019</t>
  </si>
  <si>
    <t>Rana, Pravin Kumar/0000-0003-0413-6717</t>
  </si>
  <si>
    <t>National Centre for Antarctic and Ocean Research, Goa, India</t>
  </si>
  <si>
    <t>The data used in the study are downloaded from NSIDC and NCEP/NCAR. Some of the software used are available from http://www.iacl.ece.jhu.edu/static/gvf. Financial assistance is provided by National Centre for Antarctic and Ocean Research, Goa, India.</t>
  </si>
  <si>
    <t>SPRINGER INDIA</t>
  </si>
  <si>
    <t>NEW DELHI</t>
  </si>
  <si>
    <t>7TH FLOOR, VIJAYA BUILDING, 17, BARAKHAMBA ROAD, NEW DELHI, 110 001, INDIA</t>
  </si>
  <si>
    <t>0016-7622</t>
  </si>
  <si>
    <t>J GEOL SOC INDIA</t>
  </si>
  <si>
    <t>J. Geol. Soc. India</t>
  </si>
  <si>
    <t>10.1007/s12594-011-0076-6</t>
  </si>
  <si>
    <t>823ZO</t>
  </si>
  <si>
    <t>WOS:000295168200001</t>
  </si>
  <si>
    <t>Sharma, V; Daneshian, J; Devi, LB</t>
  </si>
  <si>
    <t>Sharma, V.; Daneshian, Jahanbakhsh; Devi, L. Bhagyapati</t>
  </si>
  <si>
    <t>Early Neogene Radiolarian Faunal Turnover in the Northern Indian Ocean: Evidence from Andaman-Nicobar</t>
  </si>
  <si>
    <t>Faunal turnover; Miocene; Early Neogene; Radiolarians; Indian Ocean; Andaman-Nicobar</t>
  </si>
  <si>
    <t>ANTARCTIC ICE-SHEET; MIOCENE CLIMATIC TRANSITION; MIDDLE MIOCENE; ISOTOPE STRATIGRAPHY; PACIFIC; OLIGOCENE; OXYGEN; CIRCULATION; COLEBROOK; EVOLUTION</t>
  </si>
  <si>
    <t>Two intervals of faunal turnover are revealed by the study of radiolarians from the Early to Middle Miocene sequence of Andaman-Nicobar belonging to Stichocorys wolffii -Calocycletta costata -Dorcadospyris alata zones. These faunal changes are reflected in the values of species diversity, change in abundance of taxa, origination and extinction events and change in radiolarian assemblages. One such faunal change is identified in the latest Early Miocene. The time of this faunal change is marked by the extinction of species like Carpocanopsis cingulata and appearance of Calocycletta costata, Giraffospyris toxaria, Acrocubus octopylus and Liriospyris parkerae, an increasing trend in percentage of cold water species and a decreasing trend in species diversity upwards. The interval coincides with the time of initiation of cooling of sea surface water. Another, and the most prominent faunal turnover of radiolarians is recognized in the Middle Miocene Dorcadospyris alata Zone at about 14.8-12.7 Ma and is characterized by almost complete disappearance of an earlier dominant assemblage and an increase in abundance of an assemblage that was practically absent in the older sequence. The time of this turnover can be correlated with the time of Middle Miocene cooling identified in the examined sequence.</t>
  </si>
  <si>
    <t>[Sharma, V.; Devi, L. Bhagyapati] Univ Delhi, Dept Geol, Delhi 110007, India; [Daneshian, Jahanbakhsh] Teachers Training Univ Tehran, Dept Geol, Tehran, Iran</t>
  </si>
  <si>
    <t>University of Delhi</t>
  </si>
  <si>
    <t>Sharma, V (corresponding author), Univ Delhi, Dept Geol, Delhi 110007, India.</t>
  </si>
  <si>
    <t>vsharma752004@yahoo.co.in</t>
  </si>
  <si>
    <t>Ministry of Culture and Higher Education of I.R. Iran; Council of Scientific and Industrial Research, India</t>
  </si>
  <si>
    <t>Ministry of Culture and Higher Education of I.R. Iran; Council of Scientific and Industrial Research, India(Council of Scientific &amp; Industrial Research (CSIR) - India)</t>
  </si>
  <si>
    <t>The authors are thankful to Dr. M.S. Srinivasan, Prof. Emeritus, Department of Geology, Banaras Hindu University, India, for providing samples and stratigraphic data of the Piu Bay section, Colebrook Island and North Coast section and West Coast section of Nancowry and Kamorta islands. Thanks are due to the authorities of the Andaman-Nicobar administration for their help during the field work. The work was supported by grants from the Ministry of Culture and Higher Education of I.R. Iran and by the Council of Scientific and Industrial Research, India.</t>
  </si>
  <si>
    <t>0974-6889</t>
  </si>
  <si>
    <t>10.1007/s12594-011-0071-y</t>
  </si>
  <si>
    <t>WOS:000295168200007</t>
  </si>
  <si>
    <t>Österblom, H; Sumaila, UR</t>
  </si>
  <si>
    <t>Osterblom, Henrik; Sumaila, Ussif Rashid</t>
  </si>
  <si>
    <t>Toothfish crises, actor diversity and the emergence of compliance mechanisms in the Southern Ocean</t>
  </si>
  <si>
    <t>GLOBAL ENVIRONMENTAL CHANGE-HUMAN AND POLICY DIMENSIONS</t>
  </si>
  <si>
    <t>Adaptive capacity; Cooperation; Crisis; Diversity; Governance; Resilience</t>
  </si>
  <si>
    <t>ILLEGAL; GOVERNANCE; SUSTAINABILITY; FISHERIES</t>
  </si>
  <si>
    <t>Illegal, unregulated and unreported (IUU) fishing is a challenging form of non-compliance in many marine ecosystems. IUU fishing has attracted substantial political attention in the Southern Ocean, where a series of crises created windows of opportunity for change. A crises-response framework was used for examining these dynamics between 1995 and 2009. Crises were defined in relation to their perceived threat, decision time and surprise. Published material was combined with the Commission for the Conservation of Antarctic Marine Living Resources (CCAMLRs) expert interviews, to evaluate changing perceptions of IUU fishing and corresponding actions. A first crisis led to an increased use of informal shortcuts and a concentration of power. A second crisis created windows of opportunities for policy entrepreneurs and stimulated policy innovation. A third crisis led to the implementation of existing contingency plans. These responses were consistent with predictions from the crisis-response framework used. The series of crises threatened the credibility of CCAMLR and changed the incentives for engaging in coalitions, which led to the development of both management and enforcement approaches to compliance. State and non-state actors became increasingly involved in developing these diverse compliance mechanisms, thereby actively contributing to the adaptive capacity of CCAMLR. Synergies between fisheries industry, environmental conservation, and state sovereignty interests were effectively utilized. Individual actors, organizations and countries providing leadership had strong incentives for doing so. Trust and reputation was important for the compliance mechanisms leading to a substantial reduction of IUU fishing. (C) 2011 Elsevier Ltd. All rights reserved.</t>
  </si>
  <si>
    <t>[Osterblom, Henrik] Stockholm Univ, Balt Nest Inst, Stockholm Resilience Ctr, S-10691 Stockholm, Sweden; [Osterblom, Henrik; Sumaila, Ussif Rashid] Univ British Columbia, Fisheries Ctr, Vancouver, BC V6T 1Z4, Canada</t>
  </si>
  <si>
    <t>Stockholm University; University of British Columbia</t>
  </si>
  <si>
    <t>Österblom, H (corresponding author), Stockholm Univ, Balt Nest Inst, Stockholm Resilience Ctr, S-10691 Stockholm, Sweden.</t>
  </si>
  <si>
    <t>henrik.osterblom@stockholmresilience.su.se</t>
  </si>
  <si>
    <t>Sumaila, U. Rashid/ABE-6475-2020; Osterblom, Henrik G/D-4249-2012</t>
  </si>
  <si>
    <t>Osterblom, Henrik/0000-0002-1913-5197</t>
  </si>
  <si>
    <t>FORMAS; PEW Charitable Trusts; MISTRA</t>
  </si>
  <si>
    <t>FORMAS(Swedish Research Council Formas); PEW Charitable Trusts; MISTRA</t>
  </si>
  <si>
    <t>We are very grateful to the CCAMLR experts whom voluntary participated in interviews. This study would have been impossible without your assistance. We thank the editors and two anonymous reviewers for significantly improving this manuscript. Dr A.J. Press provided appreciated logistic support. P. Rossing and Z. Alojado assisted with figures. H.O. was funded by FORMAS, with additional support by MISTRA. The Sea Around Us Project and the Global Ocean Economics Project, funded by PEW Charitable Trusts, supported URS. The funding sources had no role in study design, collection, analysis or interpretation of data, or the writing of the report, nor in the decision to submit the manuscript.</t>
  </si>
  <si>
    <t>0959-3780</t>
  </si>
  <si>
    <t>1872-9495</t>
  </si>
  <si>
    <t>GLOBAL ENVIRON CHANG</t>
  </si>
  <si>
    <t>Glob. Environ. Change-Human Policy Dimens.</t>
  </si>
  <si>
    <t>SI</t>
  </si>
  <si>
    <t>10.1016/j.gloenvcha.2011.04.013</t>
  </si>
  <si>
    <t>Environmental Sciences; Environmental Studies; Geography</t>
  </si>
  <si>
    <t>Science Citation Index Expanded (SCI-EXPANDED); Social Science Citation Index (SSCI)</t>
  </si>
  <si>
    <t>Environmental Sciences &amp; Ecology; Geography</t>
  </si>
  <si>
    <t>802ZH</t>
  </si>
  <si>
    <t>WOS:000293549000020</t>
  </si>
  <si>
    <t>Ganzert, L; Bajerski, F; Mangelsdorf, K; Lipski, A; Wagner, D</t>
  </si>
  <si>
    <t>Ganzert, Lars; Bajerski, Felizitas; Mangelsdorf, Kai; Lipski, Andre; Wagner, Dirk</t>
  </si>
  <si>
    <t>Leifsonia psychrotolerans sp nov., a psychrotolerant species of the family Microbacteriaceae from Livingston Island, Antarctica</t>
  </si>
  <si>
    <t>INTERNATIONAL JOURNAL OF SYSTEMATIC AND EVOLUTIONARY MICROBIOLOGY</t>
  </si>
  <si>
    <t>ET-AL. 1984; GEN. NOV.; SEQUENCE DATA; RAPID METHOD; COMB. NOV; CLAVIBACTER; DNA; RECLASSIFICATION; EXTRACTION; DIVERSITY</t>
  </si>
  <si>
    <t>A cold-tolerant, yellow-pigmented, Gram-positive, motile, facultatively anaerobic bacterial strain, LI1(T), was isolated from a moss-covered soil from Livingston Island, Antarctica, near the Bulgarian station St. Kliment Ohridski. Comparative 16S rRNA gene sequence-based phylogenetic analysis placed the strain in a clade with the species Leifsonia kafniensis KFC-22(T), Leifsonia pindariensis PON10(T) and Leifsonia antarctica SPC-20(T), with which it showed sequence similarities of 99.0, 97.9 and 97.9%, respectively. DNA DNA hybridization revealed a reassociation value of 2.7% with L. kafniensis LMG 24362(T). The DNA G content of strain LI1(T) was 64.5 mol%. The growth temperature range was -6 to 28 degrees C, with optimum growth at 16 degrees C. Growth occurred in 0-5% NaCl and at pH 4.5-9.5, with optimum growth in 1-2% NaCl and at pH 5.5-6.5. The predominant fatty acids were anteiso-C(15:0), C(18:0) and iso-C(15:0). The polar lipids were phosphatidylglycerol and diphosphatidylglycerol. Physiological and biochemical tests clearly differentiated strain LI1(T) from L. kafniensis. Therefore, a novel cold-tolerant species within the genus Leifsonia is proposed: Leifsonia psychrotolerans sp. nov. (type strain LI1(T)=DSM 22824(T)=NCCB 100313(T)).</t>
  </si>
  <si>
    <t>[Ganzert, Lars; Bajerski, Felizitas; Wagner, Dirk] Alfred Wegener Inst Polar &amp; Marine Res, Res Dept Potsdam, D-14473 Potsdam, Germany; [Mangelsdorf, Kai] Helmholtz Ctr Potsdam GFZ, German Res Ctr Geosci, D-14473 Potsdam, Germany; [Lipski, Andre] Univ Bonn, Inst Nutr &amp; Food Sci, Dept Food Microbiol &amp; Hyg, D-53115 Bonn, Germany</t>
  </si>
  <si>
    <t>Helmholtz Association; Alfred Wegener Institute, Helmholtz Centre for Polar &amp; Marine Research; Helmholtz Association; Helmholtz-Center Potsdam GFZ German Research Center for Geosciences; University of Bonn</t>
  </si>
  <si>
    <t>Wagner, D (corresponding author), Alfred Wegener Inst Polar &amp; Marine Res, Res Dept Potsdam, Telegrafenberg A45, D-14473 Potsdam, Germany.</t>
  </si>
  <si>
    <t>Dirk.Wagner@awi.de</t>
  </si>
  <si>
    <t>Ganzert, Lars/AAT-1992-2021; Wagner, Dirk/C-3932-2012</t>
  </si>
  <si>
    <t>Ganzert, Lars/0000-0001-9595-1041; Wagner, Dirk/0000-0001-5064-497X</t>
  </si>
  <si>
    <t>Deutsche Forschungsgemeinschaft (DFG) [WA 1554/4, LI 1624/2]</t>
  </si>
  <si>
    <t>Our special gratitude goes to all colleagues on the Bulgarian base St. Kliment Ohridski for supporting fieldwork and logistics, particularly Christo Pimpirev (Bulgarian Antarctic Institute) for his leadership of the expedition Livingston 2005. Furthermore, we wish to thank Hans Hubberten and Georg Schwamborn (Alfred Wegener Institute for Polar and Marine Research) for successful and enjoyable field work. This work was supported by the Deutsche Forschungsgemeinschaft (DFG) in the framework of the priority program Antarctic Research with Comparative Investigations in Arctic Ice Areas, by grants to D. W. (WA 1554/4) and A. L. (LI 1624/2).</t>
  </si>
  <si>
    <t>SOC GENERAL MICROBIOLOGY</t>
  </si>
  <si>
    <t>READING</t>
  </si>
  <si>
    <t>MARLBOROUGH HOUSE, BASINGSTOKE RD, SPENCERS WOODS, READING RG7 1AG, BERKS, ENGLAND</t>
  </si>
  <si>
    <t>1466-5026</t>
  </si>
  <si>
    <t>INT J SYST EVOL MICR</t>
  </si>
  <si>
    <t>Int. J. Syst. Evol. Microbiol.</t>
  </si>
  <si>
    <t>10.1099/ijs.0.021956-0</t>
  </si>
  <si>
    <t>Microbiology</t>
  </si>
  <si>
    <t>815GQ</t>
  </si>
  <si>
    <t>WOS:000294514500027</t>
  </si>
  <si>
    <t>Yamada, K; Fukuda, W; Kondo, Y; Miyoshi, Y; Atomi, H; Imanaka, T</t>
  </si>
  <si>
    <t>Yamada, Kozo; Fukuda, Wakao; Kondo, Yuka; Miyoshi, Yuki; Atomi, Haruyuki; Imanaka, Tadayuki</t>
  </si>
  <si>
    <t>Constrictibacter antarcticus gen. nov., sp nov., a cryptoendolithic micro-organism from Antarctic white rock</t>
  </si>
  <si>
    <t>ALPHA-PROTEOBACTERIA; CONTAINING BACTERIA; EMENDED DESCRIPTION; SKERMANELLA; DIVERSITY; SEQUENCE; MEMBER</t>
  </si>
  <si>
    <t>A Gram-negative, non-spore-forming, ovoid to rod-shaped aerobic or microaerobic bacterium, strain 262-8(T), was isolated from a cavity within white rock collected in Antarctica. Strain 262-8(T) grew at 5-30 degrees C (optimum 25 degrees C), at pH 6-8 (optimum approximately pH 7) and with 0.1-2.0% (w/v) NaCl (optimum 0.5% NaCl). The addition of tryptone or yeast extract was essential for growth. Strain 262-8(T) was able to utilize organic compounds such as ribose, pyruvate and succinate in the presence of a low concentration of tryptone. Ubiquinone 10 was the major respiratory quinone. The major fatty acids were C(18:1), C(16:0) and C(18:0). The G+C content of the genomic DNA was 69.8 mol%. Comparative analyses of 16S rRNA gene sequences and physiological characteristics indicated that strain 262-8(T) was a phylogenetically novel bacterium that should be classified in a new genus of the family Rhodospirillaceae, for which the name Constrictibacter antarcticus gen. nov., sp. nov. is proposed. The type strain of the type species is 262-8(T) (= JCM 16422(T) = ATCC BAA-1906(T)).</t>
  </si>
  <si>
    <t>[Yamada, Kozo; Fukuda, Wakao; Imanaka, Tadayuki] Ritsumeikan Univ, Coll Life Sci, Dept Biotechnol, Shiga 5258577, Japan; [Kondo, Yuka; Miyoshi, Yuki; Atomi, Haruyuki] Kyoto Univ, Grad Sch Engn, Dept Synthet Chem &amp; Biol Chem, Nishikyo Ku, Kyoto 6158510, Japan</t>
  </si>
  <si>
    <t>Ritsumeikan University; Kyoto University</t>
  </si>
  <si>
    <t>Imanaka, T (corresponding author), Ritsumeikan Univ, Coll Life Sci, Dept Biotechnol, 1-1-1 Nojihigashi, Shiga 5258577, Japan.</t>
  </si>
  <si>
    <t>imanaka@sk.ritsumei.ac.jp</t>
  </si>
  <si>
    <t>Atomi, Haruyuki/0000-0001-9687-6426</t>
  </si>
  <si>
    <t>JSPS KAKENHI [19205022]; Grants-in-Aid for Scientific Research [19205022] Funding Source: KAKEN</t>
  </si>
  <si>
    <t>JSPS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</si>
  <si>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The authors would like to express their sincere thanks to all members of the 46th Japanese Antarctic Research Expedition. This study was supported by JSPS KAKENHI (grant number 19205022).</t>
  </si>
  <si>
    <t>10.1099/ijs.0.026625-0</t>
  </si>
  <si>
    <t>WOS:000294514500032</t>
  </si>
  <si>
    <t>Kumar, VV; Makarevich, RA; Kane, TA; Ye, H; Devlin, JC; Dyson, PL</t>
  </si>
  <si>
    <t>Kumar, V. V.; Makarevich, R. A.; Kane, T. A.; Ye, H.; Devlin, J. C.; Dyson, P. L.</t>
  </si>
  <si>
    <t>On the spatiotemporal evolution of the ionospheric backscatter during magnetically disturbed periods as observed by the TIGER Bruny Island HF radar</t>
  </si>
  <si>
    <t>JOURNAL OF ATMOSPHERIC AND SOLAR-TERRESTRIAL PHYSICS</t>
  </si>
  <si>
    <t>HF radar; Ionospheric irregularity; Echo occurrence; Ionospheric density</t>
  </si>
  <si>
    <t>SMALL-SCALE IRREGULARITIES; E-LAYER; STORM; FIELD; CONVECTION; SUPERDARN; STATISTICS; DEPENDENCE; SUBSTORMS; DYNAMICS</t>
  </si>
  <si>
    <t>The Superposed Epoch Analysis (SEA) method is used to examine a 4-year database (2000-2003) of the TIGER Bruny Island radar (MLON=226.78 degrees E, MLAT=55.06 degrees S) measurements to determine typical patterns of the spatiotemporal evolution of ionospheric backscatter during geomagnetically disturbed periods. SEA is performed separately for three disturbance categories: short-, medium-, and long-duration magnetic disturbances, based on the Dst index variation. Prior to SEA, the diurnal, seasonal, and solar cycle effects have been accounted for by subtracting the nominal quiet-time values. It is found that the occurrence of ionospheric HF backscatter exhibited strongest enhancements near t=0 h between 65 degrees S and 70 degrees S MLAT (range of 800-2500 km) during short-duration magnetic disturbance. In contrast, a reduction in echo occurrence first occurred near t=0 h at higher ranges (r &gt;= 2500 km) and expanded equatorwards during the recovery phase of the magnetic disturbances. This reduction in occurrence became progressively stronger and prolonged for medium- and long-duration magnetic disturbances. These categories also showed clear enhancements in the E-region backscatter (r &lt; 765 km) commencing from t=0 h. These observations can be explained by three main factors: (1) an enhancement in the E-region densities due to high-energy particle precipitation during magnetically disturbed periods causing the HF radar waves to refract from smaller altitudes and closer ranges, (2) a variability in the F-region densities associated with magnetic disturbances also affecting the propagation of the HF radar waves, and (3) a short-lived strong enhancement in growth rate of decametre-scale ionospheric irregularities when IMF turned southwards causing the highest echo occurrence near t=0 h during SEA. (C) 2011 Elsevier Ltd. All rights reserved.</t>
  </si>
  <si>
    <t>[Kumar, V. V.; Makarevich, R. A.; Kane, T. A.; Ye, H.; Devlin, J. C.; Dyson, P. L.] La Trobe Univ, Sch Engn &amp; Math Sci, Bundoora, Vic 3086, Australia</t>
  </si>
  <si>
    <t>La Trobe University</t>
  </si>
  <si>
    <t>Kumar, VV (corresponding author), Monash Univ, Clayton, Vic 3800, Australia.</t>
  </si>
  <si>
    <t>v.kumar@bom.gov.au</t>
  </si>
  <si>
    <t>Makarevich, Roman/H-4542-2013</t>
  </si>
  <si>
    <t>Kumar, Vickal/0000-0002-9885-229X</t>
  </si>
  <si>
    <t>Australian Research Council [LP100100513]; consortium of La Trobe University; consortium of University of Newcastle; consortium of Monash University; consortium of Australian Antarctic Division; consortium of ISR Division DSTO; consortium of IPS Radio and Space Services; Australian Research Council [LP100100513] Funding Source: Australian Research Council</t>
  </si>
  <si>
    <t>Australian Research Council(Australian Research Council); consortium of La Trobe University; consortium of University of Newcastle; consortium of Monash University; consortium of Australian Antarctic Division; consortium of ISR Division DSTO; consortium of IPS Radio and Space Services; Australian Research Council(Australian Research Council)</t>
  </si>
  <si>
    <t>This research was supported by the Australian Research Council Linkage grant to R.A.M. (Project LP100100513). Operation of the TIGER Bruny Island radar was supported by a consortium of institutions: La Trobe University, University of Newcastle, Monash University, Australian Antarctic Division, ISR Division DSTO, and IPS Radio and Space Services. IPS staffs are thanked for providing the scaled ionogram and high-resolution solar flux data. The Dst data were from Kyoto World Data Center and the IMF data were obtained from National Space Science Data Center.</t>
  </si>
  <si>
    <t>PERGAMON-ELSEVIER SCIENCE LTD</t>
  </si>
  <si>
    <t>THE BOULEVARD, LANGFORD LANE, KIDLINGTON, OXFORD OX5 1GB, ENGLAND</t>
  </si>
  <si>
    <t>1364-6826</t>
  </si>
  <si>
    <t>J ATMOS SOL-TERR PHY</t>
  </si>
  <si>
    <t>J. Atmos. Sol.-Terr. Phys.</t>
  </si>
  <si>
    <t>10.1016/j.jastp.2011.05.001</t>
  </si>
  <si>
    <t>Geochemistry &amp; Geophysics; Meteorology &amp; Atmospheric Sciences</t>
  </si>
  <si>
    <t>816IL</t>
  </si>
  <si>
    <t>WOS:000294591800038</t>
  </si>
  <si>
    <t>Yi, SX; Benoit, JB; Elnitsky, MA; Kaufmann, N; Brodsky, JL; Zeidel, ML; Denlinger, DL; Lee, RE</t>
  </si>
  <si>
    <t>Yi, Shu-Xia; Benoit, Joshua B.; Elnitsky, Michael A.; Kaufmann, Nancy; Brodsky, Jeffrey L.; Zeidel, Mark L.; Denlinger, David L.; Lee, Richard E., Jr.</t>
  </si>
  <si>
    <t>Function and immuno-localization of aquaporins in the Antarctic midge Belgica antarctica</t>
  </si>
  <si>
    <t>JOURNAL OF INSECT PHYSIOLOGY</t>
  </si>
  <si>
    <t>AQPs; Belgica antarctica; Dehydration; Immuno-localization; Water channel proteins</t>
  </si>
  <si>
    <t>GOLDENROD GALL FLY; FREEZE TOLERANCE; MALPIGHIAN TUBULES; DROSOPHILA-MELANOGASTER; MOLECULAR-CLONING; HOUSE CRICKET; WATER; DEHYDRATION; EXPRESSION; DESICCATION</t>
  </si>
  <si>
    <t>Aquaporin (AQP) water channel proteins play key roles in water movement across cell membranes. Extending previous reports of cryoprotective functions in insects, this study examines roles of AQPs in response to dehydration, rehydration, and freezing, and their distribution in specific tissues of the Antarctic midge, Belgica antarctica (Diptera, Chironomidae). When AQPs were blocked using mercuric chloride, tissue dehydration tolerance increased in response to hypertonic challenge, and susceptibility to overhydration decreased in a hypotonic solution. Blocking AQPs decreased the ability of tissues from the midgut and Malpighian tubules to tolerate freezing, but only minimal changes were noted in cellular viability of the fat body. Immuno-localization revealed that a DRIP-like protein (a Drosophila aquaporin), AQP2- and AQP3 (aquaglyceroporin)-like proteins were present in most larval tissues. DRIP- and AQP2-like proteins were also present in the gut of adult midges, but AQP4-like protein was not detectable in any tissues we examined. Western blotting indicated that larval AQP2-like protein levels were increased in response to dehydration, rehydration and freezing, whereas, in adults DRIP-, AQP2-, and AQP3-like proteins were elevated by dehydration. These results imply a vital role for aquaporin/aquaglyceroporins in water relations and freezing tolerance in B. antarctica. (C) 2011 Elsevier Ltd. All rights reserved.</t>
  </si>
  <si>
    <t>[Lee, Richard E., Jr.] Miami Univ, Dept Zool, Oxford, OH 45056 USA; [Benoit, Joshua B.; Denlinger, David L.] Ohio State Univ, Columbus, OH 43210 USA; [Benoit, Joshua B.] Yale Univ, New Haven, CT 06510 USA; [Elnitsky, Michael A.] Mercyhurst Coll, Erie, PA 16546 USA; [Kaufmann, Nancy; Brodsky, Jeffrey L.] Univ Pittsburgh, Pittsburgh, PA 15260 USA; [Zeidel, Mark L.] Beth Israel Deaconess Med Ctr, Boston, MA 02215 USA</t>
  </si>
  <si>
    <t>University System of Ohio; Miami University; University System of Ohio; Ohio State University; Yale University; Pennsylvania Commonwealth System of Higher Education (PCSHE); University of Pittsburgh; Harvard University; Beth Israel Deaconess Medical Center</t>
  </si>
  <si>
    <t>Lee, RE (corresponding author), Miami Univ, Dept Zool, Oxford, OH 45056 USA.</t>
  </si>
  <si>
    <t>leere@muohio.edu</t>
  </si>
  <si>
    <t>National Science Foundation [OPP-0337656, ANT-0837559, OPP-0413786, ANT-0837613]; National Institutes of Health [DK79307]; Office of Polar Programs (OPP); Directorate For Geosciences [0837613] Funding Source: National Science Foundation; Office of Polar Programs (OPP); Directorate For Geosciences [0837559] Funding Source: National Science Foundation</t>
  </si>
  <si>
    <t>National Science Foundation(National Science Foundation (NSF)); National Institutes of Health(United States Department of Health &amp; Human ServicesNational Institutes of Health (NIH) - USA); Office of Polar Programs (OPP); Directorate For Geosciences(National Science Foundation (NSF)NSF - Directorate for Geosciences (GEO)); Office of Polar Programs (OPP); Directorate For Geosciences(National Science Foundation (NSF)NSF - Directorate for Geosciences (GEO))</t>
  </si>
  <si>
    <t>This research was supported by National Science Foundation grants, OPP-0337656 and ANT-0837559 to REL and OPP-0413786 and ANT-0837613 to DLD. This work was also supported in part by National Institutes of Health grant DK79307 (the University of Pittsburg George O'Brien Kidney Research Core Center) to JLB.</t>
  </si>
  <si>
    <t>0022-1910</t>
  </si>
  <si>
    <t>1879-1611</t>
  </si>
  <si>
    <t>J INSECT PHYSIOL</t>
  </si>
  <si>
    <t>J. Insect Physiol.</t>
  </si>
  <si>
    <t>10.1016/j.jinsphys.2011.02.006</t>
  </si>
  <si>
    <t>Entomology; Physiology; Zoology</t>
  </si>
  <si>
    <t>816IJ</t>
  </si>
  <si>
    <t>WOS:000294591600006</t>
  </si>
  <si>
    <t>Goto, SG; Philip, BN; Teets, NM; Kawarasaki, Y; Lee, RE; Denlinger, DL</t>
  </si>
  <si>
    <t>Goto, Shin G.; Philip, Benjamin N.; Teets, Nicholas M.; Kawarasaki, Yuta; Lee, Richard E., Jr.; Denlinger, David L.</t>
  </si>
  <si>
    <t>Functional characterization of an aquaporin in the Antarctic midge Belgica antarctica</t>
  </si>
  <si>
    <t>AQPs; Chironomid; Water balance; Water channel proteins; Xenopus swelling assay</t>
  </si>
  <si>
    <t>GOLDENROD GALL FLY; FREEZE TOLERANCE; MALPIGHIAN TUBULES; WATER PERMEATION; DEHYDRATION; EXPRESSION; PROTEINS; CLONING; LARVAE; DESICCATION</t>
  </si>
  <si>
    <t>Aquaporins (AQPs) are water channel proteins facilitating movement of water across the cell membrane. Recent insect studies clearly demonstrate that AQPs are indispensable for cellular water management under normal conditions as well as under stress conditions including dehydration and cold. In the present study we cloned an AQP cDNA from the Antarctic midge Belgica antarctica (Diptera, Chironomidae) and investigated water transport activity of the AQP protein and transcriptional regulation of the gene in response to dehydration and rehydration. The nucleotide sequence and deduced amino acid sequence of the cDNA showed high similarity to AQPs in other insects and also showed characteristic features of orthodox AQPs. Phylogenetic analysis revealed that Belgica AQP is a homolog of dehydration-inducible AQP of another chironomid, Polypedilum vanderplanki. A swelling assay using a Xenopus oocyte expression system verified that Belgica AQP is capable of transporting water, but not glycerol or urea. The AQP mRNA was detected in various organs under non-stressed conditions, suggesting that this AQP plays a fundamental role in cell physiology. In contrast to our expectation, AQP transcriptional expression was not affected by either dehydration or rehydration. (C) 2011 Elsevier Ltd. All rights reserved.</t>
  </si>
  <si>
    <t>[Goto, Shin G.] Osaka City Univ, Grad Sch Sci, Osaka 558, Japan; [Goto, Shin G.; Teets, Nicholas M.; Denlinger, David L.] Ohio State Univ, Dept Entomol, Columbus, OH 43210 USA; [Philip, Benjamin N.; Kawarasaki, Yuta; Lee, Richard E., Jr.] Miami Univ, Dept Zool, Oxford, OH 45056 USA; [Philip, Benjamin N.] Rivier Coll, Dept Biol, Nashua, NH USA</t>
  </si>
  <si>
    <t>Osaka Metropolitan University; University System of Ohio; Ohio State University; University System of Ohio; Miami University</t>
  </si>
  <si>
    <t>Goto, SG (corresponding author), Osaka City Univ, Grad Sch Sci, Osaka 558, Japan.</t>
  </si>
  <si>
    <t>shingoto@sci.osaka-cu.ac.jp</t>
  </si>
  <si>
    <t>Kawarasaki, Yuta/AAD-4032-2019; Goto, Shin G/K-2614-2015; Teets, Nicholas/IQT-5328-2023; Philip, Ben/JYQ-5173-2024; Teets, Nicholas/H-7386-2013</t>
  </si>
  <si>
    <t>Goto, Shin G/0000-0002-4431-7531; Teets, Nicholas/0000-0003-0963-7457</t>
  </si>
  <si>
    <t>Osaka City University; NSF [ANT-0837559, 0837613]; Office of Polar Programs (OPP); Directorate For Geosciences [0837613, 0837559] Funding Source: National Science Foundation</t>
  </si>
  <si>
    <t>Osaka City University; NSF(National Science Foundation (NSF)); Office of Polar Programs (OPP); Directorate For Geosciences(National Science Foundation (NSF)NSF - Directorate for Geosciences (GEO))</t>
  </si>
  <si>
    <t>We dedicate this paper to the memory of Karl Erik Zachariassen, whose friendship and insights on temperature and water relationships in insects we have highly valued. This research was supported by OCU Oversea Science Mission Program from Osaka City University to SGG, and by NSF Grants ANT-0837559 and 0837613 to REL and DLD.</t>
  </si>
  <si>
    <t>10.1016/j.jinsphys.2011.03.023</t>
  </si>
  <si>
    <t>WOS:000294591600007</t>
  </si>
  <si>
    <t>Kato, M; Hiroi, Y; Harlov, DE; Satish-Kumar, M; Hokada, T</t>
  </si>
  <si>
    <t>Kato, Mutsumi; Hiroi, Yoshikuni; Harlov, Daniel E.; Satish-Kumar, M.; Hokada, Tomokazu</t>
  </si>
  <si>
    <t>Metastable corundum plus quartz plus andalusite association in pelitic granulite from the Kerala Khondalite Belt, southern India</t>
  </si>
  <si>
    <t>JOURNAL OF MINERALOGICAL AND PETROLOGICAL SCIENCES</t>
  </si>
  <si>
    <t>Corundum plus quartz; Andalusite; Aluminosilicate; Partial melting; Kerala Khondalite Belt</t>
  </si>
  <si>
    <t>CONSISTENT THERMODYNAMIC DATA; EASTERN GHATS; IGNEOUS ROCKS; METAMORPHISM; ASSEMBLAGE; STABILITY; KYANITE; SILLIMANITE; INCLUSIONS; TEMPERATURE</t>
  </si>
  <si>
    <t>Corundum in direct contact with quartz and associated with andalusite has been found as an inclusion in alkali feldspar obtained from a leucosome, which forms a part of migmatized pelitic granulite from the Kerala Khondalite Belt, southern India. Thermodynamically, corundum + quartz is metastable relative to andalusite. Textural features suggest that it is a rare example of an arrested reaction corundum + quartz -&gt; andalusite which may have been triggered off by the introduction of H2O-rich fluids along the cracks of the host alkali feldspar during the uplift and cooling of the leucosome. The metastable corundum + quartz association most likely originated during the crystallization of the Al2O3-rich leucosome melt when early corundum came into contact with later quartz under conditions with a relatively low H2O activity.</t>
  </si>
  <si>
    <t>[Kato, Mutsumi; Hiroi, Yoshikuni] Chiba Univ, Grad Sch Sci, Dept Earth Sci, Chiba 2638522, Japan; [Harlov, Daniel E.] Geoforschungszentrum Potsdam, D-14473 Potsdam, Germany; [Satish-Kumar, M.] Shizuoka Univ, Dept Geosci, Fac Sci, Shizuoka 4228529, Japan; [Hokada, Tomokazu] Natl Inst Polar Res, Tokyo 1908518, Japan</t>
  </si>
  <si>
    <t>Chiba University; Helmholtz Association; Helmholtz-Center Potsdam GFZ German Research Center for Geosciences; Shizuoka University; Research Organization of Information &amp; Systems (ROIS); National Institute of Polar Research (NIPR) - Japan</t>
  </si>
  <si>
    <t>Kato, M (corresponding author), Chiba Univ, Grad Sch Sci, Dept Earth Sci, Chiba 2638522, Japan.</t>
  </si>
  <si>
    <t>mutsumik@graduate.chiba-u.jp; yhiroi@earth.s.chiba-u.ac.jp</t>
  </si>
  <si>
    <t>Satish-Kumar, M./AAN-4420-2021; Hokada, Tomokazu/AAC-7847-2019</t>
  </si>
  <si>
    <t>Harlov, Daniel/0009-0009-0836-219X; Satish-Kumar, Madhusoodhan/0000-0003-3604-7399</t>
  </si>
  <si>
    <t>Ministry of Education, Culture, Sports, Science and Technology, Japan [20540462, 20684022, 17253075]; Grants-in-Aid for Scientific Research [20684022, 23340155, 21253008, 22403014, 20540462] Funding Source: KAKEN</t>
  </si>
  <si>
    <t>Ministry of Education, Culture, Sports, Science and Technology, Japan(Ministry of Education, Culture, Sports, Science and Technology, Japan (MEXT)); Grants-in-Aid for Scientific Research(Ministry of Education, Culture, Sports, Science and Technology, Japan (MEXT)Japan Society for the Promotion of ScienceGrants-in-Aid for Scientific Research (KAKENHI))</t>
  </si>
  <si>
    <t>We would like to thank all members of the JARE (Japanese Antarctic Research Expedition) geology group for their fruitful discussions. Dr. D. Dunkley, Dr. T. Kobayashi, and Mr. H. Mitsui are also thanked for their fruitful discussions. We are grateful to Dr. T. Adachi for his kind help for the EMP analyses of minerals. Thanks are also due to Prof. Y. Motoyoshi and Dr. J. Kihle for their constructive reviews and Prof. M. Enami for his editorial assistance. This study was partly supported by a Grant-in-Aid for Scientific Research (No. 20540462: Y. Hiroi; No. 20684022: M. Satish Kumar; and No. 17253075: Y. Osanai) from the Ministry of Education, Culture, Sports, Science and Technology, Japan.</t>
  </si>
  <si>
    <t>JAPAN ASSOC MINERALOGICAL SCIENCES</t>
  </si>
  <si>
    <t>SENDAI</t>
  </si>
  <si>
    <t>C/O GRAD SCH SCIENCES, TOHOKU UNIV, AOBA, SENDAI, 980-8578, JAPAN</t>
  </si>
  <si>
    <t>1345-6296</t>
  </si>
  <si>
    <t>1349-3825</t>
  </si>
  <si>
    <t>J MINER PETROL SCI</t>
  </si>
  <si>
    <t>J. Mineral. Petrol. Sci.</t>
  </si>
  <si>
    <t>10.2465/jmps.101116</t>
  </si>
  <si>
    <t>Mineralogy</t>
  </si>
  <si>
    <t>816AX</t>
  </si>
  <si>
    <t>WOS:000294572200002</t>
  </si>
  <si>
    <t>Basagic, HJ; Fountain, AG</t>
  </si>
  <si>
    <t>Basagic, H. J.; Fountain, A. G.</t>
  </si>
  <si>
    <t>Quantifying 20th Century Glacier Change in the Sierra Nevada, California</t>
  </si>
  <si>
    <t>ARCTIC ANTARCTIC AND ALPINE RESEARCH</t>
  </si>
  <si>
    <t>NATIONAL-PARK; CLIMATE-CHANGE; MOUNTAIN GLACIERS; CIRQUE GLACIERS; NORTH-CASCADES; INVENTORY DATA; WASHINGTON; AREA; FLUCTUATIONS; CHRONOLOGY</t>
  </si>
  <si>
    <t>Numerous small alpine glaciers occupy the high elevation regions of the central and southern Sierra Nevada, California. An inventory based on 1:24,000 topographic maps revealed 1719 glaciers and perennial snowfields for a total area of 39.15 +/- 0.13 km(2). The number of 'true' glaciers, versus non-moving ice, is estimated to be 122 covering 14.89 +/- 0.08 km(2) or 38% of the ice-covered area. Historic photographs, geologic evidence, and field mapping were used to determine the magnitude of area change over the past century at 14 glaciers. The area change between 1903 and 2004 ranged from -31% to -78%, averaging -55%. Based on these values rough estimates of volume change suggest an ice volume loss from 1903 (1.09 km(3)) to 2004 (0.43 km(3)) of 0.66 km(3) (0.59 km(3) water). Rapid retreat occurred over the first half of the 20th century beginning in the 1920s and continued through the 1960s after which recession ceased by the early 1980s and some glaciers advanced. Since the late 1980s glaciers resumed retreat with a rapid acceleration starting in the early 2000s. The relatively uniform timing of area changes in the study glaciers is a response to regional climate whereas the magnitude of change is influenced by local topographic effects. Area changes correlate significantly with changes in summer and winter air temperatures. Warmer winter temperatures warm the snowpack lengthening the summer melt season. Spring air temperatures and precipitation may also play an important role. The occurrence of spring snowfall can delay the onset of melt due to the increased surface albedo. Examining the influence of topographic variables we only found headwall height at the top of the glacier to show an influence on glacier change. Higher headwalls shadow the glacier from solar radiation reducing melt and enhancing snow accumulation via avalanching. If the glaciers continue to shrink at current (1972-2004) rates, most will disappear in 50-250 years.</t>
  </si>
  <si>
    <t>[Basagic, H. J.; Fountain, A. G.] Portland State Univ, Dept Geol, Portland, OR 97207 USA</t>
  </si>
  <si>
    <t>Portland State University</t>
  </si>
  <si>
    <t>Basagic, HJ (corresponding author), Portland State Univ, Dept Geol, POB 751, Portland, OR 97207 USA.</t>
  </si>
  <si>
    <t>basagic@gmail.com</t>
  </si>
  <si>
    <t>U.S. National Park Service; Geologic Resource Division of the National Science Foundation [BCS-0351004]; BCS-0351004), NASA [NNGO4GJ41G]; USGS</t>
  </si>
  <si>
    <t>U.S. National Park Service; Geologic Resource Division of the National Science Foundation; BCS-0351004), NASA(National Aeronautics &amp; Space Administration (NASA)); USGS(United States Geological Survey)</t>
  </si>
  <si>
    <t>This research was supported by funding from the U.S. National Park Service, including Sequoia and Kings Canyon National Parks, the Geologic Resource Division of the National Science Foundation (BCS-0351004), NASA (NNGO4GJ41G), and the Western Mountain Initiative, funded by the USGS. We appreciate comments received from Greg Stock and one anonymous reviewer, which contributed to improving this paper. Special thanks to Annie Esperanza, Danny Boiano, Linda Mutch, Hal Pranger, Matt Hoffman, and Rhonda Robb for their support.</t>
  </si>
  <si>
    <t>TAYLOR &amp; FRANCIS LTD</t>
  </si>
  <si>
    <t>ABINGDON</t>
  </si>
  <si>
    <t>2-4 PARK SQUARE, MILTON PARK, ABINGDON OR14 4RN, OXON, ENGLAND</t>
  </si>
  <si>
    <t>1523-0430</t>
  </si>
  <si>
    <t>1938-4246</t>
  </si>
  <si>
    <t>ARCT ANTARCT ALP RES</t>
  </si>
  <si>
    <t>Arct. Antarct. Alp. Res.</t>
  </si>
  <si>
    <t>10.1657/1938-4246-43.3.317</t>
  </si>
  <si>
    <t>Environmental Sciences; Geography, Physical</t>
  </si>
  <si>
    <t>Environmental Sciences &amp; Ecology; Physical Geography</t>
  </si>
  <si>
    <t>812UN</t>
  </si>
  <si>
    <t>Green Submitted</t>
  </si>
  <si>
    <t>WOS:000294318500001</t>
  </si>
  <si>
    <t>Carlson, BZ; Munroe, JS; Hegman, B</t>
  </si>
  <si>
    <t>Carlson, Bradley Z.; Munroe, Jeffrey S.; Hegman, Bill</t>
  </si>
  <si>
    <t>Distribution of Alpine Tundra in the Adirondack Mountains of New York, USA</t>
  </si>
  <si>
    <t>LATE-QUATERNARY HISTORY; GLACIER-NATIONAL-PARK; CLIMATE-CHANGE; NEW-HAMPSHIRE; NEW-ENGLAND; WHITE MOUNTAINS; TREELINE; ELEVATION; VEGETATION; COMMUNITIES</t>
  </si>
  <si>
    <t>The distribution of alpine tundra in the Adirondack Mountains of New York was investigated through a combination of field mapping and GIS analysis. Alpine tundra vegetation covers 26.3 ha (65 acres). Tundra patches are rare below an elevation of 1350 m although significant differences exist in mean tundra elevation between summits reflecting overall summit morphology. Tundra is generally more abundant, and extends to lower elevations on windward slopes with northerly and northwesterly aspects. Tundra patches on leeward slopes are found at higher elevations and are considerably larger, reflecting increased fragmentation on windward slopes and development of snowbank communities on leeward slopes. At a regional scale, the percentage of high-elevation land covered by tundra decreases from the northwest to southeast across the study area, suggesting that mountains upwind along the prevailing winter wind vector shield downwind summits, underscoring the role of exposure in limiting the upward growth of trees. Because exposure exerts a fundamental control over patch boundaries, shifts in the balance between arboreal and non-arboreal vegetation over time could be expected if changes occur in the frequency of icing events, the severity of winter storms, temperature, cloudiness, or prevailing wind directions.</t>
  </si>
  <si>
    <t>[Carlson, Bradley Z.; Hegman, Bill] Middlebury Coll, Dept Geog, Middlebury, VT 05753 USA; [Munroe, Jeffrey S.] Middlebury Coll, Dept Geol, Middlebury, VT 05753 USA</t>
  </si>
  <si>
    <t>Carlson, BZ (corresponding author), Middlebury Coll, Dept Geog, Middlebury, VT 05753 USA.</t>
  </si>
  <si>
    <t>brad.z.carlson@gmail.com</t>
  </si>
  <si>
    <t>INST ARCTIC ALPINE RES</t>
  </si>
  <si>
    <t>BOULDER</t>
  </si>
  <si>
    <t>UNIV COLORADO, BOULDER, CO 80309 USA</t>
  </si>
  <si>
    <t>10.1657/1938-4246-43.3.331</t>
  </si>
  <si>
    <t>Bronze, Green Submitted</t>
  </si>
  <si>
    <t>WOS:000294318500002</t>
  </si>
  <si>
    <t>Conn, JS; Werdin-Pfisterer, NR; Beattie, KL; Densmore, RV</t>
  </si>
  <si>
    <t>Conn, Jeffery S.; Werdin-Pfisterer, Nancy R.; Beattie, Katherine L.; Densmore, Roseann V.</t>
  </si>
  <si>
    <t>Ecology of Invasive Melilotus albus on Alaskan Glacial River Floodplains</t>
  </si>
  <si>
    <t>7 LEGUME CROPS; PRIMARY SUCCESSION; SOIL DEVELOPMENT; TANANA RIVER; VEGETATION; FIXATION; BAY; ECOSYSTEMS; INTERIOR</t>
  </si>
  <si>
    <t>Melilotus albus (white sweetclover) has invaded Alaskan glacial river floodplains. We measured cover and density of plant species and environmental variables along transects perpendicular to the Nenana, Matanuska, and Stikine Rivers to study interactions between M. albus and other plant species and to characterize the environment where it establishes. Melilotus albus was a pioneer species on recently disturbed sites and did not persist into closed canopy forests. The relationships between M. albus cover and density and other species were site-specific. Melilotus albus was negatively correlated with native species Elaeagnus commutata at the Nenana River, but not at the Matanuska River. Melilotus albus was positively correlated with the exotic species Crepis tectorum and Taraxacum officinale at the Matanuska River and T. officinale on the upper Stikine River. However, the high density of M. albus at a lower Stikine River site was negatively correlated with T. officinale and several native species including Lathyrus japonicus var. maritimus and Salix alaxensis. Glacial river floodplains in Alaska are highly disturbed and are corridors for exotic plant species movement. Melilotus albus at moderate to low densities may facilitate establishment of exotic species, but at high densities can reduce the cover and density of both exotic and native species.</t>
  </si>
  <si>
    <t>[Conn, Jeffery S.; Werdin-Pfisterer, Nancy R.; Beattie, Katherine L.] Univ Alaska Fairbanks, ARS, USDA, Subarctic Agr Res Unit, Fairbanks, AK 99775 USA; [Densmore, Roseann V.] US Geol Survey, Alaska Sci Ctr, Anchorage, AK 99503 USA</t>
  </si>
  <si>
    <t>University of Alaska System; University of Alaska Fairbanks; United States Department of Agriculture (USDA); United States Department of the Interior; United States Geological Survey</t>
  </si>
  <si>
    <t>Conn, JS (corresponding author), Univ Alaska Fairbanks, ARS, USDA, Subarctic Agr Res Unit, 360 ONeill Bldg, Fairbanks, AK 99775 USA.</t>
  </si>
  <si>
    <t>jeff.conn@ars.usda.gov</t>
  </si>
  <si>
    <t>10.1657/1938-4246-43.3.343</t>
  </si>
  <si>
    <t>Green Submitted, Bronze</t>
  </si>
  <si>
    <t>WOS:000294318500003</t>
  </si>
  <si>
    <t>Crossman, J; Bradley, C; Boomer, I; Milner, AM</t>
  </si>
  <si>
    <t>Crossman, J.; Bradley, C.; Boomer, I.; Milner, A. M.</t>
  </si>
  <si>
    <t>Water Flow Dynamics of Groundwater-Fed Streams and Their Ecological Significance in a Glacierized Catchment</t>
  </si>
  <si>
    <t>INVERTEBRATE COMMUNITIES; SHRINKING GLACIERS; RIVER CORRIDORS; FRESH-WATERS; MACROINVERTEBRATE; HYDROLOGY; DIVERSITY; PATTERNS; PERSISTENCE; SWITZERLAND</t>
  </si>
  <si>
    <t>Subsurface flow pathways of groundwater-fed streams were characterized on a floodplain terrace of the Toklat River, Alaska, in summer 2008, to establish the influence of local physicochemical variability upon macroinvertebrate communities. Streams proximal to the valley side (A sites) and to the main meltwater channel (B sites) were studied. Chloride and natural isotopic tracers (delta(18)O and delta(2)H) were used to identify water sources and flow pathways. Results indicated that flow in B sites was dominated by seepage of glacial meltwater through the alluvial aquifer. Streamflow at sites situated at higher elevations was ephemeral, and commenced with the seasonal rise in the groundwater table. In contrast, the physicochemistry of A sites was characteristic of seepage from valley-side debris fans, which maintained perennial flow to streams at lower elevations. Macroinvertebrate diversity was lower in ephemeral streams, likely due to colonization constraints. In June macroinvertebrate abundance was significantly positively correlated with the percentage contribution to streamflow from debris-fan seepage (p &lt; 0.05) and with fine particulate organic matter concentration (FPOM) (p &lt; 0.05); FPOM was correlated with debris fan seepage (p &lt; 0.05). These relationships were not evident in July and August, when organic matter availability increased. Our study demonstrates that flow pathways and organic matter availability significantly influence macroinvertebrate communities in these groundwater-fed streams.</t>
  </si>
  <si>
    <t>[Crossman, J.; Bradley, C.; Boomer, I.; Milner, A. M.] Univ Birmingham, Sch Geog Earth &amp; Environm Sci, Birmingham B15 2TT, W Midlands, England; [Milner, A. M.] Univ Alaska, Inst Arctic Biol, Fairbanks, AK 99775 USA</t>
  </si>
  <si>
    <t>University of Birmingham; University of Alaska System; University of Alaska Fairbanks</t>
  </si>
  <si>
    <t>Crossman, J (corresponding author), Univ Oxford, Sch Geog &amp; Environm, S Parks Rd, Oxford OX1 3QY, England.</t>
  </si>
  <si>
    <t>jill.crossman@ouce.ox.ac.uk</t>
  </si>
  <si>
    <t>Bradley, Chris/B-6079-2011; Boomer, Ian/C-5154-2009</t>
  </si>
  <si>
    <t>Bradley, Chris/0000-0003-4042-867X; Crossman, Jill/0000-0003-2679-5991; Boomer, Ian/0000-0003-1276-2179</t>
  </si>
  <si>
    <t>NERC; Denali Foundation</t>
  </si>
  <si>
    <t>NERC(UK Research &amp; Innovation (UKRI)Natural Environment Research Council (NERC)); Denali Foundation</t>
  </si>
  <si>
    <t>We would like to thank Nicholas Hale, Lewis Blake, and Daniel Woodhouse for their assistance in the field; Pamela Sousanes and Lucy Tyrell for their help in the national park; and Anne Ankorn and Kevin Burkhill for cartography. We would also like to thank the anonymous reviewers, associate editor, and editor for their helpful comments on the manuscript. Crossman was funded by a NERC research studentship, with support from the Denali Foundation.</t>
  </si>
  <si>
    <t>10.1657/1938-4246-43.3.364</t>
  </si>
  <si>
    <t>WOS:000294318500005</t>
  </si>
  <si>
    <t>Engstrom, R; Hope, A</t>
  </si>
  <si>
    <t>Engstrom, Ryan; Hope, Allen</t>
  </si>
  <si>
    <t>Parameter Sensitivity of the Arctic Biome-BGC Model for Estimating Evapotranspiration in the Arctic Coastal Plain</t>
  </si>
  <si>
    <t>FOREST ECOSYSTEM PROCESSES; REGIONAL APPLICATIONS; SOIL-MOISTURE; GENERAL-MODEL; CARBON; TEMPERATURE; SIMULATION; BARROW; ALASKA; CO2</t>
  </si>
  <si>
    <t>Previous research has indicated that modeling evapotranspiration (ET) in the Arctic Coastal Plain is challenging due to unique ecosystem conditions which include mosses, permafrost, and standing dead vegetation. A new version of the commonly used Biome-BGC (Biogeochemical Cycles) model (Arctic Biome-BGC) was developed that included: (1) a water storage and vertical drainage/infiltration routine that accounts for permafrost and mosses, (2) a modified representation of energy available at the surface which includes ground heat flux and simulates interception of incoming radiation by standing dead vegetation, and (3) a background evaporation routine that allows for moss and open water evaporation. In this study we investigated the sensitivity of model predictions to variations in parameter values, and to provide a conceptual validation of Arctic Biome-BGC. Using the generalized sensitivity analysis methodology, 13 parameters were evaluated. Results indicate that the model was sensitive to 8 of the 13 parameters. Seven of these parameters were introduced in the development of Arctic Biome-BGC and related to both energy reaching the ground surface and the amount of water stored within the soil and moss layers. The remaining sensitive parameter modulates the rate of snowmelt. These results validate the conceptual modifications included in the Arctic Biome-BGC model for estimating ET.</t>
  </si>
  <si>
    <t>[Engstrom, Ryan] George Washington Univ, Dept Geog, Washington, DC 20052 USA; [Hope, Allen] San Diego State Univ, Dept Geog, San Diego, CA 92182 USA</t>
  </si>
  <si>
    <t>George Washington University; California State University System; San Diego State University</t>
  </si>
  <si>
    <t>Engstrom, R (corresponding author), George Washington Univ, Dept Geog, 1922 F St NW, Washington, DC 20052 USA.</t>
  </si>
  <si>
    <t>rengstro@gwu.edu</t>
  </si>
  <si>
    <t>Engstrom, Ryan/AEW-0212-2022</t>
  </si>
  <si>
    <t>Engstrom, Ryan/0000-0002-3063-0551</t>
  </si>
  <si>
    <t>NASA Headquarters [NGT5-30367]; National Science Foundation (NSF), an Office of Polar Programs; Arctic Systems Science (ARCSS) Land Atmosphere Ice Interactions (LAII) ATLAS [OPP-9732105]; Dissertation Enhancement Grant [BCS-0220944]</t>
  </si>
  <si>
    <t>NASA Headquarters(National Aeronautics &amp; Space Administration (NASA)); National Science Foundation (NSF), an Office of Polar Programs(National Science Foundation (NSF)); Arctic Systems Science (ARCSS) Land Atmosphere Ice Interactions (LAII) ATLAS; Dissertation Enhancement Grant</t>
  </si>
  <si>
    <t>This work was supported by NASA Headquarters, under the Earth System Science Fellowship Grant NGT5-30367 and two National Science Foundation (NSF) grants, an Office of Polar Programs, Arctic Systems Science (ARCSS) Land Atmosphere Ice Interactions (LAII) ATLAS grant no. OPP-9732105, and a Dissertation Enhancement Grant no. BCS-0220944.</t>
  </si>
  <si>
    <t>10.1657/1938-4246-43.3.380</t>
  </si>
  <si>
    <t>WOS:000294318500006</t>
  </si>
  <si>
    <t>Fremlin, KM; McLaren, JR; DeSandoli, L; Turkington, R</t>
  </si>
  <si>
    <t>Fremlin, Kate M.; McLaren, Jennie R.; DeSandoli, Lisa; Turkington, Roy</t>
  </si>
  <si>
    <t>The Effects of Fertilization and Herbivory on the Phenology of the Understory Vegetation of the Boreal Forest in Northwestern Canada</t>
  </si>
  <si>
    <t>RECENT CLIMATE-CHANGE; N FERTILIZATION; SNOWSHOE HARES; RESPONSES; PLANTS; POPULATION; DIVERSITY; EVENTS; FOOD</t>
  </si>
  <si>
    <t>Environmental conditions associated with climate change, such as earlier snowmelt, warmer spring temperatures, and increased soil mineralization, have resulted in shifts in the timing of plant phenological events. We assessed the effects of fertilizer and herbivory on the phenology of 7 plant species from a boreal forest understory using long-term experimental plots in the southwest Yukon. Fertilizer and fencing treatments were initiated in 1990, and discontinued in half of each plot in 2000. There were few effects on phenology of either fertilizer or fencing. In some species, fertilizer affected the final phenological stage reached, but the presence and direction of the effect was species-dependent. Epilobium angustifolium was the only species where the timing of phenological stages responded to fertilization; early phenological stages were advanced with fertilizer. First leaf expansion for Arctostaphylos uva-ursi occurred earlier in fenced plots, although this effect disappeared in plots where the fencing treatment had been discontinued. We conclude that previously observed changes in species abundance with fertilizer treatments are likely not caused by changes in the phenology of these species, and are more likely due to fertilization imposed changes in vegetative growth.</t>
  </si>
  <si>
    <t>[Fremlin, Kate M.; McLaren, Jennie R.; DeSandoli, Lisa; Turkington, Roy] Univ British Columbia, Dept Bot, Vancouver, BC V6T 1Z4, Canada; [Fremlin, Kate M.; McLaren, Jennie R.; DeSandoli, Lisa; Turkington, Roy] Univ British Columbia, Biodivers Res Ctr, Vancouver, BC V6T 1Z4, Canada</t>
  </si>
  <si>
    <t>University of British Columbia; University of British Columbia</t>
  </si>
  <si>
    <t>McLaren, JR (corresponding author), Univ Texas Arlington, Dept Biol, Box 19498, Arlington, TX 76019 USA.</t>
  </si>
  <si>
    <t>jennie.mclaren@gmail.com</t>
  </si>
  <si>
    <t>Fremlin, Katharie/IUO-1484-2023; McLaren, Jennie/U-9130-2019</t>
  </si>
  <si>
    <t>Fremlin, Katharie/0000-0001-7660-2559; McLaren, Jennie/0000-0003-2004-4783</t>
  </si>
  <si>
    <t>Natural Sciences and Engineering Research Council (NSERC); Northern Sciences Training Program grants; Western Ag Innovations</t>
  </si>
  <si>
    <t>Natural Sciences and Engineering Research Council (NSERC)(Natural Sciences and Engineering Research Council of Canada (NSERC)); Northern Sciences Training Program grants; Western Ag Innovations</t>
  </si>
  <si>
    <t>Funding for this research was provided by a Natural Sciences and Engineering Research Council (NSERC) Discovery grant to Turkington, NSERC Graduate Scholarships to McLaren and DeSandoli, Northern Sciences Training Program grants to Fremlin and McLaren, and Western Ag Innovations. We thank Andy Williams and the staff at The Arctic Institute of North America at Kluane Lake. We are grateful to the Champagne-Aishihik First Nations for allowing us to do research on their traditional lands. We would also like to thank Sarah Bale and Beth Langford for their assistance with the field research.</t>
  </si>
  <si>
    <t>10.1657/1938-4246-43.3.389</t>
  </si>
  <si>
    <t>WOS:000294318500007</t>
  </si>
  <si>
    <t>Gereben-Krenn, BA; Krenn, HW; Strodl, MA</t>
  </si>
  <si>
    <t>Gereben-Krenn, Barbara-Amina; Krenn, Harald W.; Strodl, Markus A.</t>
  </si>
  <si>
    <t>Initial Colonization of New Terrain in an Alpine Glacier Foreland by Carabid Beetles (Carabidae, Coleoptera)</t>
  </si>
  <si>
    <t>SUCCESSION; CHRONOSEQUENCES; ALPS</t>
  </si>
  <si>
    <t>The melting of glaciers in the European Alps has exposed new terrain in the last decades. Ground beetles (Carabidae, Coleoptera) are among the first colonizers of this new alpine land. Since 1999, we have studied the ground beetle assemblages of the recently deglaciated areas in the Hornkees glacier foreland (Zillertal Alps, Austria). Data were collected in July 1999, 2001, 2007, and 2009. Two species of Carabidae, Nebria jockischii and Nebria germari, were dominant in the areas immediately below the glacier in all sampling periods. The occurrence of Nebria jockischii larvae very close to the edge of the glacier strongly suggests that reproduction occurred in the area which had been ice-free for only one year. Comparison of the carabid beetle assemblages from the recently deglaciated areas with those from neighboring and longer exposed areas indicates that the first colonizers continuously expanded their range following the path of the glacial retreat. We hypothesize that Nebria jockischii populated the new alpine terrain by initial migration from the banks of the glacial stream, whereas Nebria germari probably colonized the recently deglaciated area by migration from the lateral moraines. These carabid beetles represent the first predatory insects in the initial phase of colonization of the Hornkees foreland.</t>
  </si>
  <si>
    <t>[Gereben-Krenn, Barbara-Amina; Krenn, Harald W.] Univ Vienna, Fac Life Sci, Dept Evolutionary Biol, A-1090 Vienna, Austria; [Strodl, Markus A.] Univ Nat Resources &amp; Appl Life Sci, Vienna Inst Plant Protect, A-1190 Vienna, Austria</t>
  </si>
  <si>
    <t>University of Vienna; BOKU University</t>
  </si>
  <si>
    <t>Gereben-Krenn, BA (corresponding author), Univ Vienna, Fac Life Sci, Dept Evolutionary Biol, Althanstr 14, A-1090 Vienna, Austria.</t>
  </si>
  <si>
    <t>Barbara-Amina.Gereben@univie.ac.at; Harald.Krenn@univie.ac.at; Markus.Strodl@boku.ac.at</t>
  </si>
  <si>
    <t>10.1657/1938-4246-43.3.397</t>
  </si>
  <si>
    <t>WOS:000294318500008</t>
  </si>
  <si>
    <t>Mu, JP; Li, GY; Niklas, KJ; Sun, SC</t>
  </si>
  <si>
    <t>Mu, Junpeng; Li, Guoyong; Niklas, Karl J.; Sun, Shucun</t>
  </si>
  <si>
    <t>Difference in Floral Traits, Pollination, and Reproductive Success between White and Blue Flowers of Gentiana leucomelaena (Gentianaceae) in an Alpine Meadow</t>
  </si>
  <si>
    <t>POLLEN DISPERSAL; BREEDING SYSTEMS; COLOR-VISION; ECOLOGY; LONGEVITY; TEMPERATURE; MORPHOLOGY; EVOLUTION; SCENT; SIZE</t>
  </si>
  <si>
    <t>The blue-white gentian, Gentiana leucomelaena (Gentianaceae), bears two colors of flowers (blue and white) within populations and on individual plants. We tested the hypothesis that these flower morphs have different mating systems associated with differences in pollinator species and visitation rates. This hypothesis was driven by the fact that colorful flowers are often more likely to be pollinated by diverse animal pollinators, and by the observation that white G. leucomelaena flowers always blossom earlier than blue ones in early spring, when few pollinators are available. This hypothesis was investigated by determining the pollination success, daily duration of flower opening, flower life span, the number of pollen grains and ovules per flower, pollinator visitation rates, and seed output for both color morphs during the flowering season of 2009. Hand-pollination and pollinator-exclusion experiments were also conducted to determine whether the two color morphs differed in their ability to self-pollinate. In general, blue flowers were found to have a trait combination that favors a significantly higher degree of pollinator specificity and cross fertilization, whereas white flowers were characterized as pollinator generalists and self-fertilizing. We speculate that the difference in the floral structure and function between blue and white flowers and their coexistence are likely adaptive in unpredictable and often pollinator-limited environments such as those found in the alpine meadows of the Qinghai-Tibet Plateau.</t>
  </si>
  <si>
    <t>[Mu, Junpeng; Sun, Shucun] Nanjing Univ, Dept Biol, Nanjing 210093, Peoples R China; [Mu, Junpeng; Li, Guoyong; Sun, Shucun] Chinese Acad Sci, ECORES Lab, Chengdu Inst Biol, Chengdu 610041, Peoples R China; [Niklas, Karl J.] Cornell Univ, Dept Plant Biol, Ithaca, NY 14850 USA</t>
  </si>
  <si>
    <t>Nanjing University; Chinese Academy of Sciences; Chengdu Institute of Biology, CAS; Cornell University</t>
  </si>
  <si>
    <t>Sun, SC (corresponding author), Nanjing Univ, Dept Biol, Hankou Rd, Nanjing 210093, Peoples R China.</t>
  </si>
  <si>
    <t>shcs@nju.edu.cn</t>
  </si>
  <si>
    <t>Niklas, Karl/AAV-4760-2021</t>
  </si>
  <si>
    <t>Mu, Junpeng/0000-0001-5801-1878</t>
  </si>
  <si>
    <t>Fundamental Research Funds for the Central Universities; Chinese Academy of Sciences [KZCX2-XB2-02]</t>
  </si>
  <si>
    <t>Fundamental Research Funds for the Central Universities(Fundamental Research Funds for the Central Universities); Chinese Academy of Sciences(Chinese Academy of Sciences)</t>
  </si>
  <si>
    <t>We thank Xianming Gao, Yinzhan Liu, Xinwei Wu, Shiping Li, and He Bin for field assistance. We also thank Hongyuan Alpine Meadow Ecosystem Research Station of the Chinese Academy of Sciences for permitting this study to be conducted. This study was funded by the Fundamental Research Funds for the Central Universities and the Chinese Academy of Sciences (KZCX2-XB2-02).</t>
  </si>
  <si>
    <t>10.1657/1938-4246-43.3.410</t>
  </si>
  <si>
    <t>WOS:000294318500010</t>
  </si>
  <si>
    <t>Namayandeh, A; Quinlan, R</t>
  </si>
  <si>
    <t>Namayandeh, Armin; Quinlan, Roberto</t>
  </si>
  <si>
    <t>Benthic Macroinvertebrate Communities in Arctic Lakes and Ponds of Central Nunavut, Canada</t>
  </si>
  <si>
    <t>NORTHWEST-TERRITORIES CANADA; CHEMICAL LIMNOLOGY; ECOLOGICAL RELATIONSHIPS; SPATIAL SCALE; ISLAND; STREAMS</t>
  </si>
  <si>
    <t>The diversity and distribution of aquatic benthic invertebrate communities of 17 lakes and 3 shallow ponds near Iqaluit and Rankin Inlet, Nunavut, Canada, were examined to assess patterns with respect to environmental gradients. Macroinvertebrates were collected using 500 mu m mesh D-nets, and collected specimens were identified and enumerated; a total of 40 taxa were identified. Multivariate analyses (Redundancy Analysis) of relative abundance (%) data identified habitat (dominant substrate type), water chemistry, nutrients, and food/productivity (total phosphorus, total nitrogen, sulfate, dissolved oxygen, chlorophyll a), physical characteristics (maximum depth), catchment-related properties (lake elevation), and climate-related properties as significant environmental gradients influencing community composition. Ecosystem-scale lake characteristics had the greatest influence on benthic communities, followed by substrate type; however, there were substantive amounts of community variation influenced by the interaction between lake characteristics, substrate type, and regional differences. A number of environmental variables may have been significant due to differences in their values when comparing Rankin Inlet region sites versus Iqaluit region sites. The results agree with other studies indicating that benthic invertebrate communities are influenced by environmental gradients acting at different scales ranging from local, within-lake scales to large, regional scales.</t>
  </si>
  <si>
    <t>[Quinlan, Roberto] York Univ, Dept Biol, Toronto, ON M3J 1P3, Canada; [Namayandeh, Armin] Trent Univ, Dept Environm Sci, Peterborough, ON K9J 7B8, Canada</t>
  </si>
  <si>
    <t>York University - Canada; Trent University</t>
  </si>
  <si>
    <t>Quinlan, R (corresponding author), York Univ, Dept Biol, 4700 Keele St, Toronto, ON M3J 1P3, Canada.</t>
  </si>
  <si>
    <t>rquinlan@yorku.ca</t>
  </si>
  <si>
    <t>Namayandeh, Armin/0000-0003-2136-0497</t>
  </si>
  <si>
    <t>10.1657/1938-4246-43.3.417</t>
  </si>
  <si>
    <t>WOS:000294318500011</t>
  </si>
  <si>
    <t>Ni, J; Herzschuh, U</t>
  </si>
  <si>
    <t>Ni, Jian; Herzschuh, Ulrike</t>
  </si>
  <si>
    <t>Simulating Biome Distribution on the Tibetan Plateau Using a Modified Global Vegetation Model</t>
  </si>
  <si>
    <t>CLIMATE-CHANGE; BIOSPHERE MODEL; PLANT GEOGRAPHY; EAST-ASIA; DYNAMICS; PERSPECTIVE; ECOSYSTEM; MONSOON; CHINA</t>
  </si>
  <si>
    <t>We used a regionally modified global vegetation model (BIOME4-Tibet) to simulate biome distribution on the Tibetan Plateau under current climate conditions derived from regional meteorological observations. The bioclimatic limits (mean temperatures of the coldest and warmest months, minimum temperature, growing degree-days on 5 degrees C and 0 degrees C bases) for some key alpine plant functional types (temperate deciduous and conifer trees, boreal deciduous and conifer trees, desert woody plants, tundra shrubs, cold herbaceous plants, and lichens/forbs) were redefined based on regional vegetation-climate relationships. Modern vegetation maps confirmed that the BIOME4-Tibet model does a better job of simulating biome patterns on the plateau (gridcell agreement 52%) than the original BIOME4 model (35%). This improved model enhanced our ability to simulate temperate conifer forest, cool conifer and mixed forest, evergreen taiga, temperate xerophytic shrubland, temperate grassland and desert, and steppe and shrub tundra biomes, but made a negligible or reduced difference to the prediction of temperate deciduous forest, warm-temperate mixed forest, and three tundra biomes (erect dwarf-shrub tundra, prostrate dwarf-shrub tundra, and cushion forb, lichen, and moss tundra). Future modification of the vegetation model, by increasing the number of shrub and herb plant functional types, re-parameterization of more precise bioclimatic constraints, and improved representation of soil, permafrost, and snow processes, will be needed to better characterize the distribution of alpine vegetation on the Tibetan Plateau.</t>
  </si>
  <si>
    <t>[Ni, Jian] Alfred Wegener Inst Polar &amp; Marine Res, Res Unit Potsdam, D-14473 Potsdam, Germany; [Ni, Jian] Chinese Acad Sci, Inst Bot, State Key Lab Vegetat &amp; Environm Change, Beijing 100093, Peoples R China; [Ni, Jian] Univ Potsdam, Inst Biochem &amp; Biol, Dept Plant Ecol &amp; Nat Conservat, D-14469 Potsdam, Germany; [Herzschuh, Ulrike] Univ Potsdam, Dept Earth &amp; Environm Sci, D-14476 Potsdam, Germany</t>
  </si>
  <si>
    <t>Helmholtz Association; Alfred Wegener Institute, Helmholtz Centre for Polar &amp; Marine Research; Chinese Academy of Sciences; Institute of Botany, CAS; University of Potsdam; University of Potsdam</t>
  </si>
  <si>
    <t>Ni, J (corresponding author), Alfred Wegener Inst Polar &amp; Marine Res, Res Unit Potsdam, Telegrafenberg A43, D-14473 Potsdam, Germany.</t>
  </si>
  <si>
    <t>jni@awi.de</t>
  </si>
  <si>
    <t>Ni, Jian/I-7067-2012</t>
  </si>
  <si>
    <t>Ni, Jian/0000-0001-5411-7050; Herzschuh, Ulrike/0000-0003-0999-1261</t>
  </si>
  <si>
    <t>German Research Foundation (DFG) [He 3622/15, He 3622/11, He 3622/6]</t>
  </si>
  <si>
    <t>German Research Foundation (DFG)(German Research Foundation (DFG))</t>
  </si>
  <si>
    <t>The study was supported by the Priority Programme 1372 of German Research Foundation (DFG, grant no. He 3622/15): Tibetan Plateau: Formation-Climate-Ecosystems (TiP). Another two DFG projects (He 3622/11 and He 3622/6) also financially contributed to this study. The digitized Vegetation Atlas of China was provided by the Environmental &amp; Ecological Science Data Center for West China, National Natural Science Foundation of China (http://westdc.westgis.ac.cn). We thank Jed Kaplan for providing the code of BIOME4, and Han Wang for extracting the Tibetan vegetation map from the Vegetation Atlas of China. Thanks also to two anonymous reviewers for their helpful comments to improve the manuscript.</t>
  </si>
  <si>
    <t>10.1657/1938-4246-43.3.429</t>
  </si>
  <si>
    <t>WOS:000294318500012</t>
  </si>
  <si>
    <t>Pieper, SJ; Loewen, V; Gill, M; Johnstone, JF</t>
  </si>
  <si>
    <t>Pieper, Sara J.; Loewen, Val; Gill, Mike; Johnstone, Jill F.</t>
  </si>
  <si>
    <t>Plant Responses to Natural and Experimental Variations in Temperature in Alpine Tundra, Southern Yukon, Canada</t>
  </si>
  <si>
    <t>SIMULATED CLIMATE-CHANGE; COMMUNITY RESPONSES; POLYGONUM-VIVIPARUM; ARCTIC TUNDRA; DRYAS-OCTOPETALA; SHORT-TERM; GROWTH; REPRODUCTION; ECOSYSTEMS; VEGETATION</t>
  </si>
  <si>
    <t>Substantial climate warming is predicted for high latitude regions and may have large impacts on tundra communities. As part of the International Tundra Experiment, this study characterized plant responses to natural and experimental variations in temperature at a subarctic, alpine tundra site. Non-destructive measures of plant reproduction and growth were monitored annually for four target species (Dryas octopetala, Lupinus arcticus, Polygonum vivipartan, and Salix arctica) from 1999 to 2008. Plants were exposed to 8 years of an experimental warming treatment using open-topped chambers (OTCs). Temperatures in OTCs tended to be warmer at midday but cooler at night, with little net daily warming. OTCs had relatively little effect on plant responses, except for positive effects on reproductive characteristics of D. octopetala and P. viviparum. All target species except L. arcticus showed significant annual variations in vegetative and reproductive characteristics. Non-destructive measures used to monitor plant performance were significantly related to actual growth and reproductive output in most cases. Plant community composition did not show experimental effects nor were there consistent trends in composition over the 10 years of the study. Results of the study highlight individualistic species responses and the resilience of the plant community to observed temperature variations at this site.</t>
  </si>
  <si>
    <t>[Pieper, Sara J.; Johnstone, Jill F.] Univ Saskatchewan, Dept Biol, Saskatoon, SK S7N 5E2, Canada; [Loewen, Val] Environm Yukon, Whitehorse, YT Y1A 2C6, Canada; [Gill, Mike] Environm Canada, Whitehorse, YT Y1A 5X7, Canada</t>
  </si>
  <si>
    <t>University of Saskatchewan; Environment &amp; Climate Change Canada</t>
  </si>
  <si>
    <t>Johnstone, JF (corresponding author), Univ Saskatchewan, Dept Biol, 112 Sci Pl, Saskatoon, SK S7N 5E2, Canada.</t>
  </si>
  <si>
    <t>jill.johnstone@usask.ca</t>
  </si>
  <si>
    <t>Johnstone, Jill F./C-9204-2009</t>
  </si>
  <si>
    <t>Johnstone, Jill F./0000-0001-6131-9339</t>
  </si>
  <si>
    <t>University of Saskatchewan; NSERC; Northern Research Internship; Indian and Northern Affairs Canada</t>
  </si>
  <si>
    <t>University of Saskatchewan; NSERC(Natural Sciences and Engineering Research Council of Canada (NSERC)); Northern Research Internship; Indian and Northern Affairs Canada</t>
  </si>
  <si>
    <t>This study is the result of many years of collaborative work between the Department of Environment of the Government of Yukon and the Canadian Wildlife Service of Environment Canada. Many people have generously provided assistance with maintaining the study and collecting field measurements. We are particularly grateful to Joan Earner, Jennifer Staniforth, Michael Svoboda, and Jody Schick for their critical assistance with this study, as well as a multitude of summer students for their help in the field. Pieper's involvement in the project was supported by the University of Saskatchewan through a Dean's Scholarship, NSERC scholarship, and Northern Research Internship, as well as funding from Indian and Northern Affairs Canada through the Northern Scientific Training Program. Funding support for the project was also provided to Johnstone through a NSERC Discovery Grant.</t>
  </si>
  <si>
    <t>10.1657/1938-4246-43.3.442</t>
  </si>
  <si>
    <t>WOS:000294318500013</t>
  </si>
  <si>
    <t>Rossi, S; Morin, H; Deslauriers, A</t>
  </si>
  <si>
    <t>Rossi, Sergio; Morin, Hubert; Deslauriers, Annie</t>
  </si>
  <si>
    <t>Multi-scale Influence of Snowmelt on Xylogenesis of Black Spruce</t>
  </si>
  <si>
    <t>SACHALINENSIS SCHMIDT MASTERS; LOCALLY HEATED STEMS; CAMBIAL ACTIVITY; ABIES-BALSAMEA; NORWAY SPRUCE; CELL-DIFFERENTIATION; XYLEM PHENOLOGY; BOREAL FOREST; PICEA-MARIANA; HIGH-ALTITUDE</t>
  </si>
  <si>
    <t>Snowmelt is considered to affect growth of the boreal forest. So, we tested the hypothesis that late snowmelts delay the onset of xylogenesis and reduce xylem production in trees. Timings of xylem formation were compared to the dates of complete snowmelt combining a 7-year monitoring of cambial activity with meteorological records in four plots of Picea mariana in Quebec, Canada. The spatial and temporal variability in snowfall was analyzed separately, so taking into account both the long- and short-term effects. Snowfall occurred from October to May, with a snow cover lasting 173-199 days. Overall, xylogenesis lasted 99 117 days, with onsets ranging from late May to mid-June. The highest cell productions were observed in the warmest site, where the longest periods of growth were observed. Although at long-term the effects of snowmelt were significant for both onset and duration of xylogenesis and cell production, at short-term only the relationship between the onset of xylogenesis and the date of complete snowmelt was significant. The initial hypothesis could be confirmed only partially. The different responses to the long- and short-term analyses demonstrate the multi-scale influence of snowfall on tree growth and the determinant role of nutrient cycling in the productivity of boreal ecosystems.</t>
  </si>
  <si>
    <t>[Rossi, Sergio; Morin, Hubert; Deslauriers, Annie] Univ Quebec, Dept Sci Fondamentales, Chicoutimi, PQ G7H 2B1, Canada</t>
  </si>
  <si>
    <t>University of Quebec; University of Quebec Chicoutimi</t>
  </si>
  <si>
    <t>Rossi, S (corresponding author), Univ Quebec, Dept Sci Fondamentales, 555 Blvd Univ, Chicoutimi, PQ G7H 2B1, Canada.</t>
  </si>
  <si>
    <t>sergio.rossi@uqac.ca</t>
  </si>
  <si>
    <t>Rossi, Sergio/I-3725-2014</t>
  </si>
  <si>
    <t>Rossi, Sergio/0000-0002-9919-0494</t>
  </si>
  <si>
    <t>Consortium de Recherche sur la Foret Boreale Commerciale; Fonds de Recherche sur la Nature et les Technologies du Quebec</t>
  </si>
  <si>
    <t>This work was funded by Consortium de Recherche sur la Foret Boreale Commerciale and Fonds de Recherche sur la Nature et les Technologies du Quebec. The authors thank B. Dufour, G. Dumont-Frenette, F. Gionest, C. Lupi, S. Pedneault, P.-Y. Plourde, G. Savard, and M. Thibeault-Martel for technical support; L. Trainotti for the hospitality offered during manuscript preparation; M. Hughes for his recommendations on the manuscript; and A. Garside for checking the English text.</t>
  </si>
  <si>
    <t>10.1657/1938-4246-43.3.457</t>
  </si>
  <si>
    <t>Green Submitted, Green Accepted, Bronze</t>
  </si>
  <si>
    <t>WOS:000294318500014</t>
  </si>
  <si>
    <t>Sonnleitner, R; Redl, B; Schinner, F</t>
  </si>
  <si>
    <t>Sonnleitner, Renate; Redl, Bernhard; Schinner, Franz</t>
  </si>
  <si>
    <t>Microbial Mobilization of Major and Trace Elements from Catchment Rock Samples of a High Mountain Lake in the European Alps</t>
  </si>
  <si>
    <t>16S RIBOSOMAL-RNA; SP NOV.; HETEROTROPHIC BACTERIA; THIOSULFATE OXIDATION; BIODETERIORATION; DIVERSITY; WATER; SOIL</t>
  </si>
  <si>
    <t>At a high mountain lake in catchments of mica schist and gneiss rock in the European Alps, substantial increases in solute concentrations of sulfate, magnesium, calcium, silica, manganese, and nickel were observed over the past two decades. We hypothesized that microbial interactions with rock in the catchment of the lake might play an important role. We studied the chemolithotrophic activities resulting in the production of metal mobilizing metabolites (mineral acids). The potential of nitrifying and sulfur-oxidizing cultures derived from rock to mobilize elements from this rock when augmented with ammonium and thiosulfate was investigated in a 35 day laboratory study. Bacterial species prevailing in the indigenous nitrifying and sulfur-oxidizing mixed cultures were determined by 16S rRNA gene sequence based analysis. The average mineralogical composition of the rock sample was quartz (50%), feldspar (27%), muscovite (15%), chlorite (6%), and dolomite (2%). The increase of each soluble element in the presence of cultures relative to the conditions without microbes was related to the total element in the rock sample (leaching efficiency in percent). After 35 days, leaching efficiency was 7% (Ca), 2.4% (Mg), and 6.3% (Mn) in the presence of the nitrifying culture. In the presence of the sulfur-oxidizing culture, leaching efficiency was 13% (Ca), 5.7% (Mg), 5.4% (Mn), 1.3% (Zn), 0.2% (Fe), and 0.1% (Al). The results suggest that under conditions of abundant substrate availability, chemolithotrophic activity on catchment rock can contribute to the increase in soluble Ca, Mg, and Mn in lake water.</t>
  </si>
  <si>
    <t>[Sonnleitner, Renate; Schinner, Franz] Univ Innsbruck, Inst Microbiol, A-6020 Innsbruck, Austria; [Redl, Bernhard] Univ Innsbruck, Div Mol Biol, Bioctr, A-6020 Innsbruck, Austria</t>
  </si>
  <si>
    <t>University of Innsbruck; University of Innsbruck</t>
  </si>
  <si>
    <t>Sonnleitner, R (corresponding author), Univ Innsbruck, Inst Microbiol, Technikerstr 25, A-6020 Innsbruck, Austria.</t>
  </si>
  <si>
    <t>renate.sonnleitner@uibk.ac.at</t>
  </si>
  <si>
    <t>10.1657/1938-4246-43.3.465</t>
  </si>
  <si>
    <t>WOS:000294318500015</t>
  </si>
  <si>
    <t>Wobus, C; Anderson, R; Overeem, I; Matell, N; Clow, G; Urban, F</t>
  </si>
  <si>
    <t>Wobus, Cameron; Anderson, Robert; Overeem, Irina; Matell, Nora; Clow, Gary; Urban, Frank</t>
  </si>
  <si>
    <t>Thermal Erosion of a Permafrost Coastline: Improving Process-Based Models Using Time-Lapse Photography</t>
  </si>
  <si>
    <t>BEAUFORT SEA COAST; STORM SURGES; ALASKA; REGION</t>
  </si>
  <si>
    <t>Coastal erosion rates locally exceeding 30 m y(-1) been documented along Alaska's Beaufort Sea coastline, and a number of studies suggest that these erosion rates have accelerated as a result of climate change. However, a lack of direct observational evidence has limited our progress in quantifying the specific processes that connect climate change to coastal erosion rates in the Arctic. In particular, while longer ice-free periods are likely to lead to both warmer surface waters and longer fetch, the relative roles of thermal and mechanical (wave) erosion in driving coastal retreat have not been comprehensively quantified. We focus on a permafrost coastline in the northern National Petroleum Reserve-Alaska (NPR-A), where coastal erosion rates have averaged 10-15 m y(-1) over two years of direct monitoring. We take advantage of these extraordinary rates of coastal erosion to observe and quantify coastal erosion directly via time-lapse photography in combination with meteorological observations. Our observations indicate that the erosion of these bluffs is largely thermally driven, but that surface winds play a crucial role in exposing the frozen bluffs to the radiatively warmed seawater that drives melting of interstitial ice. To first order, erosion in this setting can be modeled using formulations developed to describe iceberg deterioration in the open ocean. These simple models provide a conceptual framework for evaluating how climate-induced changes in thermal and wave energy might influence future erosion rates in this setting.</t>
  </si>
  <si>
    <t>[Wobus, Cameron] Univ Colorado, Cooperat Inst Res Environm Sci, Boulder, CO 80309 USA; [Anderson, Robert; Overeem, Irina] Univ Colorado, Inst Arctic &amp; Alpine Res, Boulder, CO 80309 USA; [Anderson, Robert; Matell, Nora] Univ Colorado, Dept Geol Sci, Boulder, CO 80309 USA; [Clow, Gary; Urban, Frank] US Geol Survey, Fed Ctr, Denver, CO 80225 USA</t>
  </si>
  <si>
    <t>University of Colorado System; University of Colorado Boulder; University of Colorado System; University of Colorado Boulder; University of Colorado System; University of Colorado Boulder; United States Department of the Interior; United States Geological Survey</t>
  </si>
  <si>
    <t>Wobus, C (corresponding author), Stratus Consulting Inc, 1881 9th St, Boulder, CO 80302 USA.</t>
  </si>
  <si>
    <t>cameron.wobus@colorado.edu</t>
  </si>
  <si>
    <t>Wobus, Cameron/0000-0002-9654-1738; Anderson, Robert/0000-0003-2759-4833; OVEREEM, IRINA/0000-0002-8422-580X</t>
  </si>
  <si>
    <t>Office of Naval Research [1543943]</t>
  </si>
  <si>
    <t>Office of Naval Research(Office of Naval Research)</t>
  </si>
  <si>
    <t>This research was supported by the Office of Naval Research through the National Oceanographic Partnership Program (NOPP) under grant number 1543943. This work reflects close cooperation between the U.S. Geological Survey (USGS) and academic researchers (University of Colorado at Boulder; Naval Postgraduate School). We acknowledge logistical support from CH2MHill Polar Services, from the U.S. Bureau of Land Management, and from Ben Jones at USGS in Alaska. We thank Robert Brower and Eben Brower, our faithful bear guards, for their companionship and sharing of local knowledge of the Drew Point coastline. We thank Glenn Dunmire of Siku Construction for his assistance during our fieldwork in 2009. We also thank our reviewers for suggestions that improved this paper.</t>
  </si>
  <si>
    <t>10.1657/1938-4246-43.3.474</t>
  </si>
  <si>
    <t>WOS:000294318500016</t>
  </si>
  <si>
    <t>Birkeland, PW</t>
  </si>
  <si>
    <t>Birkeland, Peter W.</t>
  </si>
  <si>
    <t>James Bell Benedict 11 November 1938 to 8 March 2011 In Memoriam</t>
  </si>
  <si>
    <t>Biographical-Item</t>
  </si>
  <si>
    <t>Univ Colorado, Dept Geol Sci, Boulder, CO 80309 USA</t>
  </si>
  <si>
    <t>University of Colorado System; University of Colorado Boulder</t>
  </si>
  <si>
    <t>Birkeland, PW (corresponding author), Univ Colorado, Dept Geol Sci, Boulder, CO 80309 USA.</t>
  </si>
  <si>
    <t>10.1657/1938-4246-43-3.485</t>
  </si>
  <si>
    <t>WOS:000294318500017</t>
  </si>
  <si>
    <t>Ma, YF; Bian, LG; Xiao, CD; Dou, TF</t>
  </si>
  <si>
    <t>Ma Yong-Feng; Bian Lin-Gen; Xiao Cun-De; Dou Ting-Feng</t>
  </si>
  <si>
    <t>Characteristics of near surface turbulent parameters along the traverse route from Zhongshan Station to Dome A, East Antarctica</t>
  </si>
  <si>
    <t>CHINESE JOURNAL OF GEOPHYSICS-CHINESE EDITION</t>
  </si>
  <si>
    <t>Chinese</t>
  </si>
  <si>
    <t>Antarctica ice sheet; Turbulent fluxes; Turbulent parameters; Eddy-correlation technique; Aerodynamics method</t>
  </si>
  <si>
    <t>LAMBERT GLACIER BASIN; ENERGY-BALANCE; MASS-BALANCE; ICE-SHEET; HEAT; SNOW; CLIMATE; FLUXES; CYCLE; LAND</t>
  </si>
  <si>
    <t>Based on the data from Zhongshan Station (eddy covariance measurements) and three Automatic Weather Stations deployed along the traverse route from Zhongshan Station to Dome-A, East Antarctica, and using aerodynamics method and eddy-correlation technique, we analyzed the seasonal and diurnal variation of the near surface turbulent parameters (sensible/latent heat fluxes, turbulent scales of temperature, specific humidity and wind speed, surface roughness length, atmospheric stability and momentum transfer coefficient), as well as their spatial distribution patterns. The results showed that sensible/latent heat fluxes display obvious annual variation and summer diurnal cycle. In summer, the near-surface air transfers heat to snow/ice in sensible heat flux form (except Dome A) and receives latent heat flux from snow/ice surface. Sensible (Latent) heat flux increases (decreases) with the increasing elevation and distance from the coast, from -4.2 (16.8) W/m(2) at Zhongshan to 5.5 (1.2) W/m(2) at Dome-A (the summit of the East Antarctic ice sheet). The spatial distribution patterns of surface roughness length, momentum transfer coefficient and friction velocity in summer are similar with wind speed, increasing southward from the East Antarctic coast into the interior escarpment region (strong katabatic wind zone), and then weakening gradually inland. It indicates that these surface dynamical parameters of the Antarctic ice sheet are closely related with wind speed. The results have an important reference value on improving the boundary layer parameterization scheme in Antarctic climate simulation.</t>
  </si>
  <si>
    <t>[Ma Yong-Feng; Bian Lin-Gen; Xiao Cun-De; Dou Ting-Feng] Chinese Acad Meteorol Sci, Beijing 100081, Peoples R China; [Ma Yong-Feng] Chinese Acad Sci, Coll Earth Sci, Grad Univ, Beijing 100049, Peoples R China; [Dou Ting-Feng] Chinese Acad Sci, State Key Lab Cryospher Sci, Cold &amp; Arid Reg Environm &amp; Engn Res Inst, Lanzhou 730000, Peoples R China</t>
  </si>
  <si>
    <t>China Meteorological Administration; Chinese Academy of Meteorological Sciences (CAMS); Chinese Academy of Sciences; University of Chinese Academy of Sciences, CAS; Chinese Academy of Sciences; Cold &amp; Arid Regions Environmental &amp; Engineering Research Institute, CAS</t>
  </si>
  <si>
    <t>Ma, YF (corresponding author), Chinese Acad Meteorol Sci, Beijing 100081, Peoples R China.</t>
  </si>
  <si>
    <t>yfma@cams.cma.gov.cn</t>
  </si>
  <si>
    <t>MA, Yong-Feng/AAL-2017-2020; MA, Yong-Feng/JCE-0505-2023; MA, Yong-Feng/GQB-2138-2022</t>
  </si>
  <si>
    <t>MA, Yong-Feng/0000-0001-7102-2707; MA, Yong-Feng/0000-0001-7102-2707</t>
  </si>
  <si>
    <t>SCIENCE PRESS</t>
  </si>
  <si>
    <t>BEIJING</t>
  </si>
  <si>
    <t>16 DONGHUANGCHENGGEN NORTH ST, BEIJING 100717, PEOPLES R CHINA</t>
  </si>
  <si>
    <t>0001-5733</t>
  </si>
  <si>
    <t>CHINESE J GEOPHYS-CH</t>
  </si>
  <si>
    <t>Chinese J. Geophys.-Chinese Ed.</t>
  </si>
  <si>
    <t>10.3969/j.issn.0001-5733.2011.08.003</t>
  </si>
  <si>
    <t>815HL</t>
  </si>
  <si>
    <t>WOS:000294516600003</t>
  </si>
  <si>
    <t>Shen, Q; Chen, G; E, DC; Zhou, CX</t>
  </si>
  <si>
    <t>Shen Qiang; Chen Gang; E Dong-Chen; Zhou Chun-Xia</t>
  </si>
  <si>
    <t>Recent elevation changes on the Lambert-Amery system in East Antarctica from ICESat crossover analysis</t>
  </si>
  <si>
    <t>Lambert-Amery System(LAS); Elevation change; ICESat/GLAS; Crossover analysis</t>
  </si>
  <si>
    <t>MASS-BALANCE; SHEET; GREENLAND; BASIN</t>
  </si>
  <si>
    <t>Mass balance of Antarctic ice sheet remains the largest source of uncertainty in estimation of global sea level change. Depending on our developed procedure on the basis of crossover analysis method, the current short-term rates of elevation change in Lambert-Amery system have been evaluated using ICESat/GLAS altimetry data over the period 2003 similar to 2007 comprising 10 ICESat observation periods. The interannual variability of elevation has been obtained in sub-regions of Lambert-Amery System (LAS), which are defined and calibrated on principle of glacier dynamics, using regression analysis method. We get the new conclusions shown as follows: (1) the elevations are almost increasing in all sub-regions except for AIS sub-region; (2) It is very obvious that there are largely regional variations of elevation in the sub-regions, the largest interannual variability of elevation in AIS and MGLup are -6. 1 cm/a and 6.6 cm/a respectively; (3)Interannual variation of elevation in western LAS is 2 similar to 3 times that of the eastern part. This is the first time to get the series of elevation change in LAS with high-density and high-precision and its interannual variability in the sub-regions are fully analyzed.</t>
  </si>
  <si>
    <t>[Shen Qiang] Chinese Acad Sci, Inst Geodesy &amp; Geophys, Wuhan 430077, Peoples R China; [Chen Gang] Univ Calgary, Dept Geog, Calgary, AB T2N 1N4, Canada; [E Dong-Chen; Zhou Chun-Xia] Wuhan Univ, SGG, Chinese Antarctic Ctr Surveying &amp; Mapping, Wuhan 430079, Peoples R China</t>
  </si>
  <si>
    <t>Chinese Academy of Sciences; Innovation Academy for Precision Measurement Science &amp; Technology, CAS; University of Calgary; Wuhan University</t>
  </si>
  <si>
    <t>Shen, Q (corresponding author), Chinese Acad Sci, Inst Geodesy &amp; Geophys, Wuhan 430077, Peoples R China.</t>
  </si>
  <si>
    <t>cl980606@hotmail.com</t>
  </si>
  <si>
    <t>Chen, Gang/AAG-9414-2020</t>
  </si>
  <si>
    <t>Chen, Gang/0000-0002-7469-3650</t>
  </si>
  <si>
    <t>10.3969/j.issn.0001-5733.2011.08.005</t>
  </si>
  <si>
    <t>WOS:000294516600005</t>
  </si>
  <si>
    <t>Wu, QG; Zhang, XD</t>
  </si>
  <si>
    <t>Wu, Qigang; Zhang, Xiangdong</t>
  </si>
  <si>
    <t>Observed Evidence of an Impact of the Antarctic Sea Ice Dipole on the Antarctic Oscillation</t>
  </si>
  <si>
    <t>JOURNAL OF CLIMATE</t>
  </si>
  <si>
    <t>SOUTHERN ANNULAR MODE; NORTH-ATLANTIC SST; ATMOSPHERIC CIRCULATION; CLIMATE VARIABILITY; PART II; ANOMALIES; OCEAN; TELECONNECTIONS; PREDICTABILITY; REANALYSIS</t>
  </si>
  <si>
    <t>A lagged maximum covariance analysis (MCA) is applied to investigate the linear covariability between monthly sea ice concentration (SIC) and 500-mb geopotential height (Z500) in the Southern Hemisphere (SH). The dominant signal is the atmospheric forcing of SIC anomalies throughout the year, but statistically significant covariances are also found between austral springtime Z500 and prior SIC anomalies up to four months earlier. The MCA pattern is characterized by an Antarctic dipole (ADP)-like pattern in SIC and a positively polarized Antarctic Oscillation (AAO) in Z500. Such long lead-time covariance suggests the forcing of the AAO by persistent ADP-like SIC anomalies. The leading time of SIC anomalies provides an implication for skillful predictability of springtime atmospheric variability.</t>
  </si>
  <si>
    <t>[Wu, Qigang] Nanjing Univ, Sch Atmospher Sci, Nanjing 210008, Peoples R China; [Zhang, Xiangdong] Univ Alaska Fairbanks, Int Arctic Res Ctr, Fairbanks, AK USA</t>
  </si>
  <si>
    <t>Nanjing University; University of Alaska System; University of Alaska Fairbanks</t>
  </si>
  <si>
    <t>Wu, QG (corresponding author), Nanjing Univ, Sch Atmospher Sci, Nanjing 210008, Peoples R China.</t>
  </si>
  <si>
    <t>qigangwu@nju.edu.cn</t>
  </si>
  <si>
    <t>Zhang, Xiangdong/A-9711-2009</t>
  </si>
  <si>
    <t>Zhang, Xiangdong/0000-0001-5893-2888; Wu, Qigang/0000-0002-6958-867X</t>
  </si>
  <si>
    <t>National Science Foundation [ATM-0555326, ARC-0652838]; National Natural Science Foundation of China [41075052]; Japan Agency for Marine-Earth Science and Technology (JAMSTEC); National Oceanic and Atmospheric Administration (NOAA) [NA06OAR4310147]</t>
  </si>
  <si>
    <t>National Science Foundation(National Science Foundation (NSF)); National Natural Science Foundation of China(National Natural Science Foundation of China (NSFC)); Japan Agency for Marine-Earth Science and Technology (JAMSTEC); National Oceanic and Atmospheric Administration (NOAA)(National Oceanic Atmospheric Admin (NOAA) - USA)</t>
  </si>
  <si>
    <t>Some work was done when QW worked as a visiting scientist at the International Arctic Research Center, University of Alaska Fairbanks, and was supported by National Science Foundation Grant ATM-0555326. This work was supported by the National Natural Science Foundation of China (Grant 41075052). This research was also supported by the Japan Agency for Marine-Earth Science and Technology (JAMSTEC), NSF Grant ARC-0652838 and National Oceanic and Atmospheric Administration (NOAA) grant NA06OAR4310147. The comments of three anonymous reviewers contributed significantly to the improvement of the original manuscript. The authors would like to thank Drs. Yang Zhang and Xuejun Ren for helpful discussions.</t>
  </si>
  <si>
    <t>AMER METEOROLOGICAL SOC</t>
  </si>
  <si>
    <t>BOSTON</t>
  </si>
  <si>
    <t>45 BEACON ST, BOSTON, MA 02108-3693 USA</t>
  </si>
  <si>
    <t>0894-8755</t>
  </si>
  <si>
    <t>1520-0442</t>
  </si>
  <si>
    <t>J CLIMATE</t>
  </si>
  <si>
    <t>J. Clim.</t>
  </si>
  <si>
    <t>10.1175/2011JCLI3965.1</t>
  </si>
  <si>
    <t>814XN</t>
  </si>
  <si>
    <t>hybrid</t>
  </si>
  <si>
    <t>WOS:000294490600019</t>
  </si>
  <si>
    <t>Dong, SF; Garzoli, S; Baringer, M</t>
  </si>
  <si>
    <t>Dong, Shenfu; Garzoli, Silvia; Baringer, Molly</t>
  </si>
  <si>
    <t>The Role of Interocean Exchanges on Decadal Variations of the Meridional Heat Transport in the South Atlantic</t>
  </si>
  <si>
    <t>JOURNAL OF PHYSICAL OCEANOGRAPHY</t>
  </si>
  <si>
    <t>ANTARCTIC CIRCUMPOLAR CURRENT; THERMOHALINE CIRCULATION; WORLD OCEAN; VARIABILITY; ATMOSPHERE; EXTENSION; MODEL; WATER; ICE</t>
  </si>
  <si>
    <t>The interocean exchange of water from the South Atlantic with the Pacific and Indian Oceans is examined using the output from the ocean general circulation model for the Earth Simulator (OFES) during the period 1980-2006. The main objective of this paper is to investigate the role of the interocean exchanges in the variability of the Atlantic meridional overturning circulation (AMOC) and its associated meridional heat transport (MHT) in the South Atlantic. The meridional heat transport from OFES shows a similar response to AMOC variations to that derived from observations: a 1 Sv (1 Sv = 10(6) m(3) s(-1)) increase in the AMOC strength would cause a 0.054 +/- 0.003 PW increase in MHT at approximately 34 degrees S. The main feature in the AMOC and MHT across 34 degrees S is their increasing trends during the period 1980-93. Separating the transports into boundary currents and ocean interior regions indicates that the increase in transport comes from the ocean interior region, suggesting that it is important to monitor the ocean interior region to capture changes in the AMOC and MHT on decadal to longer time scales. The linear increase in the MHT from 1980 to 1993 is due to the increase in advective heat converged into the South Atlantic from the Pacific and Indian Oceans. Of the total increase in the heat convergence, about two-thirds is contributed by the Indian Ocean through the Agulhas Current system, suggesting that the warm-water route from the Indian Ocean plays a more important role in the northward-flowing water in the upper branch of the AMOC at 34 degrees S during the study period.</t>
  </si>
  <si>
    <t>[Dong, Shenfu] Univ Miami, CIMAS, Miami, FL 33149 USA; [Garzoli, Silvia; Baringer, Molly] NOAA AOML, Phys Oceanog Div, Miami, FL 33149 USA</t>
  </si>
  <si>
    <t>University of Miami; National Oceanic Atmospheric Admin (NOAA) - USA; Atlantic Oceanographic &amp; Meteorological Laboratory (AOML)</t>
  </si>
  <si>
    <t>Dong, SF (corresponding author), Univ Miami, CIMAS, 4301 Rickenbacker Causeway, Miami, FL 33149 USA.</t>
  </si>
  <si>
    <t>shenfu.dong@noaa.gov</t>
  </si>
  <si>
    <t>Garzoli, Silvia/JCP-1471-2023; Dong, Shenfu/I-4435-2013; Garzoli, Silvia/A-3556-2010; Baringer, Molly/D-2277-2012</t>
  </si>
  <si>
    <t>Dong, Shenfu/0000-0001-8247-8072; Garzoli, Silvia/0000-0003-3553-2253; Baringer, Molly/0000-0002-8503-5194</t>
  </si>
  <si>
    <t>NOAA [NA10OAR4310206]; NOAA/Atlantic Oceanographic and Meteorological Laboratory (AOML)</t>
  </si>
  <si>
    <t>NOAA(National Oceanic Atmospheric Admin (NOAA) - USA); NOAA/Atlantic Oceanographic and Meteorological Laboratory (AOML)(National Oceanic Atmospheric Admin (NOAA) - USA)</t>
  </si>
  <si>
    <t>The authors thank Dr. Wilbert Weijer and the other anonymous reviewer for their valuable comments and suggestions. OFES outputs are from the Japanese Earth Simulator Center (JAMSTEC). This work is supported by NOAA Grant NA10OAR4310206 and the base funding of the NOAA/Atlantic Oceanographic and Meteorological Laboratory (AOML).</t>
  </si>
  <si>
    <t>0022-3670</t>
  </si>
  <si>
    <t>1520-0485</t>
  </si>
  <si>
    <t>J PHYS OCEANOGR</t>
  </si>
  <si>
    <t>J. Phys. Oceanogr.</t>
  </si>
  <si>
    <t>10.1175/2011JPO4549.1</t>
  </si>
  <si>
    <t>813ZY</t>
  </si>
  <si>
    <t>WOS:000294411600005</t>
  </si>
  <si>
    <t>Burg, D; Ng, C; Ting, L; Cavicchioli, R</t>
  </si>
  <si>
    <t>Burg, Dominic; Ng, Charmaine; Ting, Lily; Cavicchioli, Ricardo</t>
  </si>
  <si>
    <t>Proteomics of extremophiles</t>
  </si>
  <si>
    <t>ENVIRONMENTAL MICROBIOLOGY</t>
  </si>
  <si>
    <t>2-DIMENSIONAL GEL-ELECTROPHORESIS; ISOTOPE-LABELED PROTEINS; GENOME-WIDE PROTEOMICS; CELL-CULTURE SILAC; MASS-SPECTROMETRY; LIQUID-CHROMATOGRAPHY; QUANTITATIVE-ANALYSIS; MEMBRANE PROTEOME; SHOTGUN PROTEOMICS; ANTARCTIC ARCHAEON</t>
  </si>
  <si>
    <t>Functional genomic approaches, such as proteomics, greatly enhance the value of genome sequences by providing a global level assessment of which genes are expressed, when genes are expressed and at what cellular levels gene products are synthesized. With over 1000 complete genome sequences of different microorganisms available, and DNA sequencing for environmental samples (metagenomes) producing vast amounts of gene sequence data, there is a real opportunity and a clear need to generate associated functional genomic data to learn about the source microorganisms. In contrast to the technological advances that have led to the accelerated rate and ease at which DNA sequence data can be generated, mass spectrometry based proteomics remains a technically sophisticated and exacting science. In recognition of the need to make proteomics more accessible to a growing number of environmental microbiologists so that the 'functional genomics gap' may be bridged, this review strives to demystify proteomic technologies and describe ways in which they have been applied, and more importantly, can be applied to study the physiology and ecology of extremophiles.</t>
  </si>
  <si>
    <t>[Ng, Charmaine; Cavicchioli, Ricardo] Univ New S Wales, Sch Biotechnol &amp; Biomol Sci, Sydney, NSW 2052, Australia; [Burg, Dominic] Concord Repatriat Gen Hosp, ANZAC Res Inst, Canc Pharmacol Unit, Concord, NSW 2139, Australia; [Ting, Lily] Harvard Univ, Sch Med, Dept Cell Biol, Boston, MA 02115 USA</t>
  </si>
  <si>
    <t>University of New South Wales Sydney; Concord Repatriation General Hospital; University of Sydney; ANZAC Research Institute; Harvard University; Harvard Medical School</t>
  </si>
  <si>
    <t>Cavicchioli, R (corresponding author), Univ New S Wales, Sch Biotechnol &amp; Biomol Sci, Sydney, NSW 2052, Australia.</t>
  </si>
  <si>
    <t>r.cavicchioli@unsw.edu.au</t>
  </si>
  <si>
    <t>Ekanayake, Kanchana/P-8817-2016; Research Institute, ANZAC/CAE-9030-2022; Burg, Dominic/A-8136-2013; Cavicchioli, Ricardo/D-4341-2013</t>
  </si>
  <si>
    <t>Burg, Dominic/0000-0002-9957-3233; Cavicchioli, Ricardo/0000-0001-8989-6402; Ng, Charmaine/0000-0003-3026-0009</t>
  </si>
  <si>
    <t>Australian Research Council</t>
  </si>
  <si>
    <t>Australian Research Council(Australian Research Council)</t>
  </si>
  <si>
    <t>We acknowledge the reviewers of this manuscript for their useful critical appraisal of the original submission. Research performed in RC's laboratory is supported by the Australian Research Council.</t>
  </si>
  <si>
    <t>WILEY</t>
  </si>
  <si>
    <t>HOBOKEN</t>
  </si>
  <si>
    <t>111 RIVER ST, HOBOKEN 07030-5774, NJ USA</t>
  </si>
  <si>
    <t>1462-2912</t>
  </si>
  <si>
    <t>1462-2920</t>
  </si>
  <si>
    <t>ENVIRON MICROBIOL</t>
  </si>
  <si>
    <t>Environ. Microbiol.</t>
  </si>
  <si>
    <t>10.1111/j.1462-2920.2011.02484.x</t>
  </si>
  <si>
    <t>809RY</t>
  </si>
  <si>
    <t>WOS:000294075600004</t>
  </si>
  <si>
    <t>Campanaro, S; Williams, TJ; Burg, DW; De Francisci, D; Treu, L; Lauro, FM; Cavicchioli, R</t>
  </si>
  <si>
    <t>Campanaro, S.; Williams, T. J.; Burg, D. W.; De Francisci, D.; Treu, L.; Lauro, F. M.; Cavicchioli, R.</t>
  </si>
  <si>
    <t>Temperature-dependent global gene expression in the Antarctic archaeon Methanococcoides burtonii</t>
  </si>
  <si>
    <t>COLD ADAPTATION; PSYCHROPHILIC ARCHAEON; TRANSFER-RNA; METHANOGENIUM-FRIGIDUM; SUPERNATANT FRACTIONS; PROTEOMIC ANALYSIS; BACILLUS-SUBTILIS; ESCHERICHIA-COLI; SIGNAL PEPTIDES; ACE LAKE</t>
  </si>
  <si>
    <t>Methanococcoides burtonii is a member of the Archaea that was isolated from Ace Lake in Antarctica and is a valuable model for studying cold adaptation. Low temperature transcriptional regulation of global gene expression, and the arrangement of transcriptional units in cold-adapted archaea has not been studied. We developed a microarray for determing which genes are expressed in operons, and which are differentially expressed at low (4 degrees C) or high (23 degrees C) temperature. Approximately 55% of genes were found to be arranged in operons that range in length from 2 to 23 genes, and mRNA abundance tended to increase with operon length. Analysing microarray data previously obtained by others for Halobacterium salinarum revealed a similar correlation between operon length and mRNA abundance, suggesting that operons may play a similar role more broadly in the Archaea. More than 500 genes were differentially expressed at levels up to similar to 24-fold. A notable feature was the upregulation of genes involved in maintaining RNA in a state suitable for translation in the cold. Comparison between microarray experiments and results previously obtained using proteomics indicates that transcriptional regulation (rather than translation) is primarily responsible for controlling gene expression in M. burtonii. In addition, certain genes (e. g. involved in ribosome structure and methanogenesis) appear to be regulated post-transcriptionally. This is one of few experimental studies describing the genome-wide distribution and regulation of operons in archaea.</t>
  </si>
  <si>
    <t>[Williams, T. J.; Burg, D. W.; De Francisci, D.; Lauro, F. M.; Cavicchioli, R.] Univ New S Wales, Sch Biotechnol &amp; Biomol Sci, Sydney, NSW 2052, Australia; [Campanaro, S.] Univ Padua, Dept Biol, CRIBI Biotechnol Ctr, I-35121 Padua, Italy; [Treu, L.] Univ Padua, Dept Agr Biotechnol, I-35020 Padua, Italy</t>
  </si>
  <si>
    <t>University of New South Wales Sydney; University of Padua; University of Padua</t>
  </si>
  <si>
    <t>Campanaro, Stefano/I-5657-2019; Burg, Dominic/A-8136-2013; Lauro, Federico/X-2420-2019; Cavicchioli, Ricardo/D-4341-2013</t>
  </si>
  <si>
    <t>Burg, Dominic/0000-0002-9957-3233; Lauro, Federico/0000-0002-8373-1014; De Francisci, Davide/0000-0002-4893-9821; Cavicchioli, Ricardo/0000-0001-8989-6402; Williams, Timothy/0000-0002-2738-3019; CAMPANARO, STEFANO/0000-0002-9431-1648; Treu, Laura/0000-0002-5053-4452</t>
  </si>
  <si>
    <t>We thank reviewers for their very constructive comments. Microarrays were processed at the UNSW Ramaciotti Centre for Gene Function Analysis and we acknowledge the support of staff in processing our samples. We thank Jenny Norman and Karen Privat from the UNSW Electron Microscopy Unit for their assistance in generating images. This work was supported by the Australian Research Council.</t>
  </si>
  <si>
    <t>10.1111/j.1462-2920.2010.02367.x</t>
  </si>
  <si>
    <t>WOS:000294075600009</t>
  </si>
  <si>
    <t>De Francisci, D; Campanaro, S; Kornfeld, G; Siddiqui, KS; Williams, TJ; Ertan, H; Treu, L; Pilak, O; Lauro, FM; Harrop, SJ; Curmi, PMG; Cavicchioli, R</t>
  </si>
  <si>
    <t>De Francisci, Davide; Campanaro, Stefano; Kornfeld, Geoff; Siddiqui, Khawar S.; Williams, Timothy J.; Ertan, Haluk; Treu, Laura; Pilak, Oliver; Lauro, Federico M.; Harrop, Stephen J.; Curmi, Paul M. G.; Cavicchioli, Ricardo</t>
  </si>
  <si>
    <t>The RNA polymerase subunits E/F from the Antarctic archaeon Methanococcoides burtonii bind to specific species of mRNA</t>
  </si>
  <si>
    <t>REPLICATION ORIGIN RECOGNITION; PSYCHROPHILIC ARCHAEON; CRYSTAL-STRUCTURE; F/E RPB4/7; TRANSCRIPTION; DNA; SEQUENCE; ENZYME; STRAND; RPB7</t>
  </si>
  <si>
    <t>RNA polymerase in Archaea is composed of 11 or 12 subunits - 9 or 10 that form the core, and a heterodimer formed from subunits E and F that associates with the core and can interact with general transcription factors and facilitate transcription. While the ability of the heterodimer to bind RNA has been demonstrated, it has not been determined whether it can recognize specific RNA targets. In this study we used a recombinant archaeal MbRpoE/F to capture cellular mRNA in vitro and a microarray to determine which transcripts it specifically binds. Only transcripts for 117 genes (4% of the total) representing 48 regions of the genome were bound by MbRpoE/F. The transcripts represented important genes in a number of functional classes: methano-genesis, cofactor biosynthesis, nucleotide metabolism, transcription, translation, import/export. The arrangement and characteristics (e. g. codon and amino acid usage) of genes relative to the putative origin of replication indicate that MbRpoE/F preferentially binds to mRNA of genes whose expression may be important for cellular fitness. We also compared the biophysical properties of RpoE/F from M. burtonii and Methanocaldococcus jannaschii, demonstrating a 50 degrees C difference in their apparent melting temperatures. By using MbRpoE/F to capture and characterize cellular RNA we have identified a previously unknown functional property of the MbRpoE/F heterodimer.</t>
  </si>
  <si>
    <t>[De Francisci, Davide; Kornfeld, Geoff; Siddiqui, Khawar S.; Williams, Timothy J.; Ertan, Haluk; Pilak, Oliver; Lauro, Federico M.; Cavicchioli, Ricardo] Univ New S Wales, Sch Biotechnol &amp; Biomol Sci, Sydney, NSW 2052, Australia; [Harrop, Stephen J.; Curmi, Paul M. G.] Univ New S Wales, Sch Phys, Sydney, NSW 2052, Australia; [Campanaro, Stefano] Univ Padua, Dept Biol, CRIBI Biotechnol Ctr, I-35121 Padua, Italy; [Ertan, Haluk] Istanbul Univ, Fac Sci, Dept Mol Biol &amp; Genet, Istanbul, Turkey; [Treu, Laura] Univ Padua, Dept Agr Biotechnol, I-35020 Padua, Italy; [Harrop, Stephen J.; Curmi, Paul M. G.] St Vincents Hosp, Ctr Appl Med Res, Darlinghurst, NSW 2010, Australia</t>
  </si>
  <si>
    <t>University of New South Wales Sydney; University of New South Wales Sydney; University of Padua; Istanbul University; University of Padua; NSW Health; St Vincents Hospital Sydney</t>
  </si>
  <si>
    <t>Lauro, Federico/X-2420-2019; Campanaro, Stefano/I-5657-2019; Cavicchioli, Ricardo/D-4341-2013; Curmi, Paul/G-7185-2011</t>
  </si>
  <si>
    <t>Lauro, Federico/0000-0002-8373-1014; Williams, Timothy/0000-0002-2738-3019; De Francisci, Davide/0000-0002-4893-9821; Harrop, Stephen/0000-0002-1700-3369; Cavicchioli, Ricardo/0000-0001-8989-6402; Treu, Laura/0000-0002-5053-4452; Curmi, Paul/0000-0001-5762-7638; Siddiqui, Khawar/0000-0001-8574-3177; CAMPANARO, STEFANO/0000-0002-9431-1648</t>
  </si>
  <si>
    <t>We warmly acknowledge the very constructive and insightful comments of the reviewers who helped us to add important dimensions to the paper. We thank Robert Weinzierl for generously providing the MjrpoE/F clone, and Ian Dawes for his generous advice and providing facilities related to the EMSA studies. Microarrays were processed at the UNSW Ramaciotti Centre for Gene Function Analysis and we acknowledge the support of staff in processing our samples. This work was supported by the Australian Research Council.</t>
  </si>
  <si>
    <t>10.1111/j.1462-2920.2010.02385.x</t>
  </si>
  <si>
    <t>WOS:000294075600010</t>
  </si>
  <si>
    <t>Williams, TJ; Lauro, FM; Ertan, H; Burg, DW; Poljak, A; Raftery, MJ; Cavicchioli, R</t>
  </si>
  <si>
    <t>Williams, Timothy J.; Lauro, Federico M.; Ertan, Haluk; Burg, Dominic W.; Poljak, Anne; Raftery, Mark J.; Cavicchioli, Ricardo</t>
  </si>
  <si>
    <t>Defining the response of a microorganism to temperatures that span its complete growth temperature range (-2°C to 28°C) using multiplex quantitative proteomics</t>
  </si>
  <si>
    <t>METHANOCOCCOIDES-BURTONII; ANTARCTIC ARCHAEON; COLD ADAPTATION; PSYCHROPHILIC ARCHAEON; GLUTAMATE-DEHYDROGENASE; SUPERNATANT FRACTIONS; OXIDATIVE STRESS; PROTEIN; PATHWAY; HEAT</t>
  </si>
  <si>
    <t>The growth of all microorganisms is limited to a specific temperature range. However, it has not previously been determined to what extent global protein profiles change in response to temperatures that incrementally span the complete growth temperature range of a microorganism. As a result it has remained unclear to what extent cellular processes (inferred from protein abundance profiles) are affected by growth temperature and which, in particular, constrain growth at upper and lower temperature limits. To evaluate this, 8-plex iTRAQ proteomics was performed on the Antarctic microorganism, Methanococcoides burtonii. Methanococcoides burtonii was chosen due to its importance as a model psychrophilic (cold-adapted) member of the Archaea, and the fact that proteomic methods, including subcellular fractionation procedures, have been well developed. Differential abundance patterns were obtained for cells grown at seven different growth temperatures (-2 degrees C, 1 degrees C, 4 degrees C, 10 degrees C, 16 degrees C, 23 degrees C, 28 degrees C) and a principal component analysis (PCA) was performed to identify trends in protein abundances. The multiplex analysis enabled three largely distinct physiological states to be described: cold stress (-2 degrees C), cold adaptation (1 degrees C, 4 degrees C, 10 degrees C and 16 degrees C), and heat stress (23 degrees C and 28 degrees C). A particular feature of the thermal extremes was the synthesis of heat-and cold-specific stress proteins, reflecting the important, yet distinct ways in which temperature-induced stress manifests in the cell. This is the first quantitative proteomic investigation to simultaneously assess the response of a microorganism to numerous growth temperatures, including the upper and lower growth temperatures limits, and has revealed a new level of understanding about cellular adaptive responses.</t>
  </si>
  <si>
    <t>[Williams, Timothy J.; Lauro, Federico M.; Ertan, Haluk; Burg, Dominic W.; Cavicchioli, Ricardo] Univ New S Wales, Sch Biotechnol &amp; Biomol Sci, Sydney, NSW 2052, Australia; [Poljak, Anne; Raftery, Mark J.] Univ New S Wales, Bioanalyt Mass Spectrometry Facil, Sydney, NSW 2052, Australia; [Poljak, Anne] Univ New S Wales, Sch Med Sci, Sydney, NSW 2052, Australia; [Ertan, Haluk] Istanbul Univ, Fac Sci, Dept Mol Biol &amp; Genet, Istanbul, Turkey</t>
  </si>
  <si>
    <t>University of New South Wales Sydney; University of New South Wales Sydney; University of New South Wales Sydney; Istanbul University</t>
  </si>
  <si>
    <t>Burg, Dominic/A-8136-2013; Lauro, Federico/X-2420-2019; Cavicchioli, Ricardo/D-4341-2013</t>
  </si>
  <si>
    <t>Burg, Dominic/0000-0002-9957-3233; Lauro, Federico/0000-0002-8373-1014; Poljak, Anne/0000-0001-9953-1984; Cavicchioli, Ricardo/0000-0001-8989-6402; Williams, Timothy/0000-0002-2738-3019</t>
  </si>
  <si>
    <t>Australian Research Council; U.S. Air Force Office of Scientific Research; Australian Postgraduate Award</t>
  </si>
  <si>
    <t>Australian Research Council(Australian Research Council); U.S. Air Force Office of Scientific Research(United States Department of DefenseAir Force Office of Scientific Research (AFOSR)); Australian Postgraduate Award(Australian Government)</t>
  </si>
  <si>
    <t>This work was supported by the Australian Research Council and U.S. Air Force Office of Scientific Research. Mass spectrometric results were obtained at the Bioanalytical Mass Spectrometry Facility within the Analytical Centre of the University of New South Wales. This work was undertaken using infrastructure provided by NSW Government coinvestment in the National Collaborative Research Infrastructure Scheme (NCRIS). Subsidized access to this facility is gratefully acknowledged. DWB was funded by an Australian Postgraduate Award.</t>
  </si>
  <si>
    <t>10.1111/j.1462-2920.2011.02467.x</t>
  </si>
  <si>
    <t>WOS:000294075600020</t>
  </si>
  <si>
    <t>Pilak, O; Harrop, SJ; Siddiqui, KS; Chong, K; De Francisci, D; Burg, D; Williams, TJ; Cavicchioli, R; Curmi, PMG</t>
  </si>
  <si>
    <t>Pilak, Oliver; Harrop, Stephen J.; Siddiqui, Khawar S.; Chong, Kevin; De Francisci, Davide; Burg, Dominic; Williams, Timothy J.; Cavicchioli, Ricardo; Curmi, Paul M. G.</t>
  </si>
  <si>
    <t>Chaperonins from an Antarctic archaeon are predominantly monomeric: crystal structure of an open state monomer</t>
  </si>
  <si>
    <t>GROUP-II CHAPERONIN; GLOBAL PROTEOMIC ANALYSIS; METHANOCOCCOIDES-BURTONII; PSYCHROPHILIC ARCHAEON; MYCOBACTERIUM-TUBERCULOSIS; SUPERNATANT FRACTIONS; COLD ADAPTATION; PROTEIN; GROEL; REFINEMENT</t>
  </si>
  <si>
    <t>Archaea are abundant in permanently cold environments. The Antarctic methanogen, Methanococcoides burtonii, has proven an excellent model for studying molecular mechanisms of cold adaptation. Methanococcoides burtonii contains three group II chaperonins that diverged prior to its closest orthologues from mesophilic Methanosarcina spp. The relative abundance of the three chaperonins shows little dependence on organism growth temperature, except at the highest temperatures, where the most thermally stable chaperonin increases in abundance. In vitro and in vivo, the M. burtonii chaperonins are predominantly monomeric, with only 23-33% oligomeric, thereby differing from other archaea where an oligomeric ring form is dominant. The crystal structure of an N-terminally truncated chaperonin reveals a monomeric protein with a fully open nucleotide binding site. When compared with closed state group II chaperonin structures, a large-scale similar to 30 degrees rotation between the equatorial and intermediate domains is observed resulting in an open nucleotide binding site. This is analogous to the transition observed between open and closed states of group I chaperonins but contrasts with recent archaeal group II chaperonin open state ring structures. The predominance of monomeric form and the ability to adopt a fully open nucleotide site appear to be unique features of the M. burtonii group II chaperonins.</t>
  </si>
  <si>
    <t>[Pilak, Oliver; Siddiqui, Khawar S.; Chong, Kevin; De Francisci, Davide; Burg, Dominic; Williams, Timothy J.; Cavicchioli, Ricardo] Univ New S Wales, Sch Biotechnol &amp; Biomol Sci, Sydney, NSW 2052, Australia; [Harrop, Stephen J.; Curmi, Paul M. G.] Univ New S Wales, Sch Phys, Sydney, NSW 2052, Australia; [Harrop, Stephen J.; Curmi, Paul M. G.] St Vincents Hosp, Ctr Appl Med Res, Darlinghurst, NSW 2010, Australia</t>
  </si>
  <si>
    <t>University of New South Wales Sydney; University of New South Wales Sydney; NSW Health; St Vincents Hospital Sydney</t>
  </si>
  <si>
    <t>r.cavicchioli@unsw.edu.au; p.curmi@unsw.edu.au</t>
  </si>
  <si>
    <t>Burg, Dominic/A-8136-2013; Curmi, Paul/G-7185-2011; Cavicchioli, Ricardo/D-4341-2013</t>
  </si>
  <si>
    <t>Burg, Dominic/0000-0002-9957-3233; Siddiqui, Khawar/0000-0001-8574-3177; Harrop, Stephen/0000-0002-1700-3369; Curmi, Paul/0000-0001-5762-7638; Williams, Timothy/0000-0002-2738-3019; Cavicchioli, Ricardo/0000-0001-8989-6402; Chong, Kevin/0000-0002-2889-6000; De Francisci, Davide/0000-0002-4893-9821</t>
  </si>
  <si>
    <t>Airforce Office of Scientific Research, Arlington, Virginia; Australian Research Council</t>
  </si>
  <si>
    <t>Airforce Office of Scientific Research, Arlington, Virginia(United States Department of DefenseAir Force Office of Scientific Research (AFOSR)); Australian Research Council(Australian Research Council)</t>
  </si>
  <si>
    <t>This work was funded by the Airforce Office of Scientific Research, Arlington, Virginia, and the Australian Research Council. Mass spectrometric results were obtained at the Bioanalytical Mass Spectrometry Facility of the University of New South Wales. This work was undertaken using infrastructure provided by NSW Government co-investment in the National Collaborative Research Infrastructure Scheme (NCRIS).</t>
  </si>
  <si>
    <t>10.1111/j.1462-2920.2011.02477.x</t>
  </si>
  <si>
    <t>WOS:000294075600023</t>
  </si>
  <si>
    <t>Bakermans, C; Skidmore, ML</t>
  </si>
  <si>
    <t>Bakermans, Corien; Skidmore, Mark L.</t>
  </si>
  <si>
    <t>Microbial Metabolism in Ice and Brine at -5°C</t>
  </si>
  <si>
    <t>BASAL ICE; PSYCHROBACTER-ARCTICUS; SIBERIAN PERMAFROST; BACTERIAL-ACTIVITY; ANTARCTIC ICE; GLACIAL ICE; SEA-ICE; MICROORGANISMS; GROWTH; CORE</t>
  </si>
  <si>
    <t>Metabolic activity, but not growth, has been observed in ice at temperatures from -5 degrees C to -32 degrees C. To improve understanding of metabolism in ice, we simultaneously examined various aspects of metabolism (C-14-acetate utilization, macromolecule syntheses and viability via reduction of CTC) of the glacial isolates Sporosarcina sp. B5 and Chryseobacterium sp. V3519-10 during incubation in nutrient-rich ice and brine at -5 degrees C for 50 days. Measured rates of acetate utilization and macromolecule syntheses were high in the first 20 days suggesting adjustment to the lower temperatures and higher salt concentrations of both the liquid vein network in the ice and the brine. Following this adjustment, reproductive growth of both organisms was evident in brine, and suggested for Sporosarcina sp. B5 in ice by increases in cell numbers and biomass. Chryseobacterium sp. V3519-10 cells incubated in ice remained active. These data indicate that neither low temperature nor high salt concentrations prohibit growth in ice, but some other aspect of living within ice slows growth to within the detection limits of current methodologies. These results imply that microbial growth is plausible in natural ice systems with comparable temperatures and sufficient nutrients, such as debris-rich basal ices of glaciers and ice masses.</t>
  </si>
  <si>
    <t>[Bakermans, Corien; Skidmore, Mark L.] Montana State Univ, Dept Earth Sci, Bozeman, MT 59717 USA</t>
  </si>
  <si>
    <t>Montana State University System; Montana State University Bozeman</t>
  </si>
  <si>
    <t>Bakermans, C (corresponding author), Penn State Univ, Altoona Coll, Div Math &amp; Nat Sci, Altoona, PA 16601 USA.</t>
  </si>
  <si>
    <t>cub21@psu.edu</t>
  </si>
  <si>
    <t>Skidmore, Mark L/I-4317-2018</t>
  </si>
  <si>
    <t>Bakermans, Corien/0000-0002-3471-2570</t>
  </si>
  <si>
    <t>Montana Space Grant Consortium as part of the Montana NASA EPSCoR; NSF-EAR [0522567]; Divn Of Social and Economic Sciences; Direct For Social, Behav &amp; Economic Scie [0522567] Funding Source: National Science Foundation</t>
  </si>
  <si>
    <t>Montana Space Grant Consortium as part of the Montana NASA EPSCoR; NSF-EAR(National Science Foundation (NSF)); Divn Of Social and Economic Sciences; Direct For Social, Behav &amp; Economic Scie(National Science Foundation (NSF)NSF - Directorate for Social, Behavioral &amp; Economic Sciences (SBE))</t>
  </si>
  <si>
    <t>This work was supported by a grant to C. B. from the Montana Space Grant Consortium as part of the Montana NASA EPSCoR Program with additional funding from a NSF-EAR 0522567 award to M. S.</t>
  </si>
  <si>
    <t>10.1111/j.1462-2920.2011.02485.x</t>
  </si>
  <si>
    <t>WOS:000294075600025</t>
  </si>
  <si>
    <t>Barker, PM; Dunn, JR; Domingues, CM; Wijffels, SE</t>
  </si>
  <si>
    <t>Barker, Paul M.; Dunn, Jeff R.; Domingues, Catia M.; Wijffels, Susan E.</t>
  </si>
  <si>
    <t>Pressure Sensor Drifts in Argo and Their Impacts</t>
  </si>
  <si>
    <t>JOURNAL OF ATMOSPHERIC AND OCEANIC TECHNOLOGY</t>
  </si>
  <si>
    <t>OCEAN; REEVALUATION; PROGRAM</t>
  </si>
  <si>
    <t>In recent years, autonomous profiling floats have become the prime component of the in situ ocean observing system through the implementation of the Argo program. These data are now the dominant input to estimates of the evolution of the global ocean heat content and associated thermosteric sea level rise. The Autonomous Profiling Explorer (APEX) is the dominant type of Argo float (similar to 62%), and a large portion of these floats report pressure measurements that are uncorrected for sensor drift, the size and source of which are described herein. The remaining Argo float types are designed to automatically self-correct for any pressure drift. Only about 57% of the APEX float profiles (or similar to 38% Argo profiles) can be corrected, but this typically has not been done by the data centers that distribute the data (as of January 2009). A pressure correction method for APEX floats is described and applied to the Argo dataset. A comparison between estimates using the corrected Argo dataset and the publically available uncorrected dataset (as of January 2009) reveals that the pressure corrections remove significant regional errors from ocean temperature, salinity, and thermosteric sea level fields. In the global mean, 43% of uncorrectable APEX float profiles (or similar to 28% Argo profiles) appear to largely offset the effect of the correctable APEX float profiles with positive pressure drifts. While about half of the uncorrectable APEX profiles can, in principle, be recovered in the near future (after inclusion of technical information that allows for corrections), the other half have negative pressure drifts truncated to zero (resulting from firmware limitations), which do not allow for corrections. Therefore, any Argo pressure profile that cannot be corrected for biases should be excluded from global change research. This study underscores the ongoing need for careful analyses to detect and remove subtle but systematic errors in ocean observations.</t>
  </si>
  <si>
    <t>[Barker, Paul M.] Antarctic Climate &amp; Ecosyst Cooperat Res Ctr, Hobart, Tas, Australia; [Dunn, Jeff R.; Wijffels, Susan E.] Ctr Australian Weather &amp; Climate Res, Hobart, Tas, Australia; [Domingues, Catia M.] Ctr Australian Weather &amp; Climate Res, Aspendale, Vic, Australia</t>
  </si>
  <si>
    <t>Antarctic Climate &amp; Ecosystems Cooperative Research Centre (ACE CRC); Commonwealth Scientific &amp; Industrial Research Organisation (CSIRO); Commonwealth Scientific &amp; Industrial Research Organisation (CSIRO)</t>
  </si>
  <si>
    <t>Barker, PM (corresponding author), CSIRO Marine &amp; Atmospher Res, GPO Box 1538, Hobart, Tas 7001, Australia.</t>
  </si>
  <si>
    <t>paul.barker@csiro.au</t>
  </si>
  <si>
    <t>Wijffels, Susan E/I-8215-2012; Domingues, Catia M./A-2901-2015</t>
  </si>
  <si>
    <t>Domingues, Catia M./0000-0001-5100-4595; Wijffels, Susan/0000-0002-4717-0811</t>
  </si>
  <si>
    <t>Department of Climate Change; Bureau of Meteorology; CSIRO; CSIRO Office of the Chief Executive (OCE)</t>
  </si>
  <si>
    <t>Department of Climate Change; Bureau of Meteorology(Bureau of Meteorology - Australia); CSIRO(Commonwealth Scientific &amp; Industrial Research Organisation (CSIRO)); CSIRO Office of the Chief Executive (OCE)</t>
  </si>
  <si>
    <t>This work has been undertaken as part of the Australian Climate Change Science Program, funded jointly by the Department of Climate Change, the Bureau of Meteorology, and CSIRO. CMD was supported by a CSIRO Office of the Chief Executive (OCE) Postdoctoral Fellowship. We thank John Church for his guidance and support, and Ann Thresher and Neil White for reviewing early drafts of this manuscript. We also thank two anonymous reviewers whose suggestions helped to improve this manuscript.</t>
  </si>
  <si>
    <t>45 BEACON ST, BOSTON, MA 02108-3693, UNITED STATES</t>
  </si>
  <si>
    <t>0739-0572</t>
  </si>
  <si>
    <t>1520-0426</t>
  </si>
  <si>
    <t>J ATMOS OCEAN TECH</t>
  </si>
  <si>
    <t>J. Atmos. Ocean. Technol.</t>
  </si>
  <si>
    <t>10.1175/2011JTECHO831.1</t>
  </si>
  <si>
    <t>Engineering, Ocean; Meteorology &amp; Atmospheric Sciences</t>
  </si>
  <si>
    <t>Engineering; Meteorology &amp; Atmospheric Sciences</t>
  </si>
  <si>
    <t>812XK</t>
  </si>
  <si>
    <t>WOS:000294326600006</t>
  </si>
  <si>
    <t>Tsujino, H; Hirabara, M; Nakano, H; Yasuda, T; Motoi, T; Yamanaka, G</t>
  </si>
  <si>
    <t>Tsujino, Hiroyuki; Hirabara, Mikitoshi; Nakano, Hideyuki; Yasuda, Tamaki; Motoi, Tatsuo; Yamanaka, Goro</t>
  </si>
  <si>
    <t>Simulating present climate of the global ocean-ice system using the Meteorological Research Institute Community Ocean Model (MRI.COM): simulation characteristics and variability in the Pacific sector</t>
  </si>
  <si>
    <t>JOURNAL OF OCEANOGRAPHY</t>
  </si>
  <si>
    <t>OGCM; COREs; Pacific Ocean</t>
  </si>
  <si>
    <t>MERIDIONAL OVERTURNING CIRCULATION; ANTARCTIC CIRCUMPOLAR CURRENT; SEA-SURFACE TEMPERATURE; NORTH PACIFIC; KUROSHIO EXTENSION; WIND STRESS; WORLD OCEAN; PRECIPITATION CLIMATOLOGY; INTERDECADAL VARIABILITY; DECADAL VARIABILITY</t>
  </si>
  <si>
    <t>A long-term spin-up and a subsequent interannual simulation are conducted for the ocean-ice component of the climate model intercomparison project (CMIP)-class earth system model of the Japan Meteorological Agency/Meteorological Research Institute. This experiment has three purposes: first is to assess the ability of our model with the Coordinated Ocean-ice Reference Experiments (COREs) forcing in reproducing the present ocean-climate; second is to understand the ocean-climate variability for the past 60 years; third is to present an example of evaluating an ocean-ice interannual variability simulation. The Pacific Ocean is focused on for the last two purposes. After integrating for about 1500 years with repeated use of a detrended CORE interannual forcing, the model reaches a quasi-steady state where the present climate is reproduced satisfactorily. Then, the interannual variability simulation is conducted with the retrieved forcing trend and the result is analyzed. The simulation is successful at reproducing the long-term variability in the Pacific and surrounding oceans. Brief analyses of the tropical and mid-latitude upper layer, deep circulation, and the Arctic sea ice are presented. A caveat in treating other parts of the globe is due to the recent intense convection in the Southern Ocean caused by a remarkably increasing trend of the Southern Hemisphere westerly. Overall, the current simulation with our CMIP-class ocean-ice model is shown to be useful for studying the present ocean-climate variability, specifically in the Pacific sector. It could also be used as a benchmark control experiment that facilitates further research, model development, and intercomparison.</t>
  </si>
  <si>
    <t>[Tsujino, Hiroyuki; Hirabara, Mikitoshi; Nakano, Hideyuki; Yasuda, Tamaki; Yamanaka, Goro] Meteorol Res Inst, Tsukuba, Ibaraki 3050052, Japan; [Motoi, Tatsuo] Meteorol Coll, Chiba 2770852, Japan</t>
  </si>
  <si>
    <t>Meteorological Research Institute - Japan</t>
  </si>
  <si>
    <t>Tsujino, H (corresponding author), Meteorol Res Inst, 1-1 Nagamine, Tsukuba, Ibaraki 3050052, Japan.</t>
  </si>
  <si>
    <t>htsujino@mri-jma.go.jp</t>
  </si>
  <si>
    <t>MRI; Japan Society for the Promotion of Science (JSPS) [21340133, 22540455]; Grants-in-Aid for Scientific Research [22106006, 22540455] Funding Source: KAKEN</t>
  </si>
  <si>
    <t>MRI; Japan Society for the Promotion of Science (JSPS)(Ministry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</si>
  <si>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Authors are grateful to Hiroshi Ishizaki, Yoshiteru Kitamura, and Ichiro Ishikawa, who initiated the development of MRI.COM as a multipurpose ocean model. Discussions about various issues of ocean modeling with Hiroyasu Hasumi at the AORI of the University of Tokyo, Yoshiki Komuro and Tatsuo Suzuki at JAMSTEC were very helpful. Comments from Seiji Yukimoto and Yukimasa Adachi in the Climate Research Department of MRI during the course of developing MRI-ESM1 greatly helped improve the model and its performance. Constructive and encouraging comments from anonymous reviewers are gratefully acknowledged. This work is funded by MRI and is partly supported by Japan Society for the Promotion of Science (JSPS) through Grant-in-Aid for Scientific Research (B) 21340133 and (C) 22540455.</t>
  </si>
  <si>
    <t>SPRINGER</t>
  </si>
  <si>
    <t>DORDRECHT</t>
  </si>
  <si>
    <t>VAN GODEWIJCKSTRAAT 30, 3311 GZ DORDRECHT, NETHERLANDS</t>
  </si>
  <si>
    <t>0916-8370</t>
  </si>
  <si>
    <t>1573-868X</t>
  </si>
  <si>
    <t>J OCEANOGR</t>
  </si>
  <si>
    <t>J. Oceanogr.</t>
  </si>
  <si>
    <t>10.1007/s10872-011-0050-3</t>
  </si>
  <si>
    <t>811DB</t>
  </si>
  <si>
    <t>WOS:000294181200011</t>
  </si>
  <si>
    <t>Cordier, C; van Ginneken, M; Folco, L</t>
  </si>
  <si>
    <t>Cordier, Carole; van Ginneken, Matthias; Folco, Luigi</t>
  </si>
  <si>
    <t>Nickel abundance in stony cosmic spherules: Constraining precursor material and formation mechanisms</t>
  </si>
  <si>
    <t>METEORITICS &amp; PLANETARY SCIENCE</t>
  </si>
  <si>
    <t>OXYGEN-ISOTOPIC COMPOSITIONS; PORPHYRITIC PYROXENE CHONDRULES; ANTARCTIC MICROMETEORITES; TRANSANTARCTIC MOUNTAINS; CARBONACEOUS CHONDRITES; UNEQUILIBRATED ORDINARY; ACFER 094; OLIVINE; PETROLOGY; IRON</t>
  </si>
  <si>
    <t>We report bulk and olivine compositions in 66 stony cosmic spherules (Na2O &lt; 0.76 wt%), 200-800 mu m in size, from the Transantarctic Mountains, Antarctica. In porphyritic cosmic spherules, relict olivines that survived atmospheric entry heating are always Ni-poor and similar in composition to the olivines in carbonaceous or unequilibrated ordinary chondrites (18 spherules), and equilibrated ordinary chondrites (one spherule). This is consistent with selective survival of high temperature, Mg-rich olivines during atmospheric entry. Olivines that crystallized from the melts produced during atmospheric entry have NiO contents that increase with increasing NiO in the bulk spherule, and that range from values similar to those observed in chondritic olivines (NiO generally &lt; 0.5 wt%) to values characteristic of olivines in meteoritic ablation spheres (NiO &gt; 2 wt%). Thus, NiO content in olivine cannot be used alone to distinguish meteoritic ablation spheres from cosmic spherules, and the volatile element contents have to be considered. We propose that the variation in NiO contents in cosmic spherules and their olivines is the result of variable content of Fe, Ni metal in the precursor. NiO contents in olivines and in cosmic spherules can thus be used to discuss their parent body. Ni-poor spherules can be derived from C-rich and/or metal-poor precursors, either related to CM, CI, CR chondrites or to chondritic fragments dominated by silicates, regardless of the parent body. Ni-rich spherules (NiO &gt; 0.7 wt%) that represent 55% of the 47 barred-olivine spherules we studied, were derived from the melting of C-poor, metal-rich precursors, compatible with ordinary chondrite or CO, CV, CK carbonaceous chondrite parentages.</t>
  </si>
  <si>
    <t>[Cordier, Carole; van Ginneken, Matthias; Folco, Luigi] Univ Siena, Museo Nazl Antartide, I-53100 Siena, Italy</t>
  </si>
  <si>
    <t>University of Siena</t>
  </si>
  <si>
    <t>Cordier, C (corresponding author), Univ Siena, Museo Nazl Antartide, Via Laterina 8, I-53100 Siena, Italy.</t>
  </si>
  <si>
    <t>cordier@unisi.it</t>
  </si>
  <si>
    <t>Van Ginneken, Matthias/AFQ-5594-2022; Van Ginneken, Matthias/A-3342-2017; Folco, Luigi/AAB-8586-2021; Folco, Luigi/AAA-6351-2020</t>
  </si>
  <si>
    <t>Van Ginneken, Matthias/0000-0002-2508-7021; Van Ginneken, Matthias/0000-0002-2508-7021; Cordier, Carole/0000-0002-6100-4393; Folco, Luigi/0000-0002-7276-3483</t>
  </si>
  <si>
    <t>Programma Nazionale delle Ricerche in Antartide (PNRA); European Commission [35519]; Fondazione Monte dei Paschi di Siena [42035]</t>
  </si>
  <si>
    <t>Programma Nazionale delle Ricerche in Antartide (PNRA); European Commission(European Union (EU)European Commission Joint Research Centre); Fondazione Monte dei Paschi di Siena</t>
  </si>
  <si>
    <t>This work was supported by the Programma Nazionale delle Ricerche in Antartide (PNRA), by the European Commission through the Marie Curie Actions-RTNs ORIGINS project (ID: 35519), and the Fondazione Monte dei Paschi di Siena (ID: 42035). Authors are grateful to Raul Carampin, Massimo Tiepolo, and Andrea Cavallo for their help during EPM, LA-ICP-MS, and FEG-SEM analytical sessions, respectively. They also acknowledge Susan Taylor for the loan of cosmic spherules from the South Pole Water Well collection, Don Brownlee for his editorial assistance, and Matthew Genge and Mike Zolensky for reviewing this work.</t>
  </si>
  <si>
    <t>1086-9379</t>
  </si>
  <si>
    <t>1945-5100</t>
  </si>
  <si>
    <t>METEORIT PLANET SCI</t>
  </si>
  <si>
    <t>Meteorit. Planet. Sci.</t>
  </si>
  <si>
    <t>10.1111/j.1945-5100.2011.01218.x</t>
  </si>
  <si>
    <t>810ZT</t>
  </si>
  <si>
    <t>WOS:000294171100004</t>
  </si>
  <si>
    <t>Boyle, JF; Gaillard, MJ; Kaplan, JO; Dearing, JA</t>
  </si>
  <si>
    <t>Boyle, John F.; Gaillard, Marie-Jose; Kaplan, Jed O.; Dearing, John A.</t>
  </si>
  <si>
    <t>Modelling prehistoric land use and carbon budgets: A critical review</t>
  </si>
  <si>
    <t>HOLOCENE</t>
  </si>
  <si>
    <t>anthropogenic land-cover scenarios; carbon budget; Holocene; past global population; prehistoric land use; Ruddiman hypothesis</t>
  </si>
  <si>
    <t>POLLEN DATA; POPULATION; CYCLE; CO2; CLIMATE; COVER; ICE</t>
  </si>
  <si>
    <t>An evaluation of modelled estimates for C release following early land clearance at the global level based on new model assumptions suggests that earlier studies may have underestimated its magnitude, chiefly because of underestimation of the mid-Holocene global population. Alternative information sources for population and land utilisation support both a greater total CO2 release and a greater Neolithic contribution. Indeed, we show that the quantity of terrestrial C release due to early farming, even using the most conservative assumptions, greatly exceeds the net terrestrial C release estimated by inverse modelling of ice core data by Elsig et al. (Elsig J, Schmitt J, Leuenberger D, Schneider R, Eyer M, Leuenberger M et al. ( 2009) Stable isotope constraints on Holocene carbon cycle changes from an Antarctic ice core. Nature 461: 507-510), though uncertainty about past global population estimates precludes calculation of a precise value.</t>
  </si>
  <si>
    <t>[Boyle, John F.] Univ Liverpool, Sch Environm Sci, Liverpool L69 7ZT, Merseyside, England; [Gaillard, Marie-Jose] Linnaeus Univ, Vaxjo, Sweden; [Kaplan, Jed O.] Ecole Polytech Fed Lausanne, CH-1015 Lausanne, Switzerland; [Dearing, John A.] Univ Southampton, Southampton SO9 5NH, Hants, England</t>
  </si>
  <si>
    <t>University of Liverpool; Linnaeus University; Swiss Federal Institutes of Technology Domain; Ecole Polytechnique Federale de Lausanne; University of Southampton</t>
  </si>
  <si>
    <t>Boyle, JF (corresponding author), Univ Liverpool, Sch Environm Sci, Liverpool L69 7ZT, Merseyside, England.</t>
  </si>
  <si>
    <t>jfb@liv.ac.uk</t>
  </si>
  <si>
    <t>Dearing, John/E-4206-2010; Kaplan, Jed O./P-1796-2015; IPO, PAGES/JXY-7546-2024; Gaillard, Marie-José/ABG-2680-2021</t>
  </si>
  <si>
    <t>Kaplan, Jed O./0000-0001-9919-7613; Boyle, John/0000-0002-1172-1079; Dearing, John/0000-0002-1466-9640</t>
  </si>
  <si>
    <t>Swedish National Research Council VR; Nordic Research Council NordForsk; Faculty of Natural Sciences of Linnaeus University (Kalmar-Vaxjo, Sweden)</t>
  </si>
  <si>
    <t>Swedish National Research Council VR(Swedish Research Council); Nordic Research Council NordForsk(NordForsk); Faculty of Natural Sciences of Linnaeus University (Kalmar-Vaxjo, Sweden)</t>
  </si>
  <si>
    <t>We acknowledge the financial support of the Swedish National Research Council VR, the Nordic Research Council NordForsk, and the Faculty of Natural Sciences of Linnaeus University (Kalmar-Vaxjo, Sweden) (for Gaillard). The authors are also grateful to Jorgen Olofsson (University of Lund, Sweden) and Carsten Lemmen (GKSS-Forschungszentrum Geesthacht GmbH Germany) for providing data for the maps of Figures 1 and 2.</t>
  </si>
  <si>
    <t>SAGE PUBLICATIONS LTD</t>
  </si>
  <si>
    <t>LONDON</t>
  </si>
  <si>
    <t>1 OLIVERS YARD, 55 CITY ROAD, LONDON EC1Y 1SP, ENGLAND</t>
  </si>
  <si>
    <t>0959-6836</t>
  </si>
  <si>
    <t>1477-0911</t>
  </si>
  <si>
    <t>Holocene</t>
  </si>
  <si>
    <t>10.1177/0959683610386984</t>
  </si>
  <si>
    <t>Geography, Physical; Geosciences, Multidisciplinary</t>
  </si>
  <si>
    <t>Physical Geography; Geology</t>
  </si>
  <si>
    <t>799EG</t>
  </si>
  <si>
    <t>WOS:000293265900002</t>
  </si>
  <si>
    <t>Fox-Hughes, P</t>
  </si>
  <si>
    <t>Fox-Hughes, Paul</t>
  </si>
  <si>
    <t>Impact of More Frequent Observations on the Understanding of Tasmanian Fire Danger</t>
  </si>
  <si>
    <t>JOURNAL OF APPLIED METEOROLOGY AND CLIMATOLOGY</t>
  </si>
  <si>
    <t>AUSTRALIA; WEATHER; CLIMATOLOGY</t>
  </si>
  <si>
    <t>Half-hourly airport weather observations have been used to construct high-temporal-resolution datasets of McArthur Mark V forest fire danger index (FFDI) values for three locations in Tasmania, Australia, enabling a more complete understanding of the range and diurnal variability of fire weather. Such an understanding is important for fire management and planning to account for the possibility of weather-related fire flare ups-in particular, early in a day and during rapidly changing situations. In addition, climate studies have hitherto generally been able to access only daily or at best 3-hourly weather data to generate fire-weather index values. Comparison of FFDI values calculated from frequent (subhourly) observations with those derived from 3-hourly synoptic observations suggests that large numbers of significant fire-weather events are missed, even by a synoptic observation schedule, and, in particular, by observations made at 1500 LT only, suggesting that many climate studies may underestimate the frequencies of occurrence of fire-weather events. At Hobart, in southeastern Tasmania, only one-half of diurnal FFDI peaks over a critical warning level occur at 1500 LT, with the remainder occurring across a broad range of times. The study reinforces a perception of pronounced differences in the character of fire weather across Tasmania, with differences in diurnal patterns of variability evident between locations, in addition to well-known differences in the ranges of peak values observed.</t>
  </si>
  <si>
    <t>[Fox-Hughes, Paul] Univ Tasmania, Bur Meteorol, Hobart, Tas 7000, Australia; [Fox-Hughes, Paul] Univ Tasmania, Inst Marine &amp; Antarctic Studies, Hobart, Tas 7000, Australia; [Fox-Hughes, Paul] Bushfire Cooperat Res Ctr, Melbourne, Vic, Australia</t>
  </si>
  <si>
    <t>Bureau of Meteorology - Australia; University of Tasmania; University of Tasmania; Bushfire &amp; Natural Hazards CRC</t>
  </si>
  <si>
    <t>Fox-Hughes, P (corresponding author), Univ Tasmania, Bur Meteorol, 111 Macquaries St, Hobart, Tas 7000, Australia.</t>
  </si>
  <si>
    <t>p.fox-hughes@bom.gov.au</t>
  </si>
  <si>
    <t>Fox-Hughes, Paul/G-8731-2013</t>
  </si>
  <si>
    <t>Fox-Hughes, Paul/0000-0002-0083-9928</t>
  </si>
  <si>
    <t>1558-8424</t>
  </si>
  <si>
    <t>J APPL METEOROL CLIM</t>
  </si>
  <si>
    <t>J. Appl. Meteorol. Climatol.</t>
  </si>
  <si>
    <t>10.1175/JAMC-D-10-05001.1</t>
  </si>
  <si>
    <t>807KQ</t>
  </si>
  <si>
    <t>WOS:000293896700001</t>
  </si>
  <si>
    <t>Manabe, S; Ploshay, J; Lau, NC</t>
  </si>
  <si>
    <t>Manabe, Syukuro; Ploshay, Jeffrey; Lau, Ngar-Cheung</t>
  </si>
  <si>
    <t>Seasonal Variation of Surface Temperature Change during the Last Several Decades</t>
  </si>
  <si>
    <t>OCEAN-ATMOSPHERE MODEL; SEA-ICE; TRANSIENT-RESPONSES; AIR-TEMPERATURE; GRADUAL CHANGES; CO2; SENSITIVITY; INCREASE</t>
  </si>
  <si>
    <t>Using the historical surface temperature dataset compiled by Climatic Research Unit of the University of East Anglia and the Hadley Centre of the United Kingdom, this study examines the seasonal and latitudinal profile of the surface temperature change observed during the last several decades. It reveals that the recent change in zonal-mean surface air temperature is positive at practically all latitudes. In the Northern Hemisphere, the warming increases with increasing latitude and is large in the Arctic Ocean during much of the year except in summer, when it is small. At the Antarctic coast and in the northern part of the circumpolar ocean (near 55 degrees S), where limited data are available, the changes appear to be small during most seasons, though the warming is notable at the coast in winter. However, this warming is much less than the warming over the Arctic Ocean. The seasonal variation of the surface temperature change appears to be broadly consistent with the result from a global warming experiment that was conducted some time ago using a coupled atmosphere-ocean-land model.</t>
  </si>
  <si>
    <t>[Manabe, Syukuro] Princeton Univ, Program Atmospher &amp; Ocean Sci, Princeton, NJ 08540 USA; [Ploshay, Jeffrey; Lau, Ngar-Cheung] NOAA, Geophys Fluid Dynam Lab, Princeton, NJ USA</t>
  </si>
  <si>
    <t>Princeton University; National Oceanic Atmospheric Admin (NOAA) - USA; National Oceanic Atmospheric Admin (NOAA) - USA</t>
  </si>
  <si>
    <t>Manabe, S (corresponding author), Princeton Univ, Program Atmospher &amp; Ocean Sci, Sayre Hall,300 Forrestal Rd, Princeton, NJ 08540 USA.</t>
  </si>
  <si>
    <t>manabe@princeton.edu</t>
  </si>
  <si>
    <t>Ploshay, Jeffrey/V-4723-2018</t>
  </si>
  <si>
    <t>Ploshay, Jeffrey/0000-0001-8650-2965</t>
  </si>
  <si>
    <t>National Oceanic and Atmospheric Administration, U.S. Department of Commerce [NA080AR4320752]</t>
  </si>
  <si>
    <t>National Oceanic and Atmospheric Administration, U.S. Department of Commerce(National Oceanic Atmospheric Admin (NOAA) - USA)</t>
  </si>
  <si>
    <t>We are grateful to Drs. P. J. Brohan, J. Kennedy, I. Harris, S. F. B. Tett, and P. D. Jones, who constructed the historical surface temperature dataset HadCRUT3 and made it freely available, thereby enabling us to conduct the analysis presented here. We appreciate the contribution of Aditya Salgame during the initial phase of this study. This report was prepared under Award NA080AR4320752 from the National Oceanic and Atmospheric Administration, U.S. Department of Commerce. The statements, findings, conclusions, and recommendations are those of the authors and do not necessarily reflect the views of the National Oceanic and Atmospheric Administration, or the U.S. Department of Commerce.</t>
  </si>
  <si>
    <t>10.1175/JCLI-D-11-00129.1</t>
  </si>
  <si>
    <t>806QE</t>
  </si>
  <si>
    <t>WOS:000293823900002</t>
  </si>
  <si>
    <t>Chen, SX; Li, TG; Tang, Z; Qiu, XH; Xiong, ZF; Nan, QY; Xu, ZK; Chang, FM</t>
  </si>
  <si>
    <t>Chen ShuangXi; Li TieGang; Tang Zheng; Qiu XiaoHua; Xiong ZhiFang; Nan QingYun; Xu ZhaoKai; Chang FengMing</t>
  </si>
  <si>
    <t>Response of the northwestern Pacific upper water δ 13C to the last deglacial ventilation of the deep Southern Ocean</t>
  </si>
  <si>
    <t>CHINESE SCIENCE BULLETIN</t>
  </si>
  <si>
    <t>planktonic foraminiferal delta C-13; ventilation of the deep Southern Ocean; northwestern Pacific; last deglaciation; delta C-13 minimum event</t>
  </si>
  <si>
    <t>ANTARCTIC INTERMEDIATE WATER; NORTH EQUATORIAL CURRENT; PAST 25,000 YEARS; ATMOSPHERIC CO2; OKINAWA TROUGH; PLANKTONIC-FORAMINIFERA; GLACIAL TERMINATION; CARBON-DIOXIDE; VARIABILITY; THERMOCLINE</t>
  </si>
  <si>
    <t>The deglacial delta C-13 minimum events that originated from the ventilation of the deep Southern Ocean around Antarctica, have been recorded in a range of marine sediments from the southern to tropical oceans in late Pleistocene. However, the broad delta C-13 minimum event was also reported as far as to the northern middle latitudes, in northwestern Pacific marginal sea areas, during the last deglaciation. In the northwestern Pacific, forcing from the northern high latitudes is strongly expressed, while the records of influence from the southern high latitudes are few. The Kuroshio Source Region (KSR) forms a boundary between the northwestern Pacific and the southern, tropical Pacific. So, high-resolution planktonic foraminiferal records in core MD06-3054 from the KSR are well positioned to identify signals from the southern hemisphere in the northwestern Pacific. Planktonic foraminiferal tests from the upper 1030 cm of the core were subject to AMS(14)C, carbon and oxygen isotopic measurements. A negative excursion was found to occur from about 20.0-6.0 ka BP in delta C-13 records of both surface (Globigerinoides ruber) and subsurface (Pulleniatina obliquiloculata) dwellers, but the overall trends of the two curves have reversed since 26.5 ka BP. Moreover, the delta C-13 record of G. ruber (the surface dweller) shows a robust link to the record of atmospheric CO2, and its changes precede the records of P. obliquiloculata (the subsurface dweller). According to the hydrologic conditions, the broad delta C-13 minimum event recorded in the KSR is also a response to the increasing ventilation of the deep Southern Ocean around Antarctica during the last deglaciation. The inconsistency between the records of the surface and subsurface dwellers was possibly caused by the ways that the low delta C-13 signal was transmitted. Subsurface water primarily received the low delta C-13 signal from the Antarctic Intermediate Water (AAIW), whereas the surface water was probably mainly impacted by atmospheric CO2 in the KSR. The records from the KSR confirm the deduction that the broad delta C-13 minimum event in the Okinawa Trough was due to the impact of tropical Pacific surface water during the last deglaciation, and suggest that signals from the southern high latitudes also can be delivered to the northern middle latitudes.</t>
  </si>
  <si>
    <t>[Chen ShuangXi; Li TieGang; Tang Zheng; Qiu XiaoHua; Xiong ZhiFang; Nan QingYun; Xu ZhaoKai; Chang FengMing] Chinese Acad Sci, Inst Oceanol, Key Lab Marine Geol &amp; Environm, Qingdao 266071, Peoples R China; [Tang Zheng] Minist Land &amp; Resources China, Qingdao Inst Marine Geol, Key Lab Marine Hydrocarbon Resources &amp; Environm G, Qingdao 266071, Peoples R China; [Chen ShuangXi; Tang Zheng; Qiu XiaoHua] Chinese Acad Sci, Grad Univ, Beijing 100049, Peoples R China</t>
  </si>
  <si>
    <t>Chinese Academy of Sciences; Institute of Oceanology, CAS; Ministry of Natural Resources of the People's Republic of China; China Geological Survey; Qingdao Institute of Marine Geology (QIMG); Chinese Academy of Sciences; University of Chinese Academy of Sciences, CAS</t>
  </si>
  <si>
    <t>Li, TG (corresponding author), Chinese Acad Sci, Inst Oceanol, Key Lab Marine Geol &amp; Environm, Qingdao 266071, Peoples R China.</t>
  </si>
  <si>
    <t>tgli@qdio.ac.cn</t>
  </si>
  <si>
    <t>Chen, Shuangxi/GRY-1124-2022; Xiong, Zhifang/H-2052-2013</t>
  </si>
  <si>
    <t>Xiong, Zhifang/0000-0001-9370-0089</t>
  </si>
  <si>
    <t>National Basic Research Program of China [2007CB815903]; Chinese Academy of Sciences [KZCX2-YW-221]; National Natural Science Foundation of China [41076030, 40906038]</t>
  </si>
  <si>
    <t>National Basic Research Program of China(National Basic Research Program of China); Chinese Academy of Sciences(Chinese Academy of Sciences); National Natural Science Foundation of China(National Natural Science Foundation of China (NSFC))</t>
  </si>
  <si>
    <t>We thank the onboard scientists as well as officers and crew of R/V Marion Dufresne of the French Polar Institute (IPEV) for their help in sampling. We are grateful to Prof. Jian Zhimin and Cheng Xingrong of Tongji University for their assistance in isotope analysis. Thanks are also expressed to Prof. Yu Xinke of the Institute of Oceanology, Chinese Academy of Sciences, and Prof. Paul Loubere of Northern Illinois University for their discussions and good advice. Dr. Chen Shuai of the Institute of Oceanology, Chinese Academy of Sciences reviewed an early version of this paper, and constructive comments from the two reviewers improved this manuscript. This work was supported by the National Basic Research Program of China (2007CB815903), the Pilot Project of the National Knowledge Innovation Program of the Chinese Academy of Sciences (KZCX2-YW-221) and the National Natural Science Foundation of China (41076030 and 40906038).</t>
  </si>
  <si>
    <t>1001-6538</t>
  </si>
  <si>
    <t>1861-9541</t>
  </si>
  <si>
    <t>CHINESE SCI BULL</t>
  </si>
  <si>
    <t>Chin. Sci. Bull.</t>
  </si>
  <si>
    <t>10.1007/s11434-011-4590-0</t>
  </si>
  <si>
    <t>804DS</t>
  </si>
  <si>
    <t>hybrid, Green Published</t>
  </si>
  <si>
    <t>WOS:000293635000018</t>
  </si>
  <si>
    <t>McGaffin, AF; Nicol, S; Virtue, P; Hirano, Y; Matsuda, T; Uchida, I; Candy, SG; Kawaguchi, S</t>
  </si>
  <si>
    <t>McGaffin, Angela F.; Nicol, Stephen; Virtue, Patti; Hirano, Yasuo; Matsuda, Tsuyoshi; Uchida, Itaru; Candy, Steven G.; Kawaguchi, So</t>
  </si>
  <si>
    <t>Validation and quantification of extractable age pigments for determining the age of Antarctic krill (Euphausia superba)</t>
  </si>
  <si>
    <t>MARINE BIOLOGY</t>
  </si>
  <si>
    <t>LIPOFUSCIN ACCUMULATION; GROWTH; AUTOFLUORESCENCE; FLUORESCENCE; CRUSTACEANS; POPULATION; FISHERIES; LENGTH; SEX; EYE</t>
  </si>
  <si>
    <t>Antarctic krill, Euphausia superba, hatched from eggs and maintained for four years, were sampled periodically for age-pigment analysis. Extractable pigments from the eye and eyestalk ganglia were quantified using fluorescence intensity and standardised against protein. Three peak fluorescence intensities were detected at wavelengths of excitation 280 nm, emission 625 nm (pigment 1); excitation 355 nm, emission 510 nm (pigment 2); and excitation 463 nm, emission 620 nm (pigment 3). There was a positive correlation between the quantity of pigments 1 and 3 and the age of Antarctic krill. A model was developed to predict age from pigment 3 and to compare it with other age proxies (carapace length and eyeball diameter). The quantity of pigment 3 was the best predictor of age. The pigment method can discriminate between similar sized krill aged 12 and 36 months. Age pigments provide an improved tool for age estimation in Antarctic krill, particularly if used in conjunction with other demographic information.</t>
  </si>
  <si>
    <t>[McGaffin, Angela F.; Virtue, Patti] Univ Tasmania, Inst Antarctic &amp; So Ocean Studies, Hobart, Tas 7001, Australia; [Nicol, Stephen; Candy, Steven G.; Kawaguchi, So] Australian Antarctic Div, Dept Sustainabil Environm Water Populat &amp; Communi, Kingston, Tas 7050, Australia; [Hirano, Yasuo; Matsuda, Tsuyoshi; Uchida, Itaru] Port Nagoya Publ Aquarium, Minato Ku, Nagoya, Aichi 4550033, Japan</t>
  </si>
  <si>
    <t>University of Tasmania; Australian Antarctic Division</t>
  </si>
  <si>
    <t>McGaffin, AF (corresponding author), Univ Tasmania, Inst Antarctic &amp; So Ocean Studies, Private Bag 129, Hobart, Tas 7001, Australia.</t>
  </si>
  <si>
    <t>Angela.McGaffin@aad.gov.au</t>
  </si>
  <si>
    <t>Kawaguchi, So/N-1795-2017; Matsuda, Tsuyoshi/HJI-5833-2023</t>
  </si>
  <si>
    <t>Virtue, Patti/0000-0002-9870-1256; Kawaguchi, So/0000-0002-2042-5095</t>
  </si>
  <si>
    <t>SPRINGER HEIDELBERG</t>
  </si>
  <si>
    <t>HEIDELBERG</t>
  </si>
  <si>
    <t>TIERGARTENSTRASSE 17, D-69121 HEIDELBERG, GERMANY</t>
  </si>
  <si>
    <t>0025-3162</t>
  </si>
  <si>
    <t>1432-1793</t>
  </si>
  <si>
    <t>MAR BIOL</t>
  </si>
  <si>
    <t>Mar. Biol.</t>
  </si>
  <si>
    <t>10.1007/s00227-011-1688-5</t>
  </si>
  <si>
    <t>795UM</t>
  </si>
  <si>
    <t>WOS:000293001400007</t>
  </si>
  <si>
    <t>Aumack, CF; Amsler, CD; McClintock, JB; Baker, BJ</t>
  </si>
  <si>
    <t>Aumack, Craig F.; Amsler, Charles D.; McClintock, James B.; Baker, Bill J.</t>
  </si>
  <si>
    <t>Changes in amphipod densities among macroalgal habitats in day versus night collections along the Western Antarctic Peninsula</t>
  </si>
  <si>
    <t>HERBIVOROUS MARINE AMPHIPOD; SPONGE-ASSOCIATED AMPHIPODS; FISH NOTOTHENIA-CORIICEPS; JASSA-MARMORATA HOLMES; SHORT-TERM DYNAMICS; SUBTIDAL MACROALGAE; SPECIES COMPOSITION; HOST USE; PATTERNS; RESISTANCE</t>
  </si>
  <si>
    <t>Amphipods along the western Antarctic Peninsula appear to gain refuge from predators by associating with chemically defended macroalgae rather than palatable macroalgae. However, nothing is known about amphipod activity at night. If foraging on non-chemically defended macroalgae regularly occurs, then nocturnal foraging seems beneficial since visual predators are disadvantaged. To test this hypothesis, we collected three common macroalgal species and affiliated mesograzers, approximately 3 h before and after sunset. All associated mesofauna were counted and densities recorded. Amphipod densities were significantly decreased during the night on the chemically defended Desmarestia menziesii, while significantly increased on the palatable Iridaea cordata. Additionally, the amphipod Gondogeneia antarctica was found in significantly higher densities at night on Palmaria decipiens, a species shown to be readily eaten by G. antarctica and omnivorous fish. We believe that chemically defended macroalgae act as a refuge for mesograzers during the day, while more widespread foraging occurs at night.</t>
  </si>
  <si>
    <t>[Aumack, Craig F.] Columbia Univ, Lamont Doherty Earth Observ, Dept Marine Sci, Palisades, NY 10964 USA; [Amsler, Charles D.; McClintock, James B.] Univ Alabama, Dept Biol, Birmingham, AL 35294 USA; [Baker, Bill J.] Univ S Florida, Dept Chem, Tampa, FL 33620 USA</t>
  </si>
  <si>
    <t>Columbia University; University of Alabama System; University of Alabama Birmingham; State University System of Florida; University of South Florida</t>
  </si>
  <si>
    <t>Aumack, CF (corresponding author), Columbia Univ, Lamont Doherty Earth Observ, Dept Marine Sci, Palisades, NY 10964 USA.</t>
  </si>
  <si>
    <t>cfa2108@columbia.edu</t>
  </si>
  <si>
    <t>Baker, Bill/N-4312-2019</t>
  </si>
  <si>
    <t>Amsler, Charles/0000-0002-4843-3759</t>
  </si>
  <si>
    <t>National Science Foundation [OPP-0442769]; Antarctic Ecosystems and Organisms program [OPP-0442857]</t>
  </si>
  <si>
    <t>National Science Foundation(National Science Foundation (NSF)); Antarctic Ecosystems and Organisms program</t>
  </si>
  <si>
    <t>We thank Maggie Amsler, Philip Bucolo, Alan Maschek, Dr. Jill Zamzow, and the rest of our 2007 and 2008 Antarctic field team colleagues for their field assistance. This project would not have been possible without the hard work and outstanding logistical support in Antarctica from the employees and sub-contractors of Raytheon Polar Services Company. This work was supported by National Science Foundation awards OPP-0442769 (CDA, JBM) and OPP-0442857 (BJB) from the Antarctic Ecosystems and Organisms program and by an Endowed Professorship in Polar and Marine Biology to JBM provided by the University of Alabama at Birmingham.</t>
  </si>
  <si>
    <t>233 SPRING ST, NEW YORK, NY 10013 USA</t>
  </si>
  <si>
    <t>10.1007/s00227-011-1700-0</t>
  </si>
  <si>
    <t>WOS:000293001400018</t>
  </si>
  <si>
    <t>Nielsen, UN; Wall, DH; Li, G; Toro, M; Adams, BJ; Virginia, RA</t>
  </si>
  <si>
    <t>Nielsen, Uffe N.; Wall, Diana H.; Li, Grace; Toro, Manuel; Adams, Byron J.; Virginia, Ross A.</t>
  </si>
  <si>
    <t>Nematode communities of Byers Peninsula, Livingston Island, maritime Antarctica</t>
  </si>
  <si>
    <t>ASPA no. 126; biodiversity hotspot; community composition; soil fauna; South Shetland Islands</t>
  </si>
  <si>
    <t>TERRESTRIAL ARTHROPOD FAUNA; SOUTH-SHETLAND ISLANDS; SOIL; ECOSYSTEMS; INVERTEBRATES; BIODIVERSITY; DIVERSITY; VALLEY</t>
  </si>
  <si>
    <t>The nematode communities of Antarctica are considered simple. The few species present are well adapted to the harsh conditions and often endemic to Antarctica. Knowledge of Antarctic terrestrial ecosystems is increasing rapidly, but nematode communities remain to be explored in large parts of Antarctica. In soil samples collected at Byers Peninsula (Antarctic Specially Protected Area No. 126), Livingston Island we recorded 37 nematode taxa but samples showed great variation in richness and abundance. Nematode richness decreased with increasing soil pH, whereas total abundances, and the abundance of several trophic groups, were greatest at intermediate pH (around 6.5-7). Moreover, the community composition was mainly related to pH and less so to soil moisture. Trophic group, and total nematode, rotifer and tardigrade, abundances were generally positively correlated. Byers Peninsula is thus, by maritime Antarctic standards, a nematode biodiversity hotspot, and the presence of several previously unrecorded genera indicates that nematode species richness in maritime Antarctica is probably underestimated. Our results indicate that abiotic factors influence nematode communities with little evidence for biotic interactions. The unexplained heterogeneity in community composition is probably related to variation in microclimate, vegetation, topography and unmeasured soil properties, but may also be contributed to by biological processes.</t>
  </si>
  <si>
    <t>[Nielsen, Uffe N.; Wall, Diana H.; Li, Grace] Colorado State Univ, Nat Resource Ecol Lab, Ft Collins, CO 80523 USA; [Nielsen, Uffe N.; Wall, Diana H.; Li, Grace] Colorado State Univ, Dept Biol, Ft Collins, CO 80523 USA; [Toro, Manuel] Ctr Estudios Hidrog CEDEX, Madrid 28005, Spain; [Adams, Byron J.] Brigham Young Univ, Dept Biol, Provo, UT 84602 USA; [Adams, Byron J.] Brigham Young Univ, Evolutionary Ecol Labs, Provo, UT 84602 USA; [Virginia, Ross A.] Dartmouth Coll, Environm Studies Program, Hanover, NH 03755 USA</t>
  </si>
  <si>
    <t>Colorado State University; Colorado State University; Brigham Young University; Brigham Young University; Dartmouth College</t>
  </si>
  <si>
    <t>Nielsen, UN (corresponding author), Colorado State Univ, Nat Resource Ecol Lab, Ft Collins, CO 80523 USA.</t>
  </si>
  <si>
    <t>uffe@nrel.colostate.edu</t>
  </si>
  <si>
    <t>Wall, Diana H/F-5491-2011; Adams, Byron/C-3808-2009</t>
  </si>
  <si>
    <t>Nielsen, Uffe N/0000-0003-2400-7453; Toro Velasco, Manuel/0000-0002-4860-7229; Adams, Byron/0000-0002-7815-3352</t>
  </si>
  <si>
    <t>Ministry of Science and Innovation [CGL2005-06549-C02-01/02/ANT]; US National Science Foundation [DEB 0344834, OPP 0229836]; Directorate For Geosciences; Office of Polar Programs (OPP) [1041742] Funding Source: National Science Foundation</t>
  </si>
  <si>
    <t>Ministry of Science and Innovation(Spanish Government); US National Science Foundation(National Science Foundation (NSF)); Directorate For Geosciences; Office of Polar Programs (OPP)(National Science Foundation (NSF)NSF - Directorate for Geosciences (GEO))</t>
  </si>
  <si>
    <t>Samples were collected in the framework of the Spanish Project Limnopolar (CGL2005-06549-C02-01/02/ANT) funded by the Ministry of Science and Innovation, and the US National Science Foundation (DEB 0344834 and OPP 0229836) supported this work. We are grateful to C. Tomasel, E. Molina, and K. Ivanovich for help with measurements of pH, conductivity, and C and N concentrations. We also thank the two anonymous referees for helpful comments on an earlier version of the manuscript.</t>
  </si>
  <si>
    <t>10.1017/S0954102011000174</t>
  </si>
  <si>
    <t>WOS:000293337000006</t>
  </si>
  <si>
    <t>Shim, J; Kang, YC; Kang, DJ; Han, MW</t>
  </si>
  <si>
    <t>Shim, Jeonghee; Kang, Young Chul; Kang, Dong-Jin; Han, Myung Woo</t>
  </si>
  <si>
    <t>Fluxes and budgets of biogenic elements at the sediment-water interface of Marian Cove, King George Island</t>
  </si>
  <si>
    <t>benthic flux; biogeochemical cycle; element (material) budget; particle flux; sediment oxygen consumption; South Shetland Islands</t>
  </si>
  <si>
    <t>ANTARCTIC COASTAL ENVIRONMENT; ORGANIC-CARBON BUDGET; BENTHIC METABOLISM; CONTINENTAL-SHELF; SULFATE REDUCTION; OXYGEN FLUXES; BAY; SEA; PENINSULA; NITROGEN</t>
  </si>
  <si>
    <t>Fluxes of dissolved oxygen and nutrients and vertical fluxes of particulate organic elements were investigated in the subtidal benthic environment of Marian Cove, King George Island, Antarctica, using in situ benthic chambers and near-bottom sediment traps. Fluxes of dissolved oxygen, ammonium, phosphate, and silicate were comparable to those measured in temperate regions. Sediment oxygen consumption was a good indicator of organic respiration and elemental efflux at the benthic boundary layer of Marian Cove, with good positive correlations with ammonia (r(2) = 0.67), phosphate (r(2) = 0.57), and the C:N:P ratio (106:11.5:1.15) in the chamber water. A positive relationship (r(2) = 0.58) between settling particulate organic carbon flux and chl a concentration suggests that water column biomass and production are direct sources of settling particles. According to element budgets in summer assessed using the fluxes, J(in) and the sum of J(out) and J(burial) were 15.9 +/- 8.1 and 22.6 +/- 8.2 mmol m(-2) d(-1) for carbon, 2.02 +/- 0.54 and 2.46 +/- 0.82 mmol m(-2) d(-1) for nitrogen, 0.07 +/- 0.03 and 0.23 +/- 0.08 mmol m(-2) d(-1) for phosphorus, and 12.4 +/- 2.7 and 13.5 +/- 5.0 mmol m(-2) d(-1) for silicon, respectively. There was a broad balance between sediment organic input and remineralized output for carbon and nitrogen at the benthic boundary layer of Marian Cove.</t>
  </si>
  <si>
    <t>[Kang, Young Chul] KORDI, Korea Polar Res Inst, Div Polar Biol &amp; Ocean Sci, Inchon 406840, South Korea; [Shim, Jeonghee] Natl Fisheries Res &amp; Dev Inst, Marine Environm Res Div, Pusan 619705, South Korea; [Kang, Dong-Jin] KORDI, Marine Instrument Serv, Seoul 425600, South Korea; [Kang, Dong-Jin] KORDI, Calibrat Dept, Seoul 425600, South Korea; [Han, Myung Woo] Columbus State Community Coll, Dept Biol &amp; Phys Sci, Columbus, OH 43215 USA</t>
  </si>
  <si>
    <t>Korea Institute of Ocean Science &amp; Technology (KIOST); Korea Polar Research Institute (KOPRI); Korea Institute of Ocean Science &amp; Technology (KIOST); Korea Institute of Ocean Science &amp; Technology (KIOST); Columbus State Community College</t>
  </si>
  <si>
    <t>Kang, YC (corresponding author), KORDI, Korea Polar Res Inst, Div Polar Biol &amp; Ocean Sci, Songdo Techno Pk,7-50 Songdo Dong, Inchon 406840, South Korea.</t>
  </si>
  <si>
    <t>yckangster@gmail.com</t>
  </si>
  <si>
    <t>Kang, Dong-Jin/E-7562-2013</t>
  </si>
  <si>
    <t>Shim, JeongHee/0000-0003-0699-9145</t>
  </si>
  <si>
    <t>KOPRI [PE09040, PP09040]; BK21 (SEES, Seoul National University); National Fisheries Research and Development Institute [RP 2010-ME-040]</t>
  </si>
  <si>
    <t>KOPRI(Korea Polar Research Institute of Marine Research Placement (KOPRI)); BK21 (SEES, Seoul National University)(Ministry of Education &amp; Human Resources Development (MOEHRD), Republic of Korea); National Fisheries Research and Development Institute</t>
  </si>
  <si>
    <t>The authors thank the 9th-12th Korean Antarctic over wintering team members for their encouragement and technical support. We are particularly grateful to the professional divers who collected the samples (Hyun-Soo Kim and Seong-Soo Han). We also thank three anonymous referees for their constructive comments on the manuscript. This work was supported by KOPRI projects (PE09040 and PP09040), and in part by BK21 (SEES, Seoul National University) and the National Fisheries Research and Development Institute (RP 2010-ME-040).</t>
  </si>
  <si>
    <t>10.1017/S0954102011000137</t>
  </si>
  <si>
    <t>WOS:000293337000007</t>
  </si>
  <si>
    <t>Hospitaleche, CA; Haidr, N</t>
  </si>
  <si>
    <t>Acosta Hospitaleche, Carolina; Haidr, Nadia</t>
  </si>
  <si>
    <t>Penguin cranial remains from the Eocene La Meseta Formation, Isla Marambio (Seymour Island), Antarctic Peninsula CAROLINA ACOSTA HOSPITALECHE and NADIA HAIDR</t>
  </si>
  <si>
    <t>fossil penguin; morphotypes; skulls; Spheniscidae</t>
  </si>
  <si>
    <t>FOSSIL PENGUIN; SPHENISCIFORMES; EVOLUTION; RECORD; AVES</t>
  </si>
  <si>
    <t>Widely accepted ideas about trophic preferences of early penguins suggest that all Eocene sphenisciforms were piscivorous. However, recent findings from the La Meseta Formation (Eocene) of Antarctica, support the presence of at least two different morphotypes that may have evolved as a niche partitioning strategy, which is consistent with the high diversity recorded. The first of them corresponds to a medium-large sized penguin, resembling the Neogene species in configuration. Another morphotype is represented by extremely large penguins with very long and slender bills, clearly linked to fish catching habits.</t>
  </si>
  <si>
    <t>[Acosta Hospitaleche, Carolina; Haidr, Nadia] Museo La Plata, Div Paleontol Vertebrados, RA-1900 La Plata, Argentina</t>
  </si>
  <si>
    <t>National University of La Plata; Museo La Plata</t>
  </si>
  <si>
    <t>Hospitaleche, CA (corresponding author), Museo La Plata, Div Paleontol Vertebrados, Paseo Bosque S-N, RA-1900 La Plata, Argentina.</t>
  </si>
  <si>
    <t>acostacaro@fcnym.unlp.edu.ar</t>
  </si>
  <si>
    <t>Acosta Hospitaleche, Carolina/E-5740-2017</t>
  </si>
  <si>
    <t>Acosta Hospitaleche, Carolina/0000-0002-2614-1448; Haidr, Nadia/0000-0002-6335-2105</t>
  </si>
  <si>
    <t>Agencia Nacional de Promocion Cientifica y Tecnologica; Consejo Nacional de Investigaciones Cientificas y Tecnicas</t>
  </si>
  <si>
    <t>Agencia Nacional de Promocion Cientifica y Tecnologica(ANPCyTSpanish Government); Consejo Nacional de Investigaciones Cientificas y Tecnicas(Consejo Nacional de Investigaciones Cientificas y Tecnicas (CONICET))</t>
  </si>
  <si>
    <t>We thank the Agencia Nacional de Promocion Cientifica y Tecnologica and the Consejo Nacional de Investigaciones Cientificas y Tecnicas for financial support. Materials were collected by Juan Jose Moly and Marcelo Reguero from Museo de La Plata. We would like to thank Dr Natalie Goodall who kindly lent us comparative material, Leonel Acosta who prepared the fossils, Dr Cecilia Morgan who improved the English grammar and Dr Marcelo Reguero for help. We also wish to thank the reviewers Dr Herculano Alvarenga and Dr Piotr Jadwiszczak, and the editor for useful suggestions.</t>
  </si>
  <si>
    <t>10.1017/S0954102011000216</t>
  </si>
  <si>
    <t>WOS:000293337000008</t>
  </si>
  <si>
    <t>Bomfleur, B; Serbet, R; Taylor, EL; Taylor, TN</t>
  </si>
  <si>
    <t>Bomfleur, Benjamin; Serbet, Rudolph; Taylor, Edith L.; Taylor, Thomas N.</t>
  </si>
  <si>
    <t>The possible pollen cone of the Late Triassic conifer Heidiphyllum/Telemachus (Voltziales) from Antarctica</t>
  </si>
  <si>
    <t>coniferophytes; Gondwana; in situ pollen; Switzianthus; systematic palaeobotany; Transantarctic Mountains</t>
  </si>
  <si>
    <t>SEED CONE; TELEMACHUS; MOUNTAINS; GEN.</t>
  </si>
  <si>
    <t>Fossil leaves of the Voltziales, an ancestral group of conifers, rank among the most common plant fossils in the Triassic of Gondwana. Even though the foliage taxon Heidiphyllum has been known for more than 150 years, our knowledge of the reproductive organs of these conifers still remains very incomplete. Seed cones assigned to Telemachus have become increasingly well understood in recent decades, but the pollen cones belonging to these Mesozoic conifers are rare. In this contribution we describe the first compression material of a voltzialean pollen cone from Upper Triassic strata of the Transantarctic Mountains. The cone can be assigned to Switzianthus Anderson &amp; Anderson, a genus that was previously assumed to belong to an enigmatic group of pteridosperms from the Triassic Molteno Formation of South Africa. The similarities of cuticle and pollen morphology, together with co-occurrence at all known localities, indicate that Switzianthus most probably represents the pollen organ of the ubiquitous Heidiphyllum/Telemachus plant.</t>
  </si>
  <si>
    <t>[Bomfleur, Benjamin] Univ Kansas, Div Paleobot, Dept Ecol &amp; Evolutionary Biol, Lawrence, KS 66045 USA; Univ Kansas, Nat Hist Museum, Lawrence, KS 66045 USA; Univ Kansas, Biodivers Inst, Lawrence, KS 66045 USA</t>
  </si>
  <si>
    <t>University of Kansas; University of Kansas; University of Kansas</t>
  </si>
  <si>
    <t>Bomfleur, B (corresponding author), Univ Kansas, Div Paleobot, Dept Ecol &amp; Evolutionary Biol, Lawrence, KS 66045 USA.</t>
  </si>
  <si>
    <t>bbomfleur@ku.edu</t>
  </si>
  <si>
    <t>Bomfleur, Benjamin/0000-0002-2186-4970</t>
  </si>
  <si>
    <t>Deutsche Forschungsgemeinschaft (DFG) [KE584/16-2]; National Science Foundation (NSF) [DPP 88-15976]</t>
  </si>
  <si>
    <t>Deutsche Forschungsgemeinschaft (DFG)(German Research Foundation (DFG)); National Science Foundation (NSF)(National Science Foundation (NSF))</t>
  </si>
  <si>
    <t>We wish to thank Ignacio Escapa (Trelew, Chubut, Argentina) and Hans Kerp (Munster, Germany) for valuable discussion, and gratefully acknowledge helpful comments and suggestions by Brian Axsmith (Mobile, AL, USA) and David Cantrill (Melbourne, Australia). Financial support has been provided by the Deutsche Forschungsgemeinschaft (DFG grant KE584/16-2) and in part by the National Science Foundation (NSF grant DPP 88-15976 to E.L.T. and T.N.T).</t>
  </si>
  <si>
    <t>10.1017/S0954102011000241</t>
  </si>
  <si>
    <t>WOS:000293337000009</t>
  </si>
  <si>
    <t>Vitale, V; Petkov, B; Goutail, F; Lanconelli, C; Lupi, A; Mazzola, M; Busetto, M; Pazmino, A; Schioppo, R; Genoni, L; Tomasi, C</t>
  </si>
  <si>
    <t>Vitale, Vito; Petkov, Boyan; Goutail, Florence; Lanconelli, Christian; Lupi, Angelo; Mazzola, Mauro; Busetto, Maurizio; Pazmino, Andrea; Schioppo, Riccardo; Genoni, Laura; Tomasi, Claudio</t>
  </si>
  <si>
    <t>Variations of UV irradiance at Antarctic station Concordia during the springs of 2008 and 2009</t>
  </si>
  <si>
    <t>ozone depletion; radiation amplification factor; solar UV irradiance; UV index; UV models</t>
  </si>
  <si>
    <t>GROUND-BASED MEASUREMENTS; TOTAL OZONE; RADIATION; ULTRAVIOLET; SENSITIVITY; DEPLETION; NETWORK; HOLE</t>
  </si>
  <si>
    <t>The features of solar UV irradiance measured at the Italian-French Antarctic Plateau station, Concordia, during the springs of 2008 and 2009 are presented and discussed. In order to study the impact of the large springtime variations in total ozone column on the fraction of ultraviolet B (UV-B) irradiance (from c. 290-315 nm) reaching the Earth surface, irradiance datasets corresponding to fixed solar zenith angles (SZAs = 65 degrees, 75 degrees and 85 degrees) are correlated to the daily ozone column provided by different instruments. For these SZAs the radiation amplification factor varied from 1.58-1.94 at 306 nm and from 0.68-0.88 at 314 nm. The ultraviolet index reached a maximum level of 8 in the summer, corresponding to the typical average summer value for mid latitude sites. The solar irradiance pertaining to the ultraviolet A (UV-A, 315-400 nm) spectral band was found to depend closely on variations of atmospheric transmittance characteristics as reported by previous studies. Model simulations of UV-B irradiance showed a good agreement with field measurements at 65 degrees and 75 degrees SZAs. For SZA = 85 degrees the ozone vertical distribution significantly impacted model estimations. Sensitivity analysis performed by hypothetically varying the ozone distribution revealed some features of the ozone profiles that occurred in the period studied here.</t>
  </si>
  <si>
    <t>[Vitale, Vito; Petkov, Boyan; Lanconelli, Christian; Lupi, Angelo; Mazzola, Mauro; Busetto, Maurizio; Tomasi, Claudio] CNR, ISAC, I-40129 Bologna, Italy; [Petkov, Boyan] Abdus Salaam Int Ctr Theoret Phys, TRIL Program, I-34014 Trieste, Italy; [Goutail, Florence; Pazmino, Andrea] CNRS, Serv Aeron, F-91370 Verrieres Le Buisson, France; [Schioppo, Riccardo] ENE FOTO, Italian Natl Agcy New Technol Energy &amp; Environm E, I-71043 Manfredonia, Italy; [Genoni, Laura] Univ Trieste, Dept Geol Environm &amp; Marine Sci, I-34127 Trieste, Italy</t>
  </si>
  <si>
    <t>Consiglio Nazionale delle Ricerche (CNR); Istituto di Scienze dell'Atmosfera e del Clima (ISAC-CNR); Abdus Salam International Centre for Theoretical Physics (ICTP); Centre National de la Recherche Scientifique (CNRS); Italian National Agency New Technical Energy &amp; Sustainable Economics Development; University of Trieste</t>
  </si>
  <si>
    <t>Vitale, V (corresponding author), CNR, ISAC, Via Gobetti 101, I-40129 Bologna, Italy.</t>
  </si>
  <si>
    <t>v.vitale@isac.cnr.it</t>
  </si>
  <si>
    <t>Lanconelli, Christian/Q-5848-2018; busetto, maurizio/Q-4118-2018; Mazzola, Mauro/K-9376-2016; vitale, vito/AAW-8441-2021</t>
  </si>
  <si>
    <t>Lanconelli, Christian/0000-0002-9545-1255; Mazzola, Mauro/0000-0002-8394-2292; vitale, vito/0000-0003-0978-8976; busetto, maurizio/0000-0003-1115-6564; lupi, angelo/0000-0002-5009-9876; Petkov, Boyan/0000-0002-8328-340X</t>
  </si>
  <si>
    <t>Progetto Nazionale di Ricerche in Antartide (PNRA)</t>
  </si>
  <si>
    <t>This research was supported by the Progetto Nazionale di Ricerche in Antartide (PNRA) and developed as a part of the subproject 2004/2.04 Implementation of the BSRN station at Dome Concordia. Authors are grateful to reviewers for helpful comments and stimulating suggestions leading to significant improvement of the paper.</t>
  </si>
  <si>
    <t>10.1017/S0954102011000228</t>
  </si>
  <si>
    <t>WOS:000293337000011</t>
  </si>
  <si>
    <t>Leonard, GH; Langhorne, PJ; Williams, MJM; Vennell, R; Purdie, CR; Dempsey, DE; Haskell, TG; Frew, RD</t>
  </si>
  <si>
    <t>Leonard, Gregory H.; Langhorne, Patricia J.; Williams, Michael J. M.; Vennell, Ross; Purdie, Craig R.; Dempsey, David E.; Haskell, Timothy G.; Frew, Russell D.</t>
  </si>
  <si>
    <t>Evolution of supercooling under coastal Antarctic sea ice during winter</t>
  </si>
  <si>
    <t>frazil ice; ice shelf; McMurdo Sound; oxygen isotope ratio; platelet ice</t>
  </si>
  <si>
    <t>MCMURDO-SOUND; PLATELET ICE; ROSS SEA; WATER; GROWTH; SHELF; CIRCULATION; COMMUNITIES; PATTERNS; ICEBERG</t>
  </si>
  <si>
    <t>Here we describe the evolution through winter of a layer of in situ supercooled water beneath the sea ice at a site close to the McMurdo Ice Shelf. From early winter (May), the temperature of the upper water column was below its surface freezing point, implying contact with an ice shelf at depth. By late winter the supercooled layer was c. 40 m deep with a maximum supercooling of c. 25 mK located 1-2 m below the sea ice-water interface. Transitory in situ supercooling events were also observed, one lasting c. 17 hours and reaching a depth of 70 m. In spite of these very low temperatures the isotopic composition of the water was relatively heavy, suggesting little glacial melt. Further, the water's temperature-salinity signature indicates contributions to water mass properties from High Salinity Shelf Water produced in areas of high sea ice production to the north of McMurdo Sound. Our measurements imply the existence of a heat sink beneath the supercooled layer that extracts heat from the ocean to thicken and cool this layer and contributes to the thickness of the sea ice cover. This sink is linked to the circulation pattern of the McMurdo Sound.</t>
  </si>
  <si>
    <t>[Leonard, Gregory H.; Langhorne, Patricia J.; Purdie, Craig R.; Dempsey, David E.] Univ Otago, Dept Phys, Dunedin, New Zealand; [Williams, Michael J. M.] Natl Inst Water &amp; Atmospher Res, Wellington, New Zealand; [Vennell, Ross] Univ Otago, Dept Marine Sci, Dunedin, New Zealand; [Haskell, Timothy G.] Ind Res Ltd, Lower Hutt, New Zealand; [Frew, Russell D.] Univ Otago, Dept Chem, Dunedin, New Zealand; [Leonard, Gregory H.] Univ Otago, Sch Surveying, Dunedin, New Zealand; [Dempsey, David E.] Univ Auckland, Dept Engn Sci, Auckland, New Zealand</t>
  </si>
  <si>
    <t>University of Otago; National Institute of Water &amp; Atmospheric Research (NIWA) - New Zealand; University of Otago; Callaghan Innovation; University of Otago; University of Otago; University of Auckland</t>
  </si>
  <si>
    <t>Leonard, GH (corresponding author), Univ Otago, Dept Phys, POB 56, Dunedin, New Zealand.</t>
  </si>
  <si>
    <t>greg.leonard@surveying.otago.ac.nz</t>
  </si>
  <si>
    <t>Williams, Michael/H-9674-2014; Frew, Russell/HDN-6138-2022; Frew, Russell/I-5591-2012; Vennell, Ross/A-7425-2010; Langhorne, Pat/C-3539-2018; Dempsey, David/B-9115-2015; Leonard, Greg/F-7157-2010</t>
  </si>
  <si>
    <t>Frew, Russell/0000-0002-6138-2116; Vennell, Ross/0000-0001-6961-9977; Langhorne, Pat/0000-0003-0239-7657; Dempsey, David/0000-0003-2135-5129; Leonard, Greg/0000-0001-7679-9486</t>
  </si>
  <si>
    <t>Marsden Fund of New Zealand; Foundation for Research Science and Technology; University of Otago; New Zealand National Institute of Water and Atmospheric Research and Industrial Research Ltd.</t>
  </si>
  <si>
    <t>Marsden Fund of New Zealand(Royal Society of New ZealandMarsden Fund (NZ)); Foundation for Research Science and Technology(New Zealand Foundation for Research, Science and Technology); University of Otago; New Zealand National Institute of Water and Atmospheric Research and Industrial Research Ltd.</t>
  </si>
  <si>
    <t>This study was funded by the Marsden Fund of New Zealand, the Foundation for Research Science and Technology, the University of Otago, the New Zealand National Institute of Water and Atmospheric Research and Industrial Research Ltd. The authors would like to thank Johno Leitch for field support, the Scott Base 2003 winter-over crew, Antarctica New Zealand and the U. S. Antarctic Program for logistical assistance, the technicians of the Department of Physics at the University of Otago for instrument construction, and Nicole Albrecht, Craig Stevens, Natalie Robinson, Inga Smith and Andy Mahoney for valuable discussions, and two anonymous reviewers for their insightful comments and suggestions for improving the manuscript.</t>
  </si>
  <si>
    <t>10.1017/S0954102011000265</t>
  </si>
  <si>
    <t>WOS:000293337000012</t>
  </si>
  <si>
    <t>Talarico, FM; Pace, D; Sandroni, S</t>
  </si>
  <si>
    <t>Talarico, Franco M.; Pace, Donato; Sandroni, Sonia</t>
  </si>
  <si>
    <t>Amphibole-bearing metamorphic clasts in ANDRILL AND-2A core: A provenance tool to unravel the Miocene glacial history in the Ross Embayment (western Ross Sea, Antarctica)</t>
  </si>
  <si>
    <t>GEOSPHERE</t>
  </si>
  <si>
    <t>SOUTH-VICTORIA-LAND; MCMURDO SOUND; KOETTLITZ GROUP; LATE OLIGOCENE; CA-AMPHIBOLE; NEW-JERSEY; AREA; EVOLUTION; PRESSURE; RECORD</t>
  </si>
  <si>
    <t>A petrological investigation of amphibole-bearing metamorphic clasts in the ANDRILL AND-2A core allows a detailed comparison with similar lithologies from potential source regions, leading to the identification of three distinct provenance areas in the present-day segment of the Transantarctic Mountains between the Byrd Glacier and the Blue Glacier (Mulock-Skelton glacier area, the Britannia Range, and the Koettlitz-Blue glacier area in the Royal Society Range). A key role in the comparison is played by the wide range of Ca-amphibole compositions, type of intracrystalline zoning, mineral assemblages, and fabrics, which reflect different bulk rocks and metamorphic conditions. Ca-amphibole compositions and zonations also offer the opportunity for the application of geother-mobarometry methods, which, consistent with literature data, provide further evidence that the three provenance regions correspond to distinct metamorphic terrains with pervasive medium-pressure amphibolitegrade conditions restricted to the Britannia Range. The study contributes new insights into the depositional processes in a variety of glacial environments ranging from open marine with icebergs to distal, proximal, and subglacial settings. The results also highlight the record of two distinct glacial scenarios reflecting either short-range (&lt; 100 km) fluctuations of paleoglaciers in the Royal Society Range with dominant flows from W to E, or larger volume of ice sourced from southern-more outlet glaciers from the Skelton-Byrd glacier area with flow lines running N-S close to the Transantarctic Mountains front. Both scenarios demonstrate the importance of the AND-2A core to reveal a hitherto unavailable, near-field record of dynamic paleoenvironmental history through the Miocene.</t>
  </si>
  <si>
    <t>[Talarico, Franco M.; Pace, Donato] Univ Siena, Dipartimento Sci Terra, I-53100 Siena, Italy; [Sandroni, Sonia] Univ Siena, Museo Nazl Antartide, I-53100 Siena, Italy</t>
  </si>
  <si>
    <t>University of Siena; University of Siena</t>
  </si>
  <si>
    <t>Talarico, FM (corresponding author), Univ Siena, Dipartimento Sci Terra, Via Laterina 8, I-53100 Siena, Italy.</t>
  </si>
  <si>
    <t>Sandroni, Sonia/C-7188-2008; talarico, franco/G-9472-2012</t>
  </si>
  <si>
    <t>Sandroni, Sonia/0000-0002-7941-7145; talarico, franco/0000-0002-7254-4301</t>
  </si>
  <si>
    <t>Antarctica New Zealand; Raytheon Polar Services Corporation; U.S. National Science Foundation (NSF); New Zealand Foundation for Research, Science and Technology (FRST); Italian Antarctic Research Program (PNRA); German Research Foundation (DFG); Alfred Wegener Institute for Polar and Marine Research (AWI); Italian Programma Nazionale di Ricerche in Antartide (PNRA)</t>
  </si>
  <si>
    <t>Antarctica New Zealand; Raytheon Polar Services Corporation; U.S. National Science Foundation (NSF)(National Science Foundation (NSF)); New Zealand Foundation for Research, Science and Technology (FRST)(New Zealand Foundation for Research, Science and Technology); Italian Antarctic Research Program (PNRA); German Research Foundation (DFG)(German Research Foundation (DFG)); Alfred Wegener Institute for Polar and Marine Research (AWI); Italian Programma Nazionale di Ricerche in Antartide (PNRA)</t>
  </si>
  <si>
    <t>The ANDRILL Program is a multinational collaboration between the Antarctic programs of Germany, Italy, New Zealand, and the United States. Antarctica New Zealand is the project operator and developed the drilling system in collaboration with Alex Pyne at Victoria University of Wellington and Webster Drilling and Exploration Ltd. Antarctica New Zealand supported the drilling team at Scott Base; Raytheon Polar Services Corporation supported the science team at McMurdo Station and the Crary Science and Engineering Laboratory. The ANDRILL Science Management Office at the University of Nebraska-Lincoln provided science planning and operational support. Scientific studies are jointly supported by the U.S. National Science Foundation (NSF), New Zealand Foundation for Research, Science and Technology (FRST), the Italian Antarctic Research Program (PNRA), the German Research Foundation (DFG), and the Alfred Wegener Institute for Polar and Marine Research (AWI). This study was supported with the financial support of the Italian Programma Nazionale di Ricerche in Antartide (PNRA) and PRIN 2008 (F.M. Talarico) grants. The very helpful reviews by R. Carosi and B. Storey are gratefully acknowledged.</t>
  </si>
  <si>
    <t>GEOLOGICAL SOC AMER, INC</t>
  </si>
  <si>
    <t>PO BOX 9140, BOULDER, CO 80301-9140 USA</t>
  </si>
  <si>
    <t>1553-040X</t>
  </si>
  <si>
    <t>Geosphere</t>
  </si>
  <si>
    <t>10.1130/GES00653.1</t>
  </si>
  <si>
    <t>800SL</t>
  </si>
  <si>
    <t>WOS:000293387100006</t>
  </si>
  <si>
    <t>Maskey, S; Geng, H; Song, YC; Hwang, H; Yoon, YJ; Ahn, KH; Ro, CU</t>
  </si>
  <si>
    <t>Maskey, Shila; Geng, Hong; Song, Young-Chul; Hwang, HeeJin; Yoon, Young-Jun; Ahn, Kang-Ho; Ro, Chul-Un</t>
  </si>
  <si>
    <t>Single-Particle Characterization of Summertime Antarctic Aerosols Collected at King George Island Using Quantitative Energy-Dispersive Electron Probe X-ray Microanalysis and Attenuated Total Reflection Fourier Transform-Infrared Imaging Techniques</t>
  </si>
  <si>
    <t>ENVIRONMENTAL SCIENCE &amp; TECHNOLOGY</t>
  </si>
  <si>
    <t>SEA-SALT PARTICLES; INDIVIDUAL PARTICLES; CHEMICAL SPECIATION; PHYTOPLANKTON BLOOM; IRON FERTILIZATION; SOUTHERN-OCEAN; COASTAL; REGIONS; KOREA; METHANESULFONATE</t>
  </si>
  <si>
    <t>Single-particle characterization of Antarctic aerosols was performed to investigate the impact of marine biogenic sulfur species on the chemical compositions of sea-salt aerosols in the polar atmosphere. Quantitative energy-dispersive electron probe X-ray microanalysis was used to characterize 2900 individual particles in 10 sets of aerosol samples collected between March 12 and 16, 2009 at King Sejong Station, a Korean scientific research station located at King George Island in the Antarctic. Two size modes of particles, i.e., PM(2.5-10) and PM(1.0-2.5), were analyzed, and four types of particles were identified, with sulfur-containing sea-salt particles being the most abundant, followed by genuine,sea-salt particles without sulfur species, iron-containing particles, and other species including CaCO(3)/CaMg(CO(3))(2), organic carbon, and alumino-silicates. When a sulfur-containing sea-salt particle showed an atomic concentration ratio of sulfur to sodium of &gt;0.083 (seawater ratio), it is regarded as containing nonsea-salt sulfate (nss-SO(4)(2-)) and/or methanesulfonate (CH(3)SO(3)(-)), which was supported by attenuated total reflection Fourier transform-infrared imaging measurements. These internal mixture particles of sea-salt/CH(3)SO(3)(-)/SO(4)(2-) were very frequently encountered. As nitrate-containing particles were not encountered, and the air-masses for all of the samples originated from the Pacific Ocean (based on 5-day backward trajectories), the oxidation of dimethylsulfide (DMS) emitted from phytoplanktons in the ocean is most likely to be responsible for the formation of the mixed sea-salt/CH(3)SO(3)(-)/SO(4)(2-) particles.</t>
  </si>
  <si>
    <t>[Maskey, Shila; Song, Young-Chul; Ro, Chul-Un] Inha Univ, Dept Chem, Inchon 402751, South Korea; [Geng, Hong] Shanxi Univ, Res Ctr Environm Sci &amp; Engn, Taiyuan 030006, Peoples R China; [Hwang, HeeJin; Yoon, Young-Jun] Korea Polar Res Inst, Inchon 406840, South Korea; [Ahn, Kang-Ho] Hanyang Univ, Dept Mech Engn, Ansan 425791, South Korea</t>
  </si>
  <si>
    <t>Inha University; Shanxi University; Korea Polar Research Institute (KOPRI); Korea Institute of Ocean Science &amp; Technology (KIOST); Hanyang University</t>
  </si>
  <si>
    <t>Ro, CU (corresponding author), Inha Univ, Dept Chem, Inchon 402751, South Korea.</t>
  </si>
  <si>
    <t>curo@inha.ac.kr</t>
  </si>
  <si>
    <t>Ro, Chul-Un/R-3410-2019</t>
  </si>
  <si>
    <t>Ro, Chul-Un/0000-0001-9357-1854</t>
  </si>
  <si>
    <t>Ministry of Education, Science and Technology [2010-0018881]; Korea Polar Research Institute [PE11010]</t>
  </si>
  <si>
    <t>Ministry of Education, Science and Technology(Ministry of Education, Science &amp; Technology (MEST), Republic of Korea); Korea Polar Research Institute(Korea Polar Research Institute of Marine Research Placement (KOPRI))</t>
  </si>
  <si>
    <t>This research was supported by Basic Science Research Program through the National Research Foundation of Korea (NRF) funded by the Ministry of Education, Science and Technology (2010-0018881) and by the funds of the SAM Project (PE11010 of Korea Polar Research Institute).</t>
  </si>
  <si>
    <t>0013-936X</t>
  </si>
  <si>
    <t>ENVIRON SCI TECHNOL</t>
  </si>
  <si>
    <t>Environ. Sci. Technol.</t>
  </si>
  <si>
    <t>AUG 1</t>
  </si>
  <si>
    <t>10.1021/es200936m</t>
  </si>
  <si>
    <t>Engineering, Environmental; Environmental Sciences</t>
  </si>
  <si>
    <t>Engineering; Environmental Sciences &amp; Ecology</t>
  </si>
  <si>
    <t>798IK</t>
  </si>
  <si>
    <t>WOS:000293196400014</t>
  </si>
  <si>
    <t>Teterin, DE</t>
  </si>
  <si>
    <t>Teterin, D. E.</t>
  </si>
  <si>
    <t>Postmiocene geodynamic evolution of the drake passage, Western Antarctic Region, southern ocean</t>
  </si>
  <si>
    <t>IZVESTIYA-PHYSICS OF THE SOLID EARTH</t>
  </si>
  <si>
    <t>BRANSFIELD STRAIT; SCOTIA RIDGE; PLATE BOUNDARY; TECTONICS; INTERSECTION; TRANSITION; ISLANDS; DENSITY; MARGIN; ZONE</t>
  </si>
  <si>
    <t>In 1994-2006, the German research vessel, Polarstern, and the Russian research vessel, Akademik Boris Petrov, carried out marine geologic and geophysical explorations in the Western Antarctic Region within the Bellingshausen, Amundsen, and Scotia marginal Seas and the Drake Passage. In these expeditions, new unique data on submarine topography have been collected by a multibeam echosounder, gravity and magnetic measurements have been carried out, multichannel seismic profiling has been performed, and the collections of rock samples have been acquired. The analysis and interpretation of new evidence together with previous geologic and geophysical data for the Drake Passage region have shown that end of spreading in the Aluk Ridge three million years ago resulted in the redistribution of stresses associated with the relative motion of the Antarctic, Scotia, and Phoenix Plates, which, in turn, caused significant tectonic reconstruction of the entire transition zone of the Drake Passage.</t>
  </si>
  <si>
    <t>Russian Acad Sci, Vernadsky Inst Geochem &amp; Analyt Chem, Moscow 119991, Russia</t>
  </si>
  <si>
    <t>Russian Academy of Sciences; Vernadsky Institute of Geochemistry &amp; Analytical Chemistry</t>
  </si>
  <si>
    <t>Teterin, DE (corresponding author), Russian Acad Sci, Vernadsky Inst Geochem &amp; Analyt Chem, Ul Kosygina 19, Moscow 119991, Russia.</t>
  </si>
  <si>
    <t>Russian Foundation for Basic Research [09-05-00256]</t>
  </si>
  <si>
    <t>Russian Foundation for Basic Research(Russian Foundation for Basic Research (RFBR)Spanish Government)</t>
  </si>
  <si>
    <t>We thank Dr. Hans Schenke and Dr. Karsten Gol, the heads of expeditions on the research vessel Polarstern, from the Alfred Wegener Institute for Polar and Marine Research, Germany, for providing the materials of these expeditions. The work was supported by the Russian Foundation for Basic Research (project no. 09-05-00256).</t>
  </si>
  <si>
    <t>1069-3513</t>
  </si>
  <si>
    <t>1555-6506</t>
  </si>
  <si>
    <t>IZV-PHYS SOLID EART+</t>
  </si>
  <si>
    <t>Izv.-Phys. Solid Earth</t>
  </si>
  <si>
    <t>10.1134/S106935131107010X</t>
  </si>
  <si>
    <t>798FQ</t>
  </si>
  <si>
    <t>WOS:000293188400001</t>
  </si>
  <si>
    <t>Semmens, J; Doubleday, Z; Hoyle, K; Pecl, G</t>
  </si>
  <si>
    <t>Semmens, Jayson; Doubleday, Zoe; Hoyle, Kate; Pecl, Gretta</t>
  </si>
  <si>
    <t>A multilevel approach to examining cephalopod growth using Octopus pallidus as a model</t>
  </si>
  <si>
    <t>JOURNAL OF EXPERIMENTAL BIOLOGY</t>
  </si>
  <si>
    <t>growth; muscle fibre dynamics; repro-somatic investment; seasonal temperature regime; cephalopod; octopus</t>
  </si>
  <si>
    <t>SQUID PHOTOLOLIGO SP; REPRODUCTIVE STATUS; LABORATORY GROWTH; SOMATIC GROWTH; MUSCLE-TISSUE; LIFE-HISTORY; FISH GROWTH; TEMPERATURE; AGE; SIZE</t>
  </si>
  <si>
    <t>Many aspects of octopus growth dynamics are poorly understood, particularly in relation to sub-adult or adult growth, muscle fibre dynamics and repro-somatic investment. The growth of 5. month old Octopus pallidus cultured in the laboratory was investigated under three temperature regimes over a 12. week period: seasonally increasing temperatures (14-18 degrees C); seasonally decreasing temperatures (18-14 degrees C); and a constant temperature mid-way between seasonal peaks (16 degrees C). Differences in somatic growth at the whole-animal level, muscle tissue structure and rate of gonad development were investigated. Continuous exponential growth was observed, both at a group and at an individual level, and there was no detectable effect of temperature on whole-animal growth rate. Juvenile growth rate (from 1 to 156. days) was also monitored prior to the controlled experiment; exponential growth was observed, but at a significantly faster rate than in the older experimental animals, suggesting that O. pallidus exhibit a double-exponential two-phase growth pattern. There was considerable variability in size-at-age even between individuals growing under identical thermal regimes. Animals exposed to seasonally decreasing temperatures exhibited a higher rate of gonad development compared with animals exposed to increasing temperatures; however, this did not coincide with a detectable decline in somatic growth rate or mantle condition. The ongoing production of new mitochondria-poor and mitochondria-rich muscle fibres (hyperplasia) was observed, indicated by a decreased or stable mean muscle fibre diameter concurrent with an increase in whole-body size. Animals from both seasonal temperature regimes demonstrated higher rates of new mitochondria-rich fibre generation relative to those from the constant temperature regime, but this difference was not reflected in a difference in growth rate at the whole-body level. This is the first study to record ongoing hyperplasia in the muscle tissue of an octopus species, and provides further insight into the complex growth dynamics of octopus.</t>
  </si>
  <si>
    <t>[Semmens, Jayson; Doubleday, Zoe; Pecl, Gretta] Univ Tasmania, Inst Marine &amp; Antarctic Studies, Fisheries Aquaculture &amp; Coasts Ctr, Hobart, Tas 7001, Australia; [Hoyle, Kate] Univ Tasmania, Sch Zool, Hobart, Tas 7001, Australia</t>
  </si>
  <si>
    <t>University of Tasmania; University of Tasmania</t>
  </si>
  <si>
    <t>Semmens, J (corresponding author), Univ Tasmania, Inst Marine &amp; Antarctic Studies, Fisheries Aquaculture &amp; Coasts Ctr, Private Bag 49, Hobart, Tas 7001, Australia.</t>
  </si>
  <si>
    <t>jayson.semmens@utas.edu.au</t>
  </si>
  <si>
    <t>Doubleday, Zoe/N-9955-2013; Pecl, Gretta/D-7267-2011; Doubleday, Zoe/AAU-6278-2020; Doubleday, Zoe/N-9955-2013</t>
  </si>
  <si>
    <t>Doubleday, Zoe/0000-0003-0045-6377; Pecl, Gretta/0000-0003-0192-4339; Doubleday, Zoe/0000-0002-6850-3507; Semmens, Jayson/0000-0003-1742-6692</t>
  </si>
  <si>
    <t>Australian Research Council [C00107233]</t>
  </si>
  <si>
    <t>We would like to thank several staff members from IMAS, UTAS; in particular: J. Harrington for help with the initial construction and set-up of the aquaculture system; S. Battaglene for providing access to the aquaculture facilities; A. Beech for technical advice and assistance; S. Tracey for assistance with image analysis; and K. Hartmann, M. Haddon and C. Johnson for statistical advice. Funding for this study came from an Australian Research Council Linkage Grant awarded to J.S. (C00107233).</t>
  </si>
  <si>
    <t>COMPANY OF BIOLOGISTS LTD</t>
  </si>
  <si>
    <t>CAMBRIDGE</t>
  </si>
  <si>
    <t>BIDDER BUILDING CAMBRIDGE COMMERCIAL PARK COWLEY RD, CAMBRIDGE CB4 4DL, CAMBS, ENGLAND</t>
  </si>
  <si>
    <t>0022-0949</t>
  </si>
  <si>
    <t>J EXP BIOL</t>
  </si>
  <si>
    <t>J. Exp. Biol.</t>
  </si>
  <si>
    <t>10.1242/jeb.051631</t>
  </si>
  <si>
    <t>Biology</t>
  </si>
  <si>
    <t>Life Sciences &amp; Biomedicine - Other Topics</t>
  </si>
  <si>
    <t>797YW</t>
  </si>
  <si>
    <t>WOS:000293167300025</t>
  </si>
  <si>
    <t>Obertegger, U; Camin, F; Guella, G; Flaim, G</t>
  </si>
  <si>
    <t>Obertegger, Ulrike; Camin, Federica; Guella, Graziano; Flaim, Giovanna</t>
  </si>
  <si>
    <t>ADAPTATION OF A PSYCHROPHILIC FRESHWATER DINOFLAGELLATE TO ULTRAVIOLET RADIATION</t>
  </si>
  <si>
    <t>JOURNAL OF PHYCOLOGY</t>
  </si>
  <si>
    <t>catalase; diatoxanthin; galactolipids; psychrophiles; stable isotopes; UVR</t>
  </si>
  <si>
    <t>UV-B RADIATION; DIGALACTOSYLDIACYLGLYCEROL COMPOSITION; ANTARCTIC PHYTOPLANKTON; N-15-NITRATE UPTAKE; LAKE TOVEL; NITROGEN; ACCLIMATION; IRRADIANCE; PERIDININ; ALGAE</t>
  </si>
  <si>
    <t>Little is known about the UV photobiology of psychrophilic dinoflagellates, particularly in freshwater systems. We addressed the life strategies of Borghiella dodgei Moestrup, Gert. Hansen et Daugbjerg to cope with ambient levels of ultraviolet radiation (UVR) under cold conditions. Several physiological parameters related to growth, metabolism, and UVR protection were determined for 4 d in UVR-exposed and control cells by applying stable isotope analysis, spectrophotometry, and liquid chromatography-mass spectrometry (LC/MS). In UVR-exposed cells, assimilation of N-15 and C-13 and content of chl a and carotenoids, specifically diatoxanthin with respect to dinoxanthin and diadinoxanthin, were increased; furthermore, catalase activity showed a cyclic pattern with a strong increase after UVR exposure but a rapid return to preexposure levels. Both in UVR-exposed and control cells, no lipid peroxidation of galactolipids was observed. However, in UVR-exposed cells, content of galactolipids was higher and linked to an increase in monogalactosyldiacylglycerols (MGDGs). We concluded that Borghiella's adaptation to UVR depended on a general metabolic enhancement and efficient scavenging of oxygen radicals to mitigate and counteract damage. While Borghiella seemed to be well adapted to ambient UVR, the interactive effects of higher temperature and UVR on psychrophilic species in front of climate change merit further investigation.</t>
  </si>
  <si>
    <t>[Obertegger, Ulrike; Camin, Federica; Flaim, Giovanna] Fdn Edmund Mach, IASMA Res &amp; Innovat Ctr, I-38010 San Michele All Adige, Trentino, Italy; [Guella, Graziano] Univ Trento, Dept Phys, Bioorgan Chem Lab, I-38123 Povo, Trentino, Italy</t>
  </si>
  <si>
    <t>Fondazione Edmund Mach; University of Trento</t>
  </si>
  <si>
    <t>Obertegger, U (corresponding author), Fdn Edmund Mach, IASMA Res &amp; Innovat Ctr, Via E Mach 2, I-38010 San Michele All Adige, Trentino, Italy.</t>
  </si>
  <si>
    <t>ulrike.obertegger@iasma.it</t>
  </si>
  <si>
    <t>Flaim, Giovanna/G-8457-2011; Graziano, Guella/A-6283-2010; flaim, givoanna/C-7622-2016; Flaim, Giovanna/AAD-5013-2020; Camin, Federica/C-3765-2008; Obertegger, Ulrike/A-8254-2010</t>
  </si>
  <si>
    <t>Graziano, Guella/0000-0002-1799-0819; flaim, givoanna/0000-0002-1753-5605; Flaim, Giovanna/0000-0002-1753-5605; Obertegger, Ulrike/0000-0002-4057-9366; Camin, Federica/0000-0003-0509-6745</t>
  </si>
  <si>
    <t>CERCA (Province of Trento, Italy); FEM-IASMA; UNITN-Department of Physics</t>
  </si>
  <si>
    <t>U. O. is supported by postdoc grant CERCA (Province of Trento, Italy). This work was carried out within the research activity funded by FEM-IASMA (EF project and Stable Isotope Platform) and UNITN-Department of Physics. We thank Lorena Ress, Adriano Sterni, Cristian Strim, and Luca Ziller for technical assistance.</t>
  </si>
  <si>
    <t>0022-3646</t>
  </si>
  <si>
    <t>1529-8817</t>
  </si>
  <si>
    <t>J PHYCOL</t>
  </si>
  <si>
    <t>J. Phycol.</t>
  </si>
  <si>
    <t>10.1111/j.1529-8817.2011.01025.x</t>
  </si>
  <si>
    <t>Plant Sciences; Marine &amp; Freshwater Biology</t>
  </si>
  <si>
    <t>797BA</t>
  </si>
  <si>
    <t>WOS:000293096000011</t>
  </si>
  <si>
    <t>Malinka, AV</t>
  </si>
  <si>
    <t>Malinka, Aleksey V.</t>
  </si>
  <si>
    <t>Fraunhofer diffraction by a random screen</t>
  </si>
  <si>
    <t>JOURNAL OF THE OPTICAL SOCIETY OF AMERICA A-OPTICS IMAGE SCIENCE AND VISION</t>
  </si>
  <si>
    <t>RADIATIVE-TRANSFER; MODEL</t>
  </si>
  <si>
    <t>The stochastic approach is applied to the problem of Fraunhofer diffraction by a random screen. The diffraction pattern is expressed through the random chord distribution. Two cases are considered: the sparse ensemble, where the interference between different obstacles can be neglected, and the densely packed ensemble, where this interference is to be taken into account. The solution is found for the general case and the analytical formulas are obtained for the Switzer model of a random screen, i.e., for the case of Markov statistics. (C) 2011 Optical Society of America</t>
  </si>
  <si>
    <t>Natl Acad Sci Belarus, BI Stepanov Phys Inst, Minsk 220072, BELARUS</t>
  </si>
  <si>
    <t>National Academy of Sciences of Belarus (NASB); B.I. Stepanov Institute of Physics of the National Academy of Sciences of Belarus</t>
  </si>
  <si>
    <t>Malinka, AV (corresponding author), Natl Acad Sci Belarus, BI Stepanov Phys Inst, Pr Nezavisimosti 68, Minsk 220072, BELARUS.</t>
  </si>
  <si>
    <t>mal@light.basnet.by</t>
  </si>
  <si>
    <t>Malinka, Aleksey/AAW-3377-2021</t>
  </si>
  <si>
    <t>Malinka, Aleksey/0000-0002-0651-5115</t>
  </si>
  <si>
    <t>European Union (EU) [262922]</t>
  </si>
  <si>
    <t>European Union (EU)(European Union (EU)CGIAR)</t>
  </si>
  <si>
    <t>The author is grateful to Dr. Eleonora Zege for a valuable discussion. The work was implemented under support of Sea Ice Downstream Services for Arctic and Antarctic Users and Stakeholders (SIDARUS), grant 262922 in the seventh Framework Programme for Research and Development, financed by the European Union (EU).</t>
  </si>
  <si>
    <t>OPTICAL SOC AMER</t>
  </si>
  <si>
    <t>2010 MASSACHUSETTS AVE NW, WASHINGTON, DC 20036 USA</t>
  </si>
  <si>
    <t>1084-7529</t>
  </si>
  <si>
    <t>1520-8532</t>
  </si>
  <si>
    <t>J OPT SOC AM A</t>
  </si>
  <si>
    <t>J. Opt. Soc. Am. A-Opt. Image Sci. Vis.</t>
  </si>
  <si>
    <t>10.1364/JOSAA.28.001656</t>
  </si>
  <si>
    <t>Optics</t>
  </si>
  <si>
    <t>800AJ</t>
  </si>
  <si>
    <t>WOS:000293328600014</t>
  </si>
  <si>
    <t>Ninnes, CE; Waas, JR; Ling, N; Nakagawa, S; Banks, JC; Bell, DG; Bright, A; Carey, PW; Chandler, J; Hudson, QJ; Ingram, JR; Lyall, K; Morgan, DKJ; Stevens, MI; Wallace, J; Möstl, E</t>
  </si>
  <si>
    <t>Ninnes, C. E.; Waas, J. R.; Ling, N.; Nakagawa, S.; Banks, J. C.; Bell, D. G.; Bright, A.; Carey, P. W.; Chandler, J.; Hudson, Q. J.; Ingram, J. R.; Lyall, K.; Morgan, D. K. J.; Stevens, M. I.; Wallace, J.; Moestl, E.</t>
  </si>
  <si>
    <t>Environmental influences on Adelie penguin breeding schedules, endocrinology, and chick survival</t>
  </si>
  <si>
    <t>GENERAL AND COMPARATIVE ENDOCRINOLOGY</t>
  </si>
  <si>
    <t>Adelie penguin; Breeding schedules; Corticosterone; Testosterone; Oestrogens; Sea ice</t>
  </si>
  <si>
    <t>PYGOSCELIS-ADELIAE; SEA-ICE; REPRODUCTIVE SUCCESS; GONADAL-STEROIDS; PLASMA-LEVELS; COLONY SIZE; CORTICOSTERONE; ANTARCTICA; PROLACTIN; SYNCHRONY</t>
  </si>
  <si>
    <t>To understand how the social and physical environment influences behaviour, reproduction and survival. studies of underlying hormonal processes are crucial; in particular, interactions between stress and reproductive responses may have critical influences on breeding schedules. Several authors have examined the timing of breeding in relation to environmental stimuli, while others have independently described endocrine profiles. However, few studies have simultaneously measured endocrine profiles, breeding behaviour, and offspring survival across seasons. We measured sex and stress hormone concentrations (oestrogens, testosterone, and corticosterone), timing of breeding, and chick survival, in Adelie penguins (Pygoscelis adeliae) at two colonies in two different years. Clutch initiation at Cape Bird South (CBS; year 1, similar to 14,000 pairs) occurred later than at Cape Crozier East (CCE: year 2, similar to 25,000 pairs); however, breeding was more synchronous at CBS. This pattern was probably generated by the persistence of extensive sea ice at CBS (year 1). Higher corticosterone metabolite and lower sex hormone concentrations at CBS correlated with later breeding and lower chick survival compared to at CCE - again, a likely consequence of sea ice conditions. Within colonies, sub-colony size (S, 50-100; M. 200-300; L. 500-600; XL, &gt;1000 pairs) did not influence the onset or synchrony of breeding, chick survival, or hormone concentrations. We showed that the endocrine profiles of breeding Adelie penguins can differ markedly between years and/or colonies, and that combining measures of endocrinology, behaviour, and offspring survival can reveal the mechanisms and consequences that different environmental conditions can have on breeding ecology. (C) 2011 Elsevier Inc. All rights reserved.</t>
  </si>
  <si>
    <t>[Ninnes, C. E.; Waas, J. R.; Ling, N.; Nakagawa, S.; Banks, J. C.; Bell, D. G.; Bright, A.; Chandler, J.; Hudson, Q. J.; Ingram, J. R.; Lyall, K.; Morgan, D. K. J.; Wallace, J.] Univ Waikato, Dept Biol Sci, Private Bag 3105, Hamilton 3240, New Zealand; [Nakagawa, S.] Univ Otago, Dept Zool, Dunedin, New Zealand; [Carey, P. W.] Sub Antarctic Fdn Ecosyst Res, Christchurch 8061, New Zealand; [Stevens, M. I.] S Australian Museum, Adelaide, SA 5000, Australia; [Stevens, M. I.] Univ Adelaide, Sch Earth &amp; Environm Sci, Adelaide, SA 5005, Australia; [Moestl, E.] Univ Vet Med, Inst Biochem, Dept Nat Sci, A-1210 Vienna, Austria</t>
  </si>
  <si>
    <t>University of Waikato; University of Otago; University of Adelaide; University of Veterinary Medicine Vienna</t>
  </si>
  <si>
    <t>Ninnes, CE (corresponding author), Univ Waikato, Dept Biol Sci, Private Bag 3105, Hamilton 3240, New Zealand.</t>
  </si>
  <si>
    <t>calum.ninnes@gmail.com</t>
  </si>
  <si>
    <t>Banks, Jonathan C/B-9767-2008; Nakagawa, Shinichi/B-5571-2011; Ninnes, Calum/J-6448-2016; Ling, Nicholas/Q-4179-2017; Hudson, Quanah/I-9837-2014; Ingram, John/U-1225-2017</t>
  </si>
  <si>
    <t>Nakagawa, Shinichi/0000-0002-7765-5182; Ninnes, Calum/0000-0002-3733-9337; Banks, Jonathan/0000-0001-9174-2779; Ling, Nicholas/0000-0002-0853-7035; Hudson, Quanah/0000-0002-3407-4388; Ingram, John/0000-0002-2767-4633</t>
  </si>
  <si>
    <t>Education New Zealand; Perry Foundation; University of Waikato</t>
  </si>
  <si>
    <t>We thank those individuals within Antarctica New Zealand who supported our event, especially staff at Scott Base and field support staff. Thanks to the staff at the Institute for Biochemistry, University of Veterinary Medicine, Vienna, who helped conduct the EIAs. Thanks to Bruce Patty for technical support. We also thank Education New Zealand, The Perry Foundation, and the University of Waikato for financial assistance. Special thanks to two anonymous reviewers for their helpful and constructive comments.</t>
  </si>
  <si>
    <t>ACADEMIC PRESS INC ELSEVIER SCIENCE</t>
  </si>
  <si>
    <t>SAN DIEGO</t>
  </si>
  <si>
    <t>525 B ST, STE 1900, SAN DIEGO, CA 92101-4495 USA</t>
  </si>
  <si>
    <t>0016-6480</t>
  </si>
  <si>
    <t>1095-6840</t>
  </si>
  <si>
    <t>GEN COMP ENDOCR</t>
  </si>
  <si>
    <t>Gen. Comp. Endocrinol.</t>
  </si>
  <si>
    <t>10.1016/j.ygcen.2011.05.006</t>
  </si>
  <si>
    <t>Endocrinology &amp; Metabolism; Zoology</t>
  </si>
  <si>
    <t>793GK</t>
  </si>
  <si>
    <t>WOS:000292808200019</t>
  </si>
  <si>
    <t>Hawes, TC; Marshall, CJ; Wharton, DA</t>
  </si>
  <si>
    <t>Hawes, T. C.; Marshall, C. J.; Wharton, D. A.</t>
  </si>
  <si>
    <t>Antifreeze proteins in the Antarctic springtail, Gressittacantha terranova</t>
  </si>
  <si>
    <t>JOURNAL OF COMPARATIVE PHYSIOLOGY B-BIOCHEMICAL SYSTEMS AND ENVIRONMENTAL PHYSIOLOGY</t>
  </si>
  <si>
    <t>Antifreeze protein; Antarctica; Collembola; Supercooling; Thermal hysteresis</t>
  </si>
  <si>
    <t>THERMAL HYSTERESIS; COLD-HARDINESS; BEETLE; PURIFICATION; COLLEMBOLAN; ADSORPTION; TOLERANCE; MECHANISM; LARVAE</t>
  </si>
  <si>
    <t>Antarctic springtails are exemplars of extreme low temperature adaptation in terrestrial arthropods. This paper represents the first examination of such adaptation in the springtail, Gressittacantha terranova. Acclimatization state was measured in field-fresh samples over a 22-day period at the beginning of the austral summer. No evidence of temperature tracking was observed. Mean temperature of crystallization (T (c)) for all samples was -20.67 +/- A 0.32A degrees C and the lowest T (c) recorded was -32.62A degrees C. Ice affinity purification was used to collect antifreeze proteins (AFPs) from springtail homogenate. The purified ice fraction demonstrated both thermal hysteresis activity and recrystallisation inhibition. Growth-melt observations revealed that ice crystals grow normal to the c-axis (basal plane). Reverse-phased HPLC produce one clearly resolved peak (P1) and one compound peak (P2). Mass spectrometry identified the molecular mass of P1 as 8,599 Da. The P1 protein was also the most prominent in P2, although additional peptides of 6-7 KDa were also prominent. The main AFP of the Antarctic springtail, G. terranova has been isolated, although like other AFP-expressing arthropods, it shows evidence of expressing a family of AFPs.</t>
  </si>
  <si>
    <t>[Hawes, T. C.; Wharton, D. A.] Univ Otago, Dept Zool, Dunedin, New Zealand; [Marshall, C. J.] Univ Otago, Dept Biochem, Dunedin, New Zealand</t>
  </si>
  <si>
    <t>University of Otago; University of Otago</t>
  </si>
  <si>
    <t>Hawes, TC (corresponding author), Univ Otago, Dept Zool, POB 56, Dunedin, New Zealand.</t>
  </si>
  <si>
    <t>tinstone12@hotmail.com</t>
  </si>
  <si>
    <t>Marshall, Craig J./C-6668-2009</t>
  </si>
  <si>
    <t>Marshall, Craig J./0000-0003-4186-0368; Wharton, David/0000-0001-6369-4984</t>
  </si>
  <si>
    <t>Leverhulme Trust</t>
  </si>
  <si>
    <t>Leverhulme Trust(Leverhulme Trust)</t>
  </si>
  <si>
    <t>TCH was funded by the Leverhulme Trust. Thanks to Antarctic NZ for logistical support.</t>
  </si>
  <si>
    <t>0174-1578</t>
  </si>
  <si>
    <t>1432-136X</t>
  </si>
  <si>
    <t>J COMP PHYSIOL B</t>
  </si>
  <si>
    <t>J. Comp. Physiol. B-Biochem. Syst. Environ. Physiol.</t>
  </si>
  <si>
    <t>10.1007/s00360-011-0564-4</t>
  </si>
  <si>
    <t>Physiology; Zoology</t>
  </si>
  <si>
    <t>795UV</t>
  </si>
  <si>
    <t>WOS:000293002300001</t>
  </si>
  <si>
    <t>Miyazaki, T; Iwami, T; Meyer-Rochow, VB</t>
  </si>
  <si>
    <t>Miyazaki, T.; Iwami, T.; Meyer-Rochow, V. B.</t>
  </si>
  <si>
    <t>The position of the retinal area centralis changes with age in Champsocephalus gunnari (Channichthyidae), a predatory fish from coastal Antarctic waters</t>
  </si>
  <si>
    <t>POLAR BIOLOGY</t>
  </si>
  <si>
    <t>Champsocephalus gunnari; Eye; Vision; Retinal ganglion cell; Main visual axis; Foraging habitat change</t>
  </si>
  <si>
    <t>SOUTH GEORGIA; GANGLION-CELLS; REEF TELEOSTS; TOPOGRAPHY; DIET; INTENSITY; SUMMER; ISLAND; FJORD</t>
  </si>
  <si>
    <t>Histological examinations of the topographical distribution and the area of highest density (the area centralis: AC) of presumed retinal ganglion cells found in the retina in 0- to 6-year-old Champsocephalus gunnari revealed differences between younger and older fish. Individuals of up to 2 years of age had the AC in the temporal retina, whereas in 3-, 4-, 5- and 6-year-old fish it was positioned in the ventro-temporal region of the retina. The main visual axis in the pitch plane of C. gunnari was shown to shift from facing forward to an upward-forward direction during growth, corresponding to the habitat change in this species from pelagic to benthic. Moreover, the AC in 0- to 3-year-old fish was near the retinal periphery, but displaced towards the inner retina in 4- to 6-year-old fish. This means that the visual axis in the horizontal plane of the younger fish was directed towards the frontal sector of vision, while in the older fish a slightly more lateral position was favoured. Therefore, younger fish can be expected to possess superior binocular vision when it comes to prey closely in front of them, but in older fish it seems more important to have a wider visual field to detect prey (and possibly predators) within a greater volume of water.</t>
  </si>
  <si>
    <t>[Miyazaki, T.] Mie Univ, Grad Sch Bioresources, Tsu, Mie 5148507, Japan; [Iwami, T.] Tokyo Kasei Gakuin Univ, Tokyo 1940292, Japan; [Meyer-Rochow, V. B.] Jacobs Univ, Fac Sci &amp; Engn, D-28725 Bremen, Germany</t>
  </si>
  <si>
    <t>Mie University; Jacobs University</t>
  </si>
  <si>
    <t>Miyazaki, T (corresponding author), Mie Univ, Grad Sch Bioresources, Tsu, Mie 5148507, Japan.</t>
  </si>
  <si>
    <t>taeko@bio.mie-u.ac.jp</t>
  </si>
  <si>
    <t>MEYER-ROCHOW, Victor Benno/AAJ-7258-2020</t>
  </si>
  <si>
    <t>MEYER-ROCHOW, V. Benno/0000-0003-1531-9244</t>
  </si>
  <si>
    <t>JSPS [15570086, 17570077]; Mie University; Fujiwara Natural History Foundation; Grants-in-Aid for Scientific Research [15570086, 17570077] Funding Source: KAKEN</t>
  </si>
  <si>
    <t>JSPS(Ministry of Education, Culture, Sports, Science and Technology, Japan (MEXT)Japan Society for the Promotion of Science); Mie University; Fujiwara Natural History Foundation; Grants-in-Aid for Scientific Research(Ministry of Education, Culture, Sports, Science and Technology, Japan (MEXT)Japan Society for the Promotion of ScienceGrants-in-Aid for Scientific Research (KAKENHI))</t>
  </si>
  <si>
    <t>We thank Mr. Tomonari Hayashi for his careful dissection and preservation of samples on the boat deck. We are also grateful to crews of R/V Niitaka-Maru, Nippon Suisan Kaisha, Ltd., for helping with the collection of fish. Thanks also to Ms. Rie Shimizu and Mr. Sakuya Yamauchi who assisted with some of the histological analyses. We acknowledge Dr. J.A. Macdonald and two anonymous reviewers for their comments on the earliest draft. This work was supported by Grant-in-Aid for Scientific Research (C) from the JSPS (No. 15570086; 17570077), and also partly by a grant from the Fujiwara Natural History Foundation and a grant from the Mie University COE-A Program. VBM-R wishes to thank the Japan Society for the Promotion of Science for the support during his latest stays at Mie University and Hamamatsu Medical University.</t>
  </si>
  <si>
    <t>ONE NEW YORK PLAZA, SUITE 4600, NEW YORK, NY, UNITED STATES</t>
  </si>
  <si>
    <t>0722-4060</t>
  </si>
  <si>
    <t>1432-2056</t>
  </si>
  <si>
    <t>POLAR BIOL</t>
  </si>
  <si>
    <t>Polar Biol.</t>
  </si>
  <si>
    <t>10.1007/s00300-011-0969-2</t>
  </si>
  <si>
    <t>Biodiversity Conservation; Ecology</t>
  </si>
  <si>
    <t>Biodiversity &amp; Conservation; Environmental Sciences &amp; Ecology</t>
  </si>
  <si>
    <t>794IB</t>
  </si>
  <si>
    <t>WOS:000292887600002</t>
  </si>
  <si>
    <t>Isla, E; Gerdes, D; Rossi, S; Fiorillo, I; Sañé, E; Gili, JM; Arntz, WE</t>
  </si>
  <si>
    <t>Isla, Enrique; Gerdes, Dieter; Rossi, Sergio; Fiorillo, Ida; Sane, Elisabet; Gili, Josep-Maria; Arntz, Wolf E.</t>
  </si>
  <si>
    <t>Biochemical characteristics of surface sediments on the eastern Weddell Sea continental shelf, Antarctica: is there any evidence of seasonal patterns?</t>
  </si>
  <si>
    <t>Antarctica; Lipids; Sediment geochemistry; Weddell Sea; Continental shelf; Proteins</t>
  </si>
  <si>
    <t>PARTICULATE ORGANIC-MATTER; DOWNWARD PARTICLE FLUXES; BENTHIC BOUNDARY-LAYER; BAY ROSS SEA; SUSPENSION FEEDERS; STRAIT ANTARCTICA; FEEDING-ACTIVITY; TEMPORAL-CHANGES; NUTRITIVE-VALUE; SOUTHERN-OCEAN</t>
  </si>
  <si>
    <t>Biochemical characteristics of seafloor sediment off Austasen in the southeastern Weddell Sea were assayed in samples recovered in the early autumn and late spring of 2000 and 2003, respectively. Sediment was separated in the grain-size fractions &gt; 200 mu m and &lt; 200 mu m to distinguish biochemical characteristics in the fraction available for benthic suspension feeders (&lt; 200 mu m). In the bulk sediment, the lipid (LPD) and carbohydrate (CHO) contents were significantly different between seasons with higher LPD content in the early autumn and higher CHO content in the late spring. In the grain-size fractions &lt; 200 mu m, the LPD and protein (PRT) contents were significantly higher in the early autumn meaning that in this season the fraction available for benthic suspension feeders presented higher nutritive value. The relatively higher CHO concentrations observed in each fraction in the late spring were attributed to refractory matter, whereas the higher PRT and LPD concentrations found during the early autumn were associated with planktonic material settled after the summer phytoplankton bloom. Our results suggest that there is seasonal variation in the composition of organic matter in the sediment, with better nutritive quality in the early autumn, especially in the grain-size fraction available for benthic suspension feeders. These variations also suggest that the benthic community exploits the fresh organic matter accumulated after the summer throughout the Antarctic dark months leaving the sediment almost exhaust of LPD and with higher CHO contents, presumably of refractory nature, at the onset of the seasonal phytoplankton bloom of the following year.</t>
  </si>
  <si>
    <t>[Isla, Enrique; Fiorillo, Ida; Sane, Elisabet; Gili, Josep-Maria] CSIC, Inst Ciencias Mar, E-08003 Barcelona, Spain; [Gerdes, Dieter; Arntz, Wolf E.] Alfred Wegener Inst Polar &amp; Marine Res, D-27568 Bremerhaven, Germany; [Rossi, Sergio] Univ Autonoma Barcelona, Inst Ciencia &amp; Tecnol Ambientals, Cerdanyola Del Valles 08193, Spain</t>
  </si>
  <si>
    <t>Consejo Superior de Investigaciones Cientificas (CSIC); CSIC - Centro Mediterraneo de Investigaciones Marinas y Ambientales (CMIMA); CSIC - Instituto de Ciencias del Mar (ICM); Helmholtz Association; Alfred Wegener Institute, Helmholtz Centre for Polar &amp; Marine Research; Autonomous University of Barcelona</t>
  </si>
  <si>
    <t>Isla, E (corresponding author), CSIC, Inst Ciencias Mar, Passeig Maritim Barceloneta 37-49, E-08003 Barcelona, Spain.</t>
  </si>
  <si>
    <t>isla@icm.csic.es</t>
  </si>
  <si>
    <t>sane, elisabet/AAT-4775-2020</t>
  </si>
  <si>
    <t>, elisabet/0000-0001-5719-5468; Isla, Enrique/0000-0003-4959-6936; Rossi, Sergio/0000-0003-4402-3418</t>
  </si>
  <si>
    <t>Spanish Ministry of Education and Science [REN2003-04236]</t>
  </si>
  <si>
    <t>Spanish Ministry of Education and Science(Spanish Government)</t>
  </si>
  <si>
    <t>The authors wish to thank the Captain and crew of the RV Polarstern for their efficient help during the Weld work. The present work was partially funded by the Spanish Ministry of Education and Science through the project FILANT (REN2003-04236). The original manuscript improved with the comments of C.R. Smith and one anonymous reviewer.</t>
  </si>
  <si>
    <t>10.1007/s00300-011-0973-6</t>
  </si>
  <si>
    <t>WOS:000292887600003</t>
  </si>
  <si>
    <t>Lecointre, G; Gallut, C; Bonillo, C; Couloux, A; Ozouf-Costaz, C; Dettaï, A</t>
  </si>
  <si>
    <t>Lecointre, Guillaume; Gallut, Cyril; Bonillo, Celine; Couloux, Arnaud; Ozouf-Costaz, Catherine; Dettai, Agnes</t>
  </si>
  <si>
    <t>The Antarctic fish genus Artedidraco is paraphyletic (Teleostei, Notothenioidei, Artedidraconidae)</t>
  </si>
  <si>
    <t>Artedidraconidae; Notothenioidei; Systematics</t>
  </si>
  <si>
    <t>ROSS SEA; POGONOPHRYNE PISCES; MITOCHONDRIAL; PERCIFORMES; DNA; PHYLOGENY; EVOLUTION; ACANTHOMORPHA; RELIABILITY</t>
  </si>
  <si>
    <t>Artedidraconids (Plunderfishes) are small benthic notothenioid fishes of the Antarctic and South Georgia shelf and slope. The family Artedidraconidae is monophyletic; however, the relationships within the family have remained poorly explored until now, and based on a small sample of the genus Artedidraco. The present study focuses on the interrelationships among the artedidraconid genera and the phylogeny of the genus Artedidraco. 2,353 base pairs from 77 specimens were sequenced from the partial mitochondrial cytochrome oxidase I gene and cytochrome b gene, the partial mitochondrial control region and the partial nuclear rhodopsin retrogene. The genus Artedidraco is not monophyletic, confirming the preliminary relationships found by Derome et al. (Mol Phylogenet Evol 24:139-152, 2002): Pogonophryne, Dolloidraco and Histiodraco are well embedded within the genus Artedidraco. From Artedidraco skottsbergi and A. loennbergi to A. orianae and A. mirus, the tree shows that there is an increasing number of upper lateral line tubular scales and decreasing number of disc-shaped scales. There is also a trend toward a decrease in the number of epipleural ribs and an increase in number of pleural ribs along the tree.</t>
  </si>
  <si>
    <t>[Lecointre, Guillaume; Gallut, Cyril; Ozouf-Costaz, Catherine; Dettai, Agnes] Museum Natl Hist Nat, UMR UPMC CNRS MNHN IRD Systemat Adaptat Evolut 71, Dept Systemat &amp; Evolut, F-75005 Paris, France; [Bonillo, Celine] Museum Natl Hist Nat, UMS CNRS 2700, Dept Systemat &amp; Evolut, F-75005 Paris, France; [Couloux, Arnaud] Ctr Natl Sequencage, F-91057 Evry, France</t>
  </si>
  <si>
    <t>Museum National d'Histoire Naturelle (MNHN); Sorbonne Universite; Museum National d'Histoire Naturelle (MNHN); Universite Paris Saclay</t>
  </si>
  <si>
    <t>Lecointre, G (corresponding author), Museum Natl Hist Nat, UMR UPMC CNRS MNHN IRD Systemat Adaptat Evolut 71, Dept Systemat &amp; Evolut, CP 39,57 Rue Cuvier, F-75005 Paris, France.</t>
  </si>
  <si>
    <t>lecointr@mnhn.fr</t>
  </si>
  <si>
    <t>Dettai, Agnes/Q-6743-2019</t>
  </si>
  <si>
    <t>Gallut, Cyril/0000-0002-6486-0179</t>
  </si>
  <si>
    <t>Centre National pour la Recherche Scientifique; Museum national d'Histoire naturelle; Agence Nationale pour la Recherche [07-BLAN-0213-01]; National Science Foundation [OPP 01-32032]; Service de Systematique Moleculaire of the Museum National d'Histoire Naturelle; Consortium National de Recherche en Genomique</t>
  </si>
  <si>
    <t>Centre National pour la Recherche Scientifique; Museum national d'Histoire naturelle; Agence Nationale pour la Recherche(Agence Nationale de la Recherche (ANR)); National Science Foundation(National Science Foundation (NSF)); Service de Systematique Moleculaire of the Museum National d'Histoire Naturelle(Centre National de la Recherche Scientifique (CNRS)); Consortium National de Recherche en Genomique(General Electric)</t>
  </si>
  <si>
    <t>We thank Lukas Ruber, Rafael Zardoya and Luca Bargelloni for sample exchanges. We thank the crew and participants of the cruises involved in the capture of the samples, and especially the chief scientists of the CAML-CEAMARC cruises: G. Hosie, T. Ishimaru, M. Riddle, M. Stoddart. The CAML-CEAMARC cruises of R/V Aurora Australis'' and R/V Umitaka maru'' (IPY project no 53) were supported by the Australian Antarctic Division, the Japanese Science Foundation, the French polar institute Institut Paul-Emile Victor'' (and the IPEV program 281 ICOTA'' co-directed by Catherine Ozouf-Costaz and Philippe Koubbi). Programs associated were supported by the Centre National pour la Recherche Scientifique, the Museum national d'Histoire naturelle and the Agence Nationale pour la Recherche (Projet Blanc ANTFLOCKS'' USAR no 07-BLAN-0213-01 directed by Guillaume Lecointre). This project is a contribution to the EBA-SCAR program. The present work was also partly based on samples collected during the ICEFISH 2004 cruise (supported by National Science Foundation grant OPP 01-32032 to H. William Detrich (Northestern University)) and the EPOS cruise (1989) for which we are grateful to the Alfred Wegener Institute and the European Science Foundation. This work was also supported by the Service de Systematique Moleculaire of the Museum National d'Histoire Naturelle (UMS 2700 CNRS) and the Consortium National de Recherche en Genomique : it is part of the agreement number 2005/67 between the Genoscope and the Museum National d'Histoire Naturelle on the project 'Macrophylogeny of life' directed by Guillaume Lecointre. We thank Joseph T. Eastman, Craig Marshall and an anonymous reviewer for constructive remarks.</t>
  </si>
  <si>
    <t>10.1007/s00300-011-0974-5</t>
  </si>
  <si>
    <t>WOS:000292887600004</t>
  </si>
  <si>
    <t>Takahashi, KT; Kawaguchi, S; Kobayashi, M; Toda, T; Tanimura, A; Fukuchi, M; Odate, T</t>
  </si>
  <si>
    <t>Takahashi, Kunio T.; Kawaguchi, So; Kobayashi, Masaki; Toda, Tatsuki; Tanimura, Atsushi; Fukuchi, Mitsuo; Odate, Tsuneo</t>
  </si>
  <si>
    <t>Eugregarine infection within the digestive tract of larval Antarctic krill, Euphausia superba</t>
  </si>
  <si>
    <t>Eugregarines; Antarctic krill; Larval stage; Infection rate; Negative impact</t>
  </si>
  <si>
    <t>CEPHALOIDOPHORA-PACIFICA; THYSANOESSA-INERMIS; GREGARINE PARASITE; LIFE-HISTORY; SEA-ICE; DANA; VARIABILITY; PENINSULA</t>
  </si>
  <si>
    <t>The infection rate of eugregarine parasites, Cephaloidophora pacifica, within the digestive tract of larval Antarctic krill, Euphausia superba, was examined using samples collected from the Indian sector of the Southern Ocean. Immature and mature eugregarine gamont stages were found at all larval stages older than Calyptopis I stage. Eugregarine infection in 14.0% (N = 108) of the first feeding stage (Calyptopis I) suggested that krill larvae are at risk from being infected during physiological transition from non-feeding to feeding stages. Eugregarine prevalence and intensity of infection at the three calyptopis stages increased with stage/krill length. Statistical analysis showed that the intensity of C. pacifica infection also increased with host density. Thus, krill density is probably a key determinant of the intensity of infection. We found gamont stage eugregarines in the host hind-gut, blocking the passage of food. Eugregarine infections in larval krill may have a negative impact on digestion and absorption in the host digestive tract.</t>
  </si>
  <si>
    <t>[Takahashi, Kunio T.; Fukuchi, Mitsuo; Odate, Tsuneo] Natl Inst Polar Res, Tokyo 1908518, Japan; [Kawaguchi, So] Australian Antarctic Div, Kingston, Tas 7050, Australia; [Kobayashi, Masaki; Toda, Tatsuki] Soka Univ, Fac Engn, Tokyo 1928577, Japan; [Tanimura, Atsushi] Mie Univ, Grad Sch Bioresources, Tsu, Mie 5148507, Japan</t>
  </si>
  <si>
    <t>Research Organization of Information &amp; Systems (ROIS); National Institute of Polar Research (NIPR) - Japan; Australian Antarctic Division; Soka University; Mie University</t>
  </si>
  <si>
    <t>Takahashi, KT (corresponding author), Natl Inst Polar Res, 10-3 Midoricho, Tokyo 1908518, Japan.</t>
  </si>
  <si>
    <t>takahashi.kunio@nipr.ac.jp</t>
  </si>
  <si>
    <t>Kawaguchi, So/N-1795-2017</t>
  </si>
  <si>
    <t>Toda, Tatsuki/0000-0001-9279-030X; Kawaguchi, So/0000-0002-2042-5095</t>
  </si>
  <si>
    <t>Japan Society for the Promotion of Science [22770025]; JARE STAGE; Grants-in-Aid for Scientific Research [22770025] Funding Source: KAKEN</t>
  </si>
  <si>
    <t>Japan Society for the Promotion of Science(Ministry of Education, Culture, Sports, Science and Technology, Japan (MEXT)Japan Society for the Promotion of Science); JARE STAGE; Grants-in-Aid for Scientific Research(Ministry of Education, Culture, Sports, Science and Technology, Japan (MEXT)Japan Society for the Promotion of ScienceGrants-in-Aid for Scientific Research (KAKENHI))</t>
  </si>
  <si>
    <t>We are grateful to Professor T. Hoshiai, leader of the JARE-23, and members of the JARE-23 for their cooperation with fieldwork on the ice. We also thank the officers and crew of the R/V Tangaroa, chartered by the JARE-43, for their kind assistance during the cruise. This work was supported in part by the JARE STAGE program and Japan Society for the Promotion of Science (KAKENHI 22770025).</t>
  </si>
  <si>
    <t>10.1007/s00300-011-0979-0</t>
  </si>
  <si>
    <t>WOS:000292887600007</t>
  </si>
  <si>
    <t>Fonteneau, F; Geiger, S; Marion, L; Le Maho, Y; Robin, JP; Kinsella, JM</t>
  </si>
  <si>
    <t>Fonteneau, Frederic; Geiger, Sylvie; Marion, Loic; Le Maho, Yvon; Robin, Jean-Patrice; Kinsella, John M.</t>
  </si>
  <si>
    <t>Gastrointestinal helminths of King penguins (Aptenodytes patagonicus) at Crozet Archipelago</t>
  </si>
  <si>
    <t>Parasite; Piscivorous bird; Austral area; Tetrabothrius wrighti; Tetrameres wetzeli; Contracaecum heardi</t>
  </si>
  <si>
    <t>PARASITES; ANTARCTICA</t>
  </si>
  <si>
    <t>Communities of helminths are known to be related to feeding behaviors of hosts. While climate change and overfishing can impact food availability for Antarctic piscivorous predators, knowledge about infectious and parasitic diseases among Antarctic species is scarce or fragmentary. We studied the helminth community of King penguins (Aptenodytes patagonicus) from the Crozet Archipelago, the main breeding area of the species. Based on a sample of 41 individuals found freshly dead from predation or starvation, the gastrointestinal helminth community in King penguins was composed of 1 species of cestode (Tetrabothrius wrighti) and 2 species of nematodes (Tetrameres wetzeli and Contracaecum heardi). Cestodes formed the core of the helminth community (97.5% of worms collected) with a prevalence of infestation of 100% and a mean intensity of 178.6 worms per host. Sources of infestation and pathologies caused by these worms are also discussed.</t>
  </si>
  <si>
    <t>[Fonteneau, Frederic; Marion, Loic] Univ Rennes 1, UMR CNRS Ecobio, F-35042 Rennes, France; [Geiger, Sylvie; Le Maho, Yvon; Robin, Jean-Patrice] Univ Strasbourg, IPHC, F-67087 Strasbourg, France; [Geiger, Sylvie; Le Maho, Yvon; Robin, Jean-Patrice] CNRS, UMR 7178, F-67037 Strasbourg, France; [Kinsella, John M.] HelmWest Lab, Missoula, MT 59801 USA</t>
  </si>
  <si>
    <t>Universite de Rennes; Universites de Strasbourg Etablissements Associes; Universite de Strasbourg; Universites de Strasbourg Etablissements Associes; Universite de Strasbourg; Centre National de la Recherche Scientifique (CNRS); CNRS - National Institute of Nuclear and Particle Physics (IN2P3)</t>
  </si>
  <si>
    <t>Fonteneau, F (corresponding author), Univ Rennes 1, UMR CNRS Ecobio, Campus Beaulieu,Ave Gen Leclerc, F-35042 Rennes, France.</t>
  </si>
  <si>
    <t>frederic.fonteneau@gmail.com</t>
  </si>
  <si>
    <t>10.1007/s00300-011-0970-9</t>
  </si>
  <si>
    <t>WOS:000292887600015</t>
  </si>
  <si>
    <t>Kimura, N; Wakatsuchi, M</t>
  </si>
  <si>
    <t>Kimura, Noriaki; Wakatsuchi, Masaaki</t>
  </si>
  <si>
    <t>Large-scale processes governing the seasonal variability of the Antarctic sea ice</t>
  </si>
  <si>
    <t>TELLUS SERIES A-DYNAMIC METEOROLOGY AND OCEANOGRAPHY</t>
  </si>
  <si>
    <t>SOUTHERN-OCEAN; BOTTOM WATER; WEDDELL SEA; SPATIAL PATTERNS; BEAUFORT SEA; PACK ICE; MOTION; WINTER; CIRCULATION; THICKNESS</t>
  </si>
  <si>
    <t>The seasonal variability of sea-ice cover in the Southern Ocean is examined using daily sea-ice concentration and ice velocity products for 2003-2009, derived from Advanced Microwave Scanning Radiometer for EOS (AMSR-E) data. This study quantitatively shows the contribution of (1) ice production/reduction within the sea ice, (2) ice production/reduction at the sea-ice edge and (3) zonal ice transport to the seasonal change of sea-ice area. Area of greatest ice production occurs along the coast of Ross Sea and East Antarctica from March to September. The contribution of zonal transport to the seasonal change of ice area is one order magnitude smaller than local ice production/reduction. Clear regional and seasonal differences are found in the large-scale processes named above. Generally, ice area increases due to ice production, both at the ice edge and within the pack in the autumn and winter. The most significant ice production at the ice edge occurred in the Weddell Sea; the ice production provides 56% of total increase of ice cover in this area. In contrast, moderate ice melting occurs at the ice edge through almost all months in the Indian Ocean sector.</t>
  </si>
  <si>
    <t>[Kimura, Noriaki] Univ Tokyo, Grad Sch Frontier Sci, Kashiwa, Chiba, Japan; [Wakatsuchi, Masaaki] Hokkaido Univ, Inst Low Temp Sci, Sapporo, Hokkaido 060, Japan</t>
  </si>
  <si>
    <t>University of Tokyo; Hokkaido University</t>
  </si>
  <si>
    <t>Kimura, N (corresponding author), Univ Tokyo, Grad Sch Frontier Sci, Kashiwa, Chiba, Japan.</t>
  </si>
  <si>
    <t>kimura@1.k.u-tokyo.ac.jp</t>
  </si>
  <si>
    <t>21st-Century and Global Center of Excellence Program; Ministry of Education, Culture, Sports, Science and Technology of Japan [17340138, 1871001]; Grants-in-Aid for Scientific Research [17340138] Funding Source: KAKEN</t>
  </si>
  <si>
    <t>21st-Century and Global Center of Excellence Program; Ministry of Education, Culture, Sports, Science and Technology of Japan(Ministry of Education, Culture, Sports, Science and Technology, Japan (MEXT)); Grants-in-Aid for Scientific Research(Ministry of Education, Culture, Sports, Science and Technology, Japan (MEXT)Japan Society for the Promotion of ScienceGrants-in-Aid for Scientific Research (KAKENHI))</t>
  </si>
  <si>
    <t>We wish to thank the National Snow and Ice Data Center for the gridded AMSR-E and SSM/I data. We also thank the Kitami Institute of Technology for NOAA/AVHRR image. We acknowledge Kay I. Ohshima, Shigeru Aoki, Yasushi Fukamachi, Takenobu Toyota, Guy Williams and Takeshi Tamura for their useful comments. Much appreciation to Ray Tabesh for proofreading this document. We are very grateful to the anonymous reviewers for their comments and helpful suggestions. The figures were produced by the GFD DENNOU Library. This work was supported by the 21st-Century and Global Center of Excellence Program, and by the Grant-in-Aid 17340138 and 1871001 for scientific research, funded by the Ministry of Education, Culture, Sports, Science and Technology of Japan.</t>
  </si>
  <si>
    <t>CO-ACTION PUBLISHING</t>
  </si>
  <si>
    <t>JARFALLA</t>
  </si>
  <si>
    <t>RIPVAGEN 7, JARFALLA, SE-175 64, SWEDEN</t>
  </si>
  <si>
    <t>0280-6495</t>
  </si>
  <si>
    <t>1600-0870</t>
  </si>
  <si>
    <t>TELLUS A</t>
  </si>
  <si>
    <t>Tellus Ser. A-Dyn. Meteorol. Oceanol.</t>
  </si>
  <si>
    <t>10.1111/j.1600-0870.2011.00526.x</t>
  </si>
  <si>
    <t>Meteorology &amp; Atmospheric Sciences; Oceanography</t>
  </si>
  <si>
    <t>793ZZ</t>
  </si>
  <si>
    <t>WOS:000292864500014</t>
  </si>
  <si>
    <t>Vaughan, APM</t>
  </si>
  <si>
    <t>Vaughan, Alan P. M.</t>
  </si>
  <si>
    <t>Putting the Earth into Earth System Science</t>
  </si>
  <si>
    <t>Editorial Material</t>
  </si>
  <si>
    <t>Vaughan, Alan PM/B-7829-2010</t>
  </si>
  <si>
    <t>Natural Environment Research Council [bas0100026] Funding Source: researchfish; NERC [bas0100026] Funding Source: UKRI</t>
  </si>
  <si>
    <t>Natural Environment Research Council(UK Research &amp; Innovation (UKRI)Natural Environment Research Council (NERC)); NERC(UK Research &amp; Innovation (UKRI)Natural Environment Research Council (NERC))</t>
  </si>
  <si>
    <t>10.1017/S0954102011000496</t>
  </si>
  <si>
    <t>WOS:000293337000001</t>
  </si>
  <si>
    <t>Barnes, DKA; Collins, MA; Brickle, P; Fretwell, P; Griffiths, HJ; Herbert, D; Hogg, OT; Sands, CJ</t>
  </si>
  <si>
    <t>Barnes, D. K. A.; Collins, M. A.; Brickle, P.; Fretwell, P.; Griffiths, H. J.; Herbert, D.; Hogg, O. T.; Sands, C. J.</t>
  </si>
  <si>
    <t>The need to implement the Convention on Biological Diversity at the high latitude site, South Georgia</t>
  </si>
  <si>
    <t>benthos; edge of range; endemism; rapid regional warming; rates of change</t>
  </si>
  <si>
    <t>ANTARCTIC POLAR FRONT; SCOTIA SEA; THERMAL TOLERANCE; CLIMATE-CHANGE; OCEAN; MARINE; BIODIVERSITY; VARIABILITY; POPULATIONS; PENINSULA</t>
  </si>
  <si>
    <t>The multilateral failure to apply the Convention on Biological Diversity (CBD) by the target year 2010 was headline news as are the accelerating climatic changes which dictate its urgency. Some ecosystems that are vulnerable to anthropogenic change have few species listed as endangered because too little is known about their biota. The highest vulnerability may correspond to where hotspots of species endemism, range limits and physiological sensitivity overlap with areas of most rapid physical change. The old, large and remote archipelago of South Georgia is one such location. Sea-surface temperatures around South Georgia are amongst the most rapidly warming reported. Furthermore oceanographic projections are highlighting the region as extremely vulnerable to ocean acidification. We outline the first polar Darwin Initiative project and the technical advances in generating an interactive and fully integrated georeferenced map of marine biodiversity, seabed topography and physical oceanography at South Georgia. Mapping marine mega and macro-faunal biodiversity onto multiple physical variables has rarely been attempted. This should provide a new tool in assessing the processes driving biological variability, the importance of marine areas in terms of ecosystem services, the threats and vulnerabilities of Polar Regions and should greatly aid implementation of the CBD.</t>
  </si>
  <si>
    <t>[Barnes, D. K. A.; Fretwell, P.; Griffiths, H. J.; Herbert, D.; Hogg, O. T.; Sands, C. J.] British Antarctic Survey, NERC, Cambridge CB3 0ET, England; [Collins, M. A.] Govt S Georgia &amp; S Sandwich Isl, Stanley, Falkland Isl, England; [Brickle, P.] Shallow Marine Surveys Grp, Stanley, Falkland Isl, England</t>
  </si>
  <si>
    <t>UK Research &amp; Innovation (UKRI); Natural Environment Research Council (NERC); NERC British Antarctic Survey</t>
  </si>
  <si>
    <t>Barnes, DKA (corresponding author), British Antarctic Survey, NERC, High Cross,Madingley Rd, Cambridge CB3 0ET, England.</t>
  </si>
  <si>
    <t>dkab@bas.ac.uk</t>
  </si>
  <si>
    <t>, Martin/ABE-6728-2020; Collins, Martin A/J-8560-2017; Griffiths, Huw J/D-4234-2009</t>
  </si>
  <si>
    <t>, Martin/0000-0001-7132-8650; Griffiths, Huw J/0000-0003-1764-223X; Brickle, Paul/0000-0002-9870-3518; Hogg, Oliver/0000-0003-1146-0590; Sands, Chester/0000-0003-1028-0328</t>
  </si>
  <si>
    <t>Government of South Georgia; South Sandwich Islands; Georgia Heritage Trust; Darwin Initiative (DEFRA); NERC [bas0100026] Funding Source: UKRI; Natural Environment Research Council [bas0100026] Funding Source: researchfish</t>
  </si>
  <si>
    <t>Government of South Georgia; South Sandwich Islands; Georgia Heritage Trust; Darwin Initiative (DEFRA)(Department for Environment, Food &amp; Rural Affairs (DEFRA)); NERC(UK Research &amp; Innovation (UKRI)Natural Environment Research Council (NERC)); Natural Environment Research Council(UK Research &amp; Innovation (UKRI)Natural Environment Research Council (NERC))</t>
  </si>
  <si>
    <t>We thank Andrew Fleming for sea surface temperature data in Fig. 1, Emma Young for access to an 'in press' oceanographic model paper and Alistair Graham for the image in Fig. 1 inset. This work was funded by grants from the Government of South Georgia and South Sandwich Islands, the South Georgia Heritage Trust and the Darwin Initiative (DEFRA). Finally we thank the care and attention paid by two anonymous referees which improved our manuscript considerably.</t>
  </si>
  <si>
    <t>10.1017/S0954102011000253</t>
  </si>
  <si>
    <t>WOS:000293337000002</t>
  </si>
  <si>
    <t>Ryan, PG; Ronconi, RA</t>
  </si>
  <si>
    <t>Ryan, Peter G.; Ronconi, Robert A.</t>
  </si>
  <si>
    <t>Continued increase in numbers of spectacled petrels Procellaria conspicillata</t>
  </si>
  <si>
    <t>fishing mortality; Inaccessible Island; population trend; Procellariiformes; Tristan da Cunha</t>
  </si>
  <si>
    <t>PELAGIC LONGLINE FISHERY; SEABIRD BYCATCH; CONSERVATION STATUS; NEW-ZEALAND; ALBATROSSES; POPULATION; MORTALITY; IMPACT; ISLAND; AEQUINOCTIALIS</t>
  </si>
  <si>
    <t>Until recently, the spectacled petrel Procellaria conspicillata Gould was listed as Critically Endangered due to its small population size and ongoing incidental mortality on fishing gear. Surveys at its sole breeding locality, Inaccessible Island in the central South Atlantic Ocean, indicated that the population increased from 1999-2004, resulting in the species being down-listed to Vulnerable. We repeated the census of breeding spectacled petrels during the early incubation period in October-November 2009. Numbers of burrows increased by 55% from 2004-09, with increases in all count zones, and the greatest changes in peripheral populations. Burrow occupancy estimates remained high, averaging 81% during one-off checks. Our best estimate of the population in 2009 was 14 400 pairs, continuing the c. 7% per year increase inferred since the 1930s following the disappearance of introduced pigs. This confirms the rapid recovery of this species despite ongoing mortality on fishing gear. Our results suggest that at least some procellariiforms are able to sustain strong growth rates in the face of fishing mortality when colony based threats are removed.</t>
  </si>
  <si>
    <t>[Ryan, Peter G.] Univ Cape Town, Percy FitzPatrick Inst, DST NRF Ctr Excellence, ZA-7701 Rondebosch, South Africa; [Ronconi, Robert A.] Dalhousie Univ, Dept Biol, Halifax, NS, Canada</t>
  </si>
  <si>
    <t>National Research Foundation - South Africa; University of Cape Town; Dalhousie University</t>
  </si>
  <si>
    <t>Ryan, PG (corresponding author), Univ Cape Town, Percy FitzPatrick Inst, DST NRF Ctr Excellence, ZA-7701 Rondebosch, South Africa.</t>
  </si>
  <si>
    <t>pryan31@gmail.com</t>
  </si>
  <si>
    <t>Ryan, Peter/0000-0002-3356-2056</t>
  </si>
  <si>
    <t>SANAP; European Commission; University of Cape Town; Killam Trust, Dalhousie University</t>
  </si>
  <si>
    <t>SANAP; European Commission(European Union (EU)European Commission Joint Research Centre); University of Cape Town; Killam Trust, Dalhousie University</t>
  </si>
  <si>
    <t>We thank the Administrator and Island Council of Tristan for permission to visit Inaccessible Island. Logistical support was supplied by the South African National Antarctic Programme (SANAP), and Tristan's Conservation Department; we especially thank Captain Clarence October and the crew of the MV Edinburgh and Norman Glass. Financial support was provided by SANAP, the European Commission's EDF-9 through the South Atlantic Invasive Species project, and the University of Cape Town. RAR was supported by the Killam Trust, Dalhousie University.</t>
  </si>
  <si>
    <t>10.1017/S0954102011000071</t>
  </si>
  <si>
    <t>WOS:000293337000003</t>
  </si>
  <si>
    <t>Alvaro, MC; Blazewicz-Paszkowycz, M; Davey, N; Schiaparelli, S</t>
  </si>
  <si>
    <t>Alvaro, Maria Chiara; Blazewicz-Paszkowycz, Magdalena; Davey, Niki; Schiaparelli, Stefano</t>
  </si>
  <si>
    <t>Skin-digging tanaids: the unusual parasitic behaviour of Exspina typica in Antarctic waters and worldwide deep basins</t>
  </si>
  <si>
    <t>Holothuroidea; parasitism; Ross Sea; Tanaidacea</t>
  </si>
  <si>
    <t>ADMIRALTY BAY; CRUSTACEA; PERACARIDA; LANG</t>
  </si>
  <si>
    <t>The order Tanaidacea includes over 1000 species which are mainly free-living or tube-dwelling detritivores. Exspina typica Lang, 1968 represents an exception to these common life styles, having being found in the intestine and body cavity of deep sea holothuroids. The 2008 New Zealand 'IPY-CAML Cruise' held in the Ross Sea collected several deepwater holothuroids that were observed to carry specimens of E. typica inside their coelomic cavity. A clear interpretation of this association was hence possible. Even if E. typica shows slight adaptations to a parasitic life style, the tanaids were found to actively 'dig' into the host's skin, grasping tissue with their claws and producing tunnels in the body wall. It is therefore possible to clearly define this association, which is here reported from the Antarctic for the first time, as parasitism.</t>
  </si>
  <si>
    <t>[Schiaparelli, Stefano] Univ Genoa, Dipartimento Studio Terr &amp; Sue Risorse, I-16132 Genoa, Italy; [Alvaro, Maria Chiara] MNA, Sez Genova, I-16132 Genoa, Italy; [Blazewicz-Paszkowycz, Magdalena] Univ Lodz, Dept Polar Biol &amp; Oceanobiol, PL-90237 Lodz, Poland; [Davey, Niki] Natl Inst Water &amp; Atmosphere Res Ltd, Nelson, New Zealand</t>
  </si>
  <si>
    <t>University of Genoa; University of Lodz</t>
  </si>
  <si>
    <t>Schiaparelli, S (corresponding author), Univ Genoa, Dipartimento Studio Terr &amp; Sue Risorse, Cso Europa 26, I-16132 Genoa, Italy.</t>
  </si>
  <si>
    <t>stefano.schiaparelli@unige.it</t>
  </si>
  <si>
    <t>Błażewicz, Magdalena/J-5175-2017; Schiaparelli, Stefano/AAI-4024-2020</t>
  </si>
  <si>
    <t>Schiaparelli, Stefano/0000-0002-0137-3605; Blazewicz, Magdalena/0000-0002-4753-3424</t>
  </si>
  <si>
    <t>New Zealand Ministry of Fisheries (MFish); NIWA (Wellington); Polish National Project (MNiSW) [51/N-IPY/2007/0]</t>
  </si>
  <si>
    <t>New Zealand Ministry of Fisheries (MFish); NIWA (Wellington); Polish National Project (MNiSW)(Ministry of Science and Higher Education, Poland)</t>
  </si>
  <si>
    <t>We would like to acknowledge the crew of the Tangaroa expedition 'IPY-CAML TAN0802' for logistic support during the cruise. We are indebted to the New Zealand Ministry of Fisheries (MFish) and NIWA (Wellington) for the financial support of the cruise and related study activities. The study was also partially financed by the Polish National Project (MNiSW) 51/N-IPY/2007/0. We thank Mark O'Loughlin (Marine Science Department, Museum Victoria, Melbourne, Australia) for advice and help during the present study. Two anonymous reviewers are acknowledged for their useful comments on the manuscript. This is CAML contribution #56.</t>
  </si>
  <si>
    <t>10.1017/S0954102011000186</t>
  </si>
  <si>
    <t>WOS:000293337000005</t>
  </si>
  <si>
    <t>Curtis, ML; Riley, TR; Flowerdew, MJ; Tate, A</t>
  </si>
  <si>
    <t>Curtis, Michael L.; Riley, Teal R.; Flowerdew, Michael J.; Tate, Alex</t>
  </si>
  <si>
    <t>Short Note The application and benefits of digital geological mapping in Antarctica</t>
  </si>
  <si>
    <t>[Curtis, Michael L.; Riley, Teal R.; Flowerdew, Michael J.; Tate, Alex] British Antarctic Survey, NERC, Cambridge CB3 0ET, England</t>
  </si>
  <si>
    <t>Curtis, ML (corresponding author), British Antarctic Survey, NERC, High Cross,Madingley Rd, Cambridge CB3 0ET, England.</t>
  </si>
  <si>
    <t>m.curtis@bas.ac.uk</t>
  </si>
  <si>
    <t>Curtis, Mike/HKV-6176-2023</t>
  </si>
  <si>
    <t>Flowerdew, Michael/0000-0002-9710-2593; Riley, Teal/0000-0002-3333-5021</t>
  </si>
  <si>
    <t>NERC [bas010020, bas0100026] Funding Source: UKRI; Natural Environment Research Council [bas0100026, bas010020] Funding Source: researchfish</t>
  </si>
  <si>
    <t>NERC(UK Research &amp; Innovation (UKRI)Natural Environment Research Council (NERC)); Natural Environment Research Council(UK Research &amp; Innovation (UKRI)Natural Environment Research Council (NERC))</t>
  </si>
  <si>
    <t>10.1017/S095410201100023X</t>
  </si>
  <si>
    <t>WOS:000293337000010</t>
  </si>
  <si>
    <t>McNeil, BI; Sweeney, C; Gibson, JAE</t>
  </si>
  <si>
    <t>McNeil, Ben I.; Sweeney, Colm; Gibson, John A. E.</t>
  </si>
  <si>
    <t>Short Note Natural seasonal variability of aragonite saturation state within two Antarctic coastal ocean sites</t>
  </si>
  <si>
    <t>ATMOSPHERIC CO2; ACIDIFICATION; BAY</t>
  </si>
  <si>
    <t>[McNeil, Ben I.] Univ New S Wales, Fac Sci, Climate Change Res Ctr, Sydney, NSW 2052, Australia; [Sweeney, Colm] Univ Colorado, Cooperat Inst Res Environm Sci, Boulder, CO 80309 USA; [Sweeney, Colm] NOAA, Earth Syst Res Lab, Silver Spring, MD 20910 USA; [Gibson, John A. E.] Univ Tasmania, Inst Marine &amp; Antarctic Studies, Hobart, Tas 7001, Australia</t>
  </si>
  <si>
    <t>University of New South Wales Sydney; University of Colorado System; University of Colorado Boulder; National Oceanic Atmospheric Admin (NOAA) - USA; University of Tasmania</t>
  </si>
  <si>
    <t>McNeil, BI (corresponding author), Univ New S Wales, Fac Sci, Climate Change Res Ctr, Sydney, NSW 2052, Australia.</t>
  </si>
  <si>
    <t>b.mcneil@unsw.edu.au</t>
  </si>
  <si>
    <t>Sweeney, Colm/AAE-9291-2019</t>
  </si>
  <si>
    <t>McNeil, Ben/0000-0001-5765-7087; Sweeney, Colm/0000-0002-4517-0797</t>
  </si>
  <si>
    <t>Office of Polar Programs (OPP); Directorate For Geosciences [0944761] Funding Source: National Science Foundation</t>
  </si>
  <si>
    <t>Office of Polar Programs (OPP); Directorate For Geosciences(National Science Foundation (NSF)NSF - Directorate for Geosciences (GEO))</t>
  </si>
  <si>
    <t>10.1017/S0954102011000204</t>
  </si>
  <si>
    <t>WOS:000293337000013</t>
  </si>
  <si>
    <t>Beck, PSA; Horning, N; Goetz, SJ; Loranty, MM; Tape, KD</t>
  </si>
  <si>
    <t>Beck, Pieter S. A.; Horning, Ned; Goetz, Scott J.; Loranty, Michael M.; Tape, Ken D.</t>
  </si>
  <si>
    <t>Shrub Cover on the North Slope of Alaska: a circa 2000 Baseline Map</t>
  </si>
  <si>
    <t>ARCTIC TUNDRA; LAND-SURFACE; CLIMATE-CHANGE; VEGETATION; RESPONSES; DYNAMICS; CLASSIFICATION; EXPANSION; TRENDS; RATES</t>
  </si>
  <si>
    <t>In situ observations show increases in shrub cover in different arctic regions in recent decades and have been cited to explain the increases in arctic vegetation productivity revealed by satellite remote sensing. A widespread increase in shrub cover, particularly tall shrub cover, is likely to profoundly alter the tundra biome because of its influence on biogeochemical cycling and feedbacks to climate. To monitor changes in shrub cover, aid field studies, and inform ecosystem models, we mapped shrub cover across the North Slope of Alaska. First, images from the IKONOS and SPOT satellite sensors were used to detect tall (&gt;1 m) and short shrub presence at high resolution (&lt;5 m grid cells) in different parts of the domain. The resulting maps were then used to train a Random Forest regression algorithm that mapped total and tall shrub cover, expressed as a percent of the total surface area, at 30 m resolution from a mosaic of Landsat scenes. The final shrub cover maps correspond well with field measurements (r(2) = 0.7, root mean square error = 17%, N = 24) and compared well with the existing vegetation type maps of the study area and a gridded temperature data set not used in the map generation.</t>
  </si>
  <si>
    <t>[Beck, Pieter S. A.; Goetz, Scott J.; Loranty, Michael M.] Woods Hole Res Ctr, Falmouth, MA 02540 USA; [Horning, Ned] Amer Museum Nat Hist, Ctr Biodivers &amp; Conservat, New York, NY 10024 USA; [Tape, Ken D.] Univ Alaska Fairbanks, Dept Biol &amp; Wildlife, Inst Arctic Biol, Fairbanks, AK 99708 USA</t>
  </si>
  <si>
    <t>Woodwell Climate Research Center; American Museum of Natural History (AMNH); University of Alaska System; University of Alaska Fairbanks</t>
  </si>
  <si>
    <t>Beck, PSA (corresponding author), Woods Hole Res Ctr, 149 Woods Hole Rd, Falmouth, MA 02540 USA.</t>
  </si>
  <si>
    <t>pbeck@whrc.org</t>
  </si>
  <si>
    <t>Beck, Pieter S. A./A-2662-2008; Loranty, Michael Mark/A-1518-2009; Goetz, Scott J/A-3393-2015</t>
  </si>
  <si>
    <t>Loranty, Michael Mark/0000-0001-8851-7386; Goetz, Scott J/0000-0002-6326-4308; Beck, Pieter S A/0000-0002-0692-4779</t>
  </si>
  <si>
    <t>NASA [NNX08AG13G]; NOAA [NA08OAR4310526]; NSF Office of Polar Programs [0732954]; Directorate For Geosciences; Division Of Polar Programs [0732948] Funding Source: National Science Foundation; Directorate For Geosciences; Office of Polar Programs (OPP) [0732954] Funding Source: National Science Foundation</t>
  </si>
  <si>
    <t>NASA(National Aeronautics &amp; Space Administration (NASA)); NOAA(National Oceanic Atmospheric Admin (NOAA) - USA); NSF Office of Polar Programs(National Science Foundation (NSF)); Directorate For Geosciences; Division Of Polar Programs(National Science Foundation (NSF)NSF - Directorate for Geosciences (GEO)); Directorate For Geosciences; Office of Polar Programs (OPP)(National Science Foundation (NSF)NSF - Directorate for Geosciences (GEO))</t>
  </si>
  <si>
    <t>We thank Planet Action (SPOT Image Corporation and the Environmental Systems Research Institute) for donating the SPOT imagery, Birgit Peterson at U.S. Geological Survey Landfire (http://www.landfire.gov) for providing access to Landsat imagery, and the National Park Service (Arctic Network) and Space Imaging Corporation for access to IKONOS imagery. We also thank Ango Hsu for assistance with image processing. Goetz, Beck, and Loranty gratefully acknowledge support from the NASA Carbon and Ecosystem Science Program (NNX08AG13G), the NOAA Global Carbon Cycle Program (NA08OAR4310526), and the NSF Office of Polar Programs (0732954).</t>
  </si>
  <si>
    <t>10.1657/1938-4246-43.3.355</t>
  </si>
  <si>
    <t>WOS:000294318500004</t>
  </si>
  <si>
    <t>Mallik, AU; Wdowiak, JV; Cooper, EJ</t>
  </si>
  <si>
    <t>Mallik, Azim U.; Wdowiak, Julia V.; Cooper, Elisabeth J.</t>
  </si>
  <si>
    <t>Growth and Reproductive Responses of Cassiope tetragona, a Circumpolar Evergreen Shrub, to Experimentally Delayed Snowmelt</t>
  </si>
  <si>
    <t>SIMULATED ENVIRONMENTAL-CHANGE; ARCTIC TUNDRA; LONG-TERM; DIFFERENTIAL GROWTH; SUMMER TEMPERATURE; PLANT DEVELOPMENT; DRYAS-OCTOPETALA; WINTER; VEGETATION; MANIPULATION</t>
  </si>
  <si>
    <t>While there has been a general trend of climate warming in the Arctic causing early snowmelt and prolonged growing season, climate change models for some areas in the High Arctic suggest increased snow accumulation, delayed spring melt, and consequently shorter growing season. We tested the vegetative and reproductive responses of Cassiope tetragona, an arctic shrub, to increased snow depth and delayed snowmelt using a snow fence experiment in Adventdalen, Norway (78 degrees 54'N, 18 degrees 01'E). We recorded seasonal shoot length, number of leaves, and capsules per shoot for three summers (2005-2007): two prior and one after the treatment began. Phenological events were recorded in 2007. The number of seeds per capsule was counted and seed germination was tested. Phenological development was significantly delayed behind fences, with lower shoot length, number of leaves, capsules, and seeds per shoot segment (16, 20, 54 and 11%, respectively) compared to controls, but there was no difference in these parameters between plots prior to fence establishment. Seed viability was unaffected by treatment. A delay in start of growing season due to delayed snowmelt decreased vegetative and reproductive performance of C. tetragona; earlier melt may therefore improve performance. This may lead to floral composition change in some high arctic locations.</t>
  </si>
  <si>
    <t>[Mallik, Azim U.; Wdowiak, Julia V.] Lakehead Univ, Dept Biol, Thunder Bay, ON P7B 5E1, Canada; [Cooper, Elisabeth J.] Univ Tromso, Dept Arctic &amp; Marine Biol, Fac Biosci Fisheries &amp; Econ, N-9037 Tromso, Norway</t>
  </si>
  <si>
    <t>Lakehead University; UiT The Arctic University of Tromso</t>
  </si>
  <si>
    <t>Mallik, AU (corresponding author), Lakehead Univ, Dept Biol, 955 Oliver Rd, Thunder Bay, ON P7B 5E1, Canada.</t>
  </si>
  <si>
    <t>amallik@lakeheadu.ca</t>
  </si>
  <si>
    <t>UNIS; University of the Arctic</t>
  </si>
  <si>
    <t>This experiment was started by Cooper whilst employed at The University Centre in Svalbard (UNIS), Longyearbyen, Norway, and it was funded by UNIS. We thank the North2North (University of the Arctic) program for a travel grant to Wdowiak to Svalbard to attend UNIS and conduct the fieldwork; to Brian Arnold, Elke Morgner, and Allison Bailey for field assistance; to the UNIS logistic department for safety training and equipment in the field; to Philipp Semenchuk for analysis of phenology data; and to Hu Lin for redrawing the figures. A sabbatical leave from Lakehead University provided Mallik the opportunity to work on this paper.</t>
  </si>
  <si>
    <t>10.1657/1938-4246-43.3.404</t>
  </si>
  <si>
    <t>WOS:000294318500009</t>
  </si>
  <si>
    <t>Lubis, E</t>
  </si>
  <si>
    <t>Lubis, E.</t>
  </si>
  <si>
    <t>Distribution of 137Cs In the Surface Soil of Serpong Nuclear Site</t>
  </si>
  <si>
    <t>ATOM INDONESIA</t>
  </si>
  <si>
    <t>Atmospheric release; Cs-137 concentration; Serpong nuclear site; Surface soil</t>
  </si>
  <si>
    <t>The distribution of Cs-137 in the surface soil layer of Serpong Nuclear Site (SNS) was investigated by field sampling. The Objectives of the investigation is finding the profile of Cs-137 distribution in the surface soil and the T-f value that can be used for estimation of radiation dose from livestock product-man pathways. The results indicates that the Cs-137 activity in surface soil of SNS is 0.80 +/- 0,29 Bq/kg, much lower than in the Antarctic. The contribution value of Cs-137 from the operation of G.A.Siwabessy Reactor until now is undetectable. The T-f of Cs-137 from surface soil to Panisetum Purpureum, Setaria Spha Celata and Imperata Cylindrica grasses were 0.71 +/- 0.14, 0.84 +/- 0.27 and 0.81 +/- 0.11 respectively. The results show that value of the transfer factor of Cs-137 varies between cultivated and uncultivated soil and also with the soils with thick humus. (C) 2011 Atom Indonesia. All rights reserved</t>
  </si>
  <si>
    <t>[Lubis, E.] Natl Nucl Energy Agcy, Ctr Radioact Waste Technol, Puspiptek Tangerang 15310, Indonesia</t>
  </si>
  <si>
    <t>National Research &amp; Innovation Agency of Indonesia (BRIN); National Nuclear Energy Agency of Indonesia (BATAN)</t>
  </si>
  <si>
    <t>Lubis, E (corresponding author), Natl Nucl Energy Agcy, Ctr Radioact Waste Technol, Puspiptek Tangerang 15310, Indonesia.</t>
  </si>
  <si>
    <t>erlub@batan.go.id</t>
  </si>
  <si>
    <t>NATL ATOMIC ENERGY AGENCY INDONESIA</t>
  </si>
  <si>
    <t>JAKARTA</t>
  </si>
  <si>
    <t>BADAN TENAGA ATOM NASIONAL, PUSPIPTEK SERPONG P O BOX 4274, JAKARTA, 00000, INDONESIA</t>
  </si>
  <si>
    <t>0126-1568</t>
  </si>
  <si>
    <t>2356-5322</t>
  </si>
  <si>
    <t>AT INDONES</t>
  </si>
  <si>
    <t>At. Indones.</t>
  </si>
  <si>
    <t>10.17146/aij.2011.63</t>
  </si>
  <si>
    <t>Nuclear Science &amp; Technology</t>
  </si>
  <si>
    <t>Emerging Sources Citation Index (ESCI)</t>
  </si>
  <si>
    <t>VC3IZ</t>
  </si>
  <si>
    <t>gold</t>
  </si>
  <si>
    <t>WOS:000433680400003</t>
  </si>
  <si>
    <t>Jones, BL; Jackson, K; James, A; Meldrum, D; Rose, MC</t>
  </si>
  <si>
    <t>Jones, Bryn L.; Jackson, Keith; James, Alistair; Meldrum, David; Rose, M. C.</t>
  </si>
  <si>
    <t>Powering sea-ice instrumentation via the Seebeck Effect</t>
  </si>
  <si>
    <t>COLD REGIONS SCIENCE AND TECHNOLOGY</t>
  </si>
  <si>
    <t>Sea-ice; Thermoelectric; Energy harvesting; Seebeck Effect; Heat-pipe; Solid-state</t>
  </si>
  <si>
    <t>This paper details the design of a novel thermoelectric energy harvesting device, capable of powering sea-ice instrumentation during the polar winter, when other sources of energy are either unavailable or unreliable. The current device employs no moving parts and exploits the Seebeck Effect and the temperature differential across the sea-ice interface to convert a flow of heat into electrical energy. Fundamental limitations are discussed and thermodynamic modelling is employed to ensure a reasonable device output. Test results from a prototype reveal typical voltage and power outputs in the region of 3 V and 200 mW, respectively, given an applied temperature differential of 30 degrees C. (C) 2011 Elsevier B.V. All rights reserved.</t>
  </si>
  <si>
    <t>[Jones, Bryn L.] Univ Sheffield, Dept Automat Control &amp; Syst Engn, Sheffield S1 3JD, S Yorkshire, England; [Jackson, Keith; James, Alistair; Meldrum, David] Scottish Marine Inst, Scottish Assoc Marine Sci, Oban PA37 1QA, Argyll, Scotland; [Rose, M. C.] British Antarctic Survey, Cambridge CB3 0ET, England</t>
  </si>
  <si>
    <t>University of Sheffield; UHI Millennium Institute; UK Research &amp; Innovation (UKRI); Natural Environment Research Council (NERC); NERC British Antarctic Survey</t>
  </si>
  <si>
    <t>Jones, BL (corresponding author), Univ Sheffield, Dept Automat Control &amp; Syst Engn, Sheffield S1 3JD, S Yorkshire, England.</t>
  </si>
  <si>
    <t>b.l.jones@shef.ac.uk; keith.jackson@sams.ac.uk; alastair.james@sams.ac.uk; david.meldrum@sams.ac.uk; mcr@bas.ac.uk</t>
  </si>
  <si>
    <t>Jones, Bryn/0000-0002-7465-1389</t>
  </si>
  <si>
    <t>NERC [NE/H002839/1]; NERC [NE/H002871/1, NE/H002839/1, dml010007, bas0100028] Funding Source: UKRI; Natural Environment Research Council [dml010007, NE/H002871/1, bas0100028, NE/H002839/1] Funding Source: researchfish</t>
  </si>
  <si>
    <t>NERC(UK Research &amp; Innovation (UKRI)Natural Environment Research Council (NERC)); NERC(UK Research &amp; Innovation (UKRI)Natural Environment Research Council (NERC)); Natural Environment Research Council(UK Research &amp; Innovation (UKRI)Natural Environment Research Council (NERC))</t>
  </si>
  <si>
    <t>This work was supported by NERC grant NE/H002839/1.</t>
  </si>
  <si>
    <t>0165-232X</t>
  </si>
  <si>
    <t>1872-7441</t>
  </si>
  <si>
    <t>COLD REG SCI TECHNOL</t>
  </si>
  <si>
    <t>Cold Reg. Sci. Tech.</t>
  </si>
  <si>
    <t>1-2</t>
  </si>
  <si>
    <t>10.1016/j.coldregions.2011.04.005</t>
  </si>
  <si>
    <t>Engineering, Environmental; Engineering, Civil; Geosciences, Multidisciplinary</t>
  </si>
  <si>
    <t>Engineering; Geology</t>
  </si>
  <si>
    <t>802ZP</t>
  </si>
  <si>
    <t>WOS:000293549800006</t>
  </si>
  <si>
    <t>Lee, JK; Kim, YJ; Park, KS; Shin, SC; Kim, HJ; Song, YH; Park, H</t>
  </si>
  <si>
    <t>Lee, Jong Kyu; Kim, Yeon Ju; Park, Kyoung Sun; Shin, Seung Chul; Kim, Hak Jun; Song, Young Hwan; Park, Hyun</t>
  </si>
  <si>
    <t>Molecular and comparative analyses of type IV antifreeze proteins (AFPIVs) from two Antarctic fishes, Pleuragramma antarcticum and Notothenia coriiceps</t>
  </si>
  <si>
    <t>COMPARATIVE BIOCHEMISTRY AND PHYSIOLOGY B-BIOCHEMISTRY &amp; MOLECULAR BIOLOGY</t>
  </si>
  <si>
    <t>Antifreeze protein; Apolipoprotein; Helix bundle; Ice crystal; Thermal hysteresis</t>
  </si>
  <si>
    <t>APOLIPOPROTEIN-A-I; EXPRESSION PATTERN; MULTIGENE FAMILY; LONGHORN SCULPIN; CDNA MICROARRAY; EST DATABASE; SEA BREAM; GENE; EMBRYOGENESIS; SEQUENCES</t>
  </si>
  <si>
    <t>Antifreeze protein type IV (AFPIV) cDNAs and genomic DNAs from the Antarctic fishes Pleuragramma antarcticum (Pa) and Notothenia coriiceps (Nc) were cloned and sequenced, respectively. Each cDNA encoded 128 amino acids, with 94% similarity between the two and 83% similarity with AFPIV of the longhorn sculpin. Myoxocephalus octodecemspinosus. The genome structures of both genes consisted of four exons and three introns, and were highly conserved in terms of sequences and positions. In contrast, the third intron of PaAFPIV had additional nucleotides with inverted repeats at each end, which appeared to be a MITE-like transposable element. Comparative analysis revealed that fish AFPIVs were widely distributed across teleost fishes, well conserved in their intron positions, but more variable in intron sequences and sizes. However, the intron sequences of two Antarctic fishes were highly conserved, indicating recent radiation of notothenioids in the evolutionary lineage. The recombinant PaAFPIV and NcAFPIV were expressed in E. coli, and examined antifreeze activity. PaAFPIV and NcAFPIV gave ice crystals with star-shaped morphology, and thermal hysteresis (TH) values were 0.08 degrees C at the concentration of 0.5 mg/ml. (C) 2011 Elsevier Inc. All rights reserved.</t>
  </si>
  <si>
    <t>[Lee, Jong Kyu; Kim, Yeon Ju; Park, Kyoung Sun; Shin, Seung Chul; Kim, Hak Jun; Park, Hyun] Korea Polar Res Inst, Inchon 406840, South Korea; [Park, Kyoung Sun; Kim, Hak Jun; Park, Hyun] Univ Sci &amp; Technol, Taejon 305333, South Korea; [Song, Young Hwan] Pukyong Natl Univ, Dept Microbiol, Pusan 608737, South Korea</t>
  </si>
  <si>
    <t>Korea Polar Research Institute (KOPRI); Korea Institute of Ocean Science &amp; Technology (KIOST); Pukyong National University</t>
  </si>
  <si>
    <t>Park, H (corresponding author), Korea Polar Res Inst, Songdo Dong 7-50, Inchon 406840, South Korea.</t>
  </si>
  <si>
    <t>hpark@kopri.re.kr</t>
  </si>
  <si>
    <t>Park, Hyun/0000-0002-8055-2010</t>
  </si>
  <si>
    <t>KOPRI [PE11020, PE11100]; Korea Research Council of Fundamental Science and Technology (KRCF) [PG11010]</t>
  </si>
  <si>
    <t>KOPRI(Korea Polar Research Institute of Marine Research Placement (KOPRI)); Korea Research Council of Fundamental Science and Technology (KRCF)</t>
  </si>
  <si>
    <t>This work was supported by KOPRI grants PE11020 and PE11100, and Korea Research Council of Fundamental Science and Technology (KRCF) grant PG11010.</t>
  </si>
  <si>
    <t>1096-4959</t>
  </si>
  <si>
    <t>1879-1107</t>
  </si>
  <si>
    <t>COMP BIOCHEM PHYS B</t>
  </si>
  <si>
    <t>Comp. Biochem. Physiol. B-Biochem. Mol. Biol.</t>
  </si>
  <si>
    <t>10.1016/j.cbpb.2011.04.006</t>
  </si>
  <si>
    <t>Biochemistry &amp; Molecular Biology; Zoology</t>
  </si>
  <si>
    <t>791KM</t>
  </si>
  <si>
    <t>WOS:000292664100002</t>
  </si>
  <si>
    <t>Kim, EH; Jeong, HJ; Lee, YK; Moon, EY; Cho, JC; Lee, HK; Hong, SG</t>
  </si>
  <si>
    <t>Kim, Eun Hye; Jeong, Hyun-Jeong; Lee, Yoo Kyoung; Moon, Eun Young; Cho, Jang-Cheon; Lee, Hong Kum; Hong, Soon Gyu</t>
  </si>
  <si>
    <t>Actimicrobium antarcticum gen. nov., sp nov., of the Family Oxalobacteraceae, Isolated from Antarctic Coastal Seawater</t>
  </si>
  <si>
    <t>CURRENT MICROBIOLOGY</t>
  </si>
  <si>
    <t>A Gram-negative, non-motile, catalase- and oxidase- positive, strictly aerobic, and short rod-shaped bacterium that was designated strain KOPRI 25157(T) was isolated from coastal seawater sample in Antarctica. The temperature and pH ranges for growth on R2A agar were 10-20A degrees C, and 5.0-10.0, respectively. Phylogenetic analyses of the 16S rRNA gene sequence of strain KOPRI 25157(T) showed it to belong to the family Oxalobacteraceae of the class Betaproteobacteria, and it formed a distinct clade from other recognized members of the family. DNA G + C content was 65.9 mol%. Major ubiquinone was Q-8. Predominant cellular fatty acids were C-16:1 omega 7c/15 iso 2OH (56.4%) and C-16:1 (30.5%). Major polar lipids were phosphatidylglycerol, phosphatidylethanolamine, and unknown lipid. On the basis of these data, it is proposed that strain KOPRI 25157(T) is the representative of a novel genus, for which the name Actimicrobium gen. nov. is proposed in the family Oxalobacteraceae. The type strain for Actimicrobium antarcticum sp. nov. is KOPRI 25157(T) (=JCM 16673(T)=KCTC 23040(T)).</t>
  </si>
  <si>
    <t>[Kim, Eun Hye; Jeong, Hyun-Jeong; Lee, Yoo Kyoung; Lee, Hong Kum; Hong, Soon Gyu] Korea Polar Res Inst, Div Polar Life Sci, Inchon 406840, South Korea; [Kim, Eun Hye; Cho, Jang-Cheon] Inha Univ, Div Biol &amp; Ocean Sci, Inchon 402751, South Korea; [Moon, Eun Young] Seoul Natl Univ, Inst Microbiol, Seoul 151742, South Korea</t>
  </si>
  <si>
    <t>Korea Institute of Ocean Science &amp; Technology (KIOST); Korea Polar Research Institute (KOPRI); Inha University; Seoul National University (SNU)</t>
  </si>
  <si>
    <t>Hong, SG (corresponding author), Korea Polar Res Inst, Div Polar Life Sci, Get Pearl Tower,12 Gaetbeol Ro, Inchon 406840, South Korea.</t>
  </si>
  <si>
    <t>polypore@kopri.re.kr</t>
  </si>
  <si>
    <t>Cho, Jang-Cheon/B-4676-2013</t>
  </si>
  <si>
    <t>Cho, Jang-Cheon/0000-0002-0666-3791</t>
  </si>
  <si>
    <t>Korea Polar Research Institute [PE10050]</t>
  </si>
  <si>
    <t>Korea Polar Research Institute(Korea Polar Research Institute of Marine Research Placement (KOPRI))</t>
  </si>
  <si>
    <t>We are grateful to Dr. J. P. Euzeby for help with nomenclature. This study was supported by Korea Polar Research Institute (Grant PE10050).</t>
  </si>
  <si>
    <t>0343-8651</t>
  </si>
  <si>
    <t>1432-0991</t>
  </si>
  <si>
    <t>CURR MICROBIOL</t>
  </si>
  <si>
    <t>Curr. Microbiol.</t>
  </si>
  <si>
    <t>10.1007/s00284-011-9962-9</t>
  </si>
  <si>
    <t>790AW</t>
  </si>
  <si>
    <t>WOS:000292561900017</t>
  </si>
  <si>
    <t>Årthun, M; Ingvaldsen, RB; Smedsrud, LH; Schrum, C</t>
  </si>
  <si>
    <t>Arthun, M.; Ingvaldsen, R. B.; Smedsrud, L. H.; Schrum, C.</t>
  </si>
  <si>
    <t>Dense water formation and circulation in the Barents Sea</t>
  </si>
  <si>
    <t>DEEP-SEA RESEARCH PART I-OCEANOGRAPHIC RESEARCH PAPERS</t>
  </si>
  <si>
    <t>Barents sea; Dense water; Cold Deep Water; HAMSOM; Ocean modeling; Water mass transformation; Sea-ice</t>
  </si>
  <si>
    <t>ARCTIC-OCEAN; SHELF POLYNYAS; BOTTOM WATER; NORTH-SEA; MODEL; HEAT; ICE; HALOCLINE; SURFACE; MASS</t>
  </si>
  <si>
    <t>Dense water masses from Arctic shelf seas are an important part of the Arctic thermohaline system. We present previously unpublished observations from shallow banks in the Barents Sea, which reveal large interannual variability in dense water temperature and salinity. To examine the formation and circulation of dense water, and the processes governing interannual variability, a regional coupled ice-ocean model is applied to the Barents Sea for the period 1948-2007. Volume and characteristics of dense water are investigated with respect to the initial autumn surface salinity, atmospheric cooling, and sea-ice growth (salt flux). In the southern Barents Sea (Spitsbergen Bank and Central Bank) dense water formation is associated with advection of Atlantic Water into the Barents Sea and corresponding variations in initial salinities and heat loss at the air-sea interface. The characteristics of the dense water on the Spitsbergen Bank and Central Bank are thus determined by the regional climate of the Barents Sea. Preconditioning is also important to dense water variability on the northern banks, and can be related to local ice melt (Great Bank) and properties of the Novaya Zemlya Coastal Current (Novaya Zemlya Bank). The dense water mainly exits the Barents Sea between Frans Josef Land and Novaya Zemlya, where it constitutes 63% (1.2 Sv) of the net outflow and has an average density of 1028.07 kg m(-3). An amount of 0.4 Sv enters the Arctic Ocean between Svalbard and Frans Josef Land. Covering 9% of the ocean area, the banks contribute with approximately 1/3 of the exported dense water. Formation on the banks is more important when the Barents Sea is in a cold state (less Atlantic Water inflow, more sea-ice). During warm periods with high throughflow more dense water is produced broadly over the shelf by general cooling of the northward flowing Atlantic Water. However, our results indicate that during extremely warm periods (1950s and late 2000s) the total export of dense water to the Arctic Ocean becomes strongly reduced. (C) 2011 Elsevier Ltd. All rights reserved.</t>
  </si>
  <si>
    <t>[Arthun, M.; Schrum, C.] Univ Bergen, Inst Geophys, Bergen, Norway; [Arthun, M.; Ingvaldsen, R. B.; Smedsrud, L. H.; Schrum, C.] Bjerknes Ctr Climate Res, Bergen, Norway; [Ingvaldsen, R. B.] Inst Marine Res, N-5024 Bergen, Norway; [Smedsrud, L. H.] Uni Res AS, Bergen, Norway</t>
  </si>
  <si>
    <t>University of Bergen; Bjerknes Centre for Climate Research; Institute of Marine Research - Norway; University of Bergen</t>
  </si>
  <si>
    <t>Årthun, M (corresponding author), British Antarctic Survey, Nat Environm Res Council, Cambridge CB3 0ET, England.</t>
  </si>
  <si>
    <t>marun@bas.ac.uk; randi.ingvaldsen@imr.no; Lars.Smedsrud@uni.no; Corinna.Schrum@gfi.uib.no</t>
  </si>
  <si>
    <t>Schrum, Corinna/JVZ-1967-2024; Schrum, Corinna/KAM-1374-2024</t>
  </si>
  <si>
    <t>Schrum, Corinna/0000-0003-3251-4551; Arthun, Marius/0000-0003-4500-1691; Smedsrud, Lars H./0000-0001-7391-0740</t>
  </si>
  <si>
    <t>IPY</t>
  </si>
  <si>
    <t>This work has been funded by the IPY project Bipolar Atlantic Thermohaline Circulation (BIAC). We would like to thank the reviewers for valuable comments and good suggestions. J. Even. O. Nilsen is acknowledged for useful comments on an early version of the manuscript and for providing the ICES/GFI-UIB hydrographic dataset. We thank Anne Britt Sando and Kristin Richter for providing the MICOM data, and Evgeniy Yakushev for providing the latest version of the advection algorithm. This is publication no. A344 from the Bjerknes Centre for Climate Research.</t>
  </si>
  <si>
    <t>0967-0637</t>
  </si>
  <si>
    <t>1879-0119</t>
  </si>
  <si>
    <t>DEEP-SEA RES PT I</t>
  </si>
  <si>
    <t>Deep-Sea Res. Part I-Oceanogr. Res. Pap.</t>
  </si>
  <si>
    <t>10.1016/j.dsr.2011.06.001</t>
  </si>
  <si>
    <t>823IJ</t>
  </si>
  <si>
    <t>WOS:000295115400001</t>
  </si>
  <si>
    <t>Bertler, NAN; Mayewski, PA; Carter, L</t>
  </si>
  <si>
    <t>Bertler, N. A. N.; Mayewski, P. A.; Carter, L.</t>
  </si>
  <si>
    <t>Cold conditions in Antarctica during the Little Ice Age - Implications for abrupt climate change mechanisms</t>
  </si>
  <si>
    <t>EARTH AND PLANETARY SCIENCE LETTERS</t>
  </si>
  <si>
    <t>Little Ice Age; Mediaeval Warm Period; abrupt climate change; sea-saw mechanism; Antarctica; Southern Ocean</t>
  </si>
  <si>
    <t>MCMURDO DRY VALLEYS; DEUTERIUM EXCESS SIGNAL; MEDIEVAL WARM PERIOD; SOUTHERN-OCEAN; ATMOSPHERIC CIRCULATION; PAST MILLENNIUM; BOTTOM WATER; SEA REGION; LAW DOME; CORE</t>
  </si>
  <si>
    <t>The Little Ice Age (LIA) is one of the most prominent climate shifts in the past 5000 yrs. It has been suggested that the LIA might be the most recent of the Dansgaard-Oeschger events, which are better known as abrupt, large scale climate oscillations during the last glacial period. If the case, then according to Broecker (2000a, 2000b) Antarctica should have warmed during the LIA, when the Northern Hemisphere was cold. Here we present new data from the Ross Sea, Antarctica, that indicates surface temperatures were similar to 2 degrees C colder during the LIA, with colder sea surface temperatures in the Southern Ocean and/or increased sea-ice extent, stronger katabatic winds, and decreased snow accumulation. Whilst we find there was large spatial and temporal variability, overall Antarctica was cooler and stormier during the LIA. Although temperatures have warmed since the termination of the LIA, atmospheric circulation strength has remained at the same, elevated level. We conclude, that the LIA was either caused by alternative forcings, or that the sea-saw mechanism operates differently during warm periods. (C) 2011 Elsevier B.V. All rights reserved.</t>
  </si>
  <si>
    <t>[Bertler, N. A. N.] Victoria Univ, Joint Antarctic Res Inst, Wellington 6012, New Zealand; [Mayewski, P. A.] Univ Maine, Climate Change Inst, Orono, ME 04469 USA; [Carter, L.] Victoria Univ, Antarctic Res Ctr, Wellington 6012, New Zealand; [Bertler, N. A. N.] GNS Sci, Wellington 6012, New Zealand</t>
  </si>
  <si>
    <t>Victoria University Wellington; University of Maine System; University of Maine Orono; Victoria University Wellington; GNS Science - New Zealand</t>
  </si>
  <si>
    <t>Bertler, NAN (corresponding author), Victoria Univ, Joint Antarctic Res Inst, POB 600, Wellington 6012, New Zealand.</t>
  </si>
  <si>
    <t>Nancy.Bertler@vuw.ac.nz</t>
  </si>
  <si>
    <t>Mayewski, Paul Andrew/HRD-6969-2023; Bertler, Nancy A N/F-3967-2011</t>
  </si>
  <si>
    <t>Bertler, Nancy/0000-0001-6028-4891</t>
  </si>
  <si>
    <t>Foundation of Research Science and Technology [VICX0704, CO5X0202, CO5X0902]; Office of Polar Programs (OPP); Directorate For Geosciences [1042883] Funding Source: National Science Foundation; Office of Polar Programs (OPP); Directorate For Geosciences [0837883] Funding Source: National Science Foundation</t>
  </si>
  <si>
    <t>Foundation of Research Science and Technology; Office of Polar Programs (OPP); Directorate For Geosciences(National Science Foundation (NSF)NSF - Directorate for Geosciences (GEO)); Office of Polar Programs (OPP); Directorate For Geosciences(National Science Foundation (NSF)NSF - Directorate for Geosciences (GEO))</t>
  </si>
  <si>
    <t>We would like to thank Antarctica New Zealand and Scott Base for the logistical support. We are grateful for useful suggestions and comments by two anonymous reviewers. This project was funded the Foundation of Research Science and Technology via contracts awarded to Victoria University of Wellington and GNS Science (contracts VICX0704, CO5X0202, and CO5X0902). Monthly mean NCEP re-analysis time series was obtained from the NOAA, Earth System Research Laboratory (http://www.esrl.noaa.gov/psd/cgi-bin/data/timeseries/timeseriesl.pl), hourly temperature data for Scott Base were obtained from the National Institute for Water and Atmospheric Research (http://cliflo.niwa.co.nz/index.html), and the monthly mean temperature data for Lake Vida were obtained from the Long-Term Ecological Research Programme (http://huey.colorado.edu/LTER/datasets/meteorology/vida.html).</t>
  </si>
  <si>
    <t>0012-821X</t>
  </si>
  <si>
    <t>1385-013X</t>
  </si>
  <si>
    <t>EARTH PLANET SC LETT</t>
  </si>
  <si>
    <t>Earth Planet. Sci. Lett.</t>
  </si>
  <si>
    <t>10.1016/j.epsl.2011.05.021</t>
  </si>
  <si>
    <t>802CE</t>
  </si>
  <si>
    <t>WOS:000293486100005</t>
  </si>
  <si>
    <t>Griffiths, HJ; Arango, CP; Munilla, T; McInnes, SJ</t>
  </si>
  <si>
    <t>Griffiths, Huw J.; Arango, Claudia P.; Munilla, Tomas; McInnes, Sandra J.</t>
  </si>
  <si>
    <t>Biodiversity and biogeography of Southern Ocean pycnogonids</t>
  </si>
  <si>
    <t>ECOGRAPHY</t>
  </si>
  <si>
    <t>ANTARCTIC PENINSULA; MITOCHONDRIAL LINEAGES; CRYPTIC SPECIATION; SEA; DIVERSITY; PATTERNS; BARRIERS; ISOPODA; FAUNA</t>
  </si>
  <si>
    <t>The pycnogonids of the Southern Ocean have been studied for almost two centuries and have played a key role in shaping previous biogeographic regions for the Antarctic benthos. The aim of this study was to assess the biogeographic patterns derived from the most current sample records of pycnogonids from the Southern Ocean and neighbouring areas. 332 species of pycnogonids from 1837 sample locations were analysed using 279 3 degrees by 3 degrees grid cells. We investigated richness patterns and the effect of sampling intensity at both local and regional scales, and used multivariate analysis of distribution patterns and species assemblages to define biogeographic trends. These analyses identified a distinct and isolated Antarctic pycnogonid shelf fauna which was different to that of the deep-sea around Antarctica, the Sub-Antarctic islands, South America or New Zealand. Within the Antarctic, we found the South Shetland Islands to be the most speciose region and a probable center of radiation for the pycnogonids. No latitudinal gradients in species richness were detected. We note that the distribution patterns observed are based upon classical taxonomy and discuss the potential for changes to these patterns with new insights from molecular techniques. We conclude that, even with the potential for cryptic species, the large-scale biogeographic trends observed in the pycnogonids should hold true.</t>
  </si>
  <si>
    <t>[Griffiths, Huw J.; McInnes, Sandra J.] British Antarctic Survey, Cambridge CB3 0ET, England; [Arango, Claudia P.] Queensland Museum, Biodivers Program, Brisbane, Qld 4101, Australia; [Munilla, Tomas] Univ Autonoma Barcelona, Unitat Zool, Dept Biol Anim, ES-08193 Barcelona, Spain</t>
  </si>
  <si>
    <t>UK Research &amp; Innovation (UKRI); Natural Environment Research Council (NERC); NERC British Antarctic Survey; Queensland Museum; Autonomous University of Barcelona</t>
  </si>
  <si>
    <t>Griffiths, HJ (corresponding author), British Antarctic Survey, Madingley Rd, Cambridge CB3 0ET, England.</t>
  </si>
  <si>
    <t>hjg@bas.ac.uk</t>
  </si>
  <si>
    <t>McInnes, Sandra/AAN-4773-2020; Griffiths, Huw J/D-4234-2009; Soler-Membrives, Anna/L-3169-2014; /A-5531-2008</t>
  </si>
  <si>
    <t>McInnes, Sandra/0000-0003-3403-9379; Griffiths, Huw J/0000-0003-1764-223X; Soler-Membrives, Anna/0000-0002-6543-8367; /0000-0003-1098-830X</t>
  </si>
  <si>
    <t>Natural Environmental Research Council; Australian Antarctic Science Grants [AA3010]; Census of Antarctic Marine Life [34]; Spanish Council of Scientific and Technical Research [CGL 2004 01856/ANT]; NERC [bas0100026] Funding Source: UKRI; Natural Environment Research Council [bas0100026] Funding Source: researchfish</t>
  </si>
  <si>
    <t>Natural Environmental Research Council(UK Research &amp; Innovation (UKRI)Natural Environment Research Council (NERC)); Australian Antarctic Science Grants; Census of Antarctic Marine Life; Spanish Council of Scientific and Technical Research; NERC(UK Research &amp; Innovation (UKRI)Natural Environment Research Council (NERC)); Natural Environment Research Council(UK Research &amp; Innovation (UKRI)Natural Environment Research Council (NERC))</t>
  </si>
  <si>
    <t>This study is part of the British Antarctic Survey Polar Science for Planet Earth programme. It was funded by the Natural Environmental Research Council (HJG, SJM), the Australian Antarctic Science Grants project AA3010 and Census of Antarctic Marine Life grant no. 34 (CPA) and the CGL 2004 01856/ANT project of the Spanish Council of Scientific and Technical Research (TM). The authors would like to thank Katrin Linse and David Barnes for their constructive comments which helped to improve the manuscript. We would also like to thank all the researchers who published or contributed unpublished data used to create the database. We acknowledge the constructive advice from Florian Leese and Wolfgang Wagele. This database will be freely available online through the SCAR-MarBIN portal: &lt; www.scarmarbin.be &gt;.</t>
  </si>
  <si>
    <t>0906-7590</t>
  </si>
  <si>
    <t>1600-0587</t>
  </si>
  <si>
    <t>Ecography</t>
  </si>
  <si>
    <t>10.1111/j.1600-0587.2010.06612.x</t>
  </si>
  <si>
    <t>796DZ</t>
  </si>
  <si>
    <t>WOS:000293031700009</t>
  </si>
  <si>
    <t>Piette, F; Struvay, C; Feller, G</t>
  </si>
  <si>
    <t>Piette, Florence; Struvay, Caroline; Feller, Georges</t>
  </si>
  <si>
    <t>The protein folding challenge in psychrophiles: facts and current issues</t>
  </si>
  <si>
    <t>SIBERIAN PERMAFROST BACTERIUM; PSYCHROBACTER-ARCTICUS 273-4; COLD ADAPTATION; PROTEOMIC ANALYSIS; GENOME SEQUENCE; METHANOCOCCOIDES-BURTONII; ANTARCTIC ARCHAEON; LOW-TEMPERATURE; TRIGGER FACTOR; THERMAL ADAPTATION</t>
  </si>
  <si>
    <t>The protein folding process in psychrophiles is impaired by low temperature, which exerts several physicochemical constraints, such as a decrease in the folding rate, reduced molecular diffusion rates and increased solvent viscosity, which interfere with conformational sampling. Furthermore, folding assistance is required at various folding steps according to the protein size. Recent studies in the field have provided contrasting and sometimes contradictory results, although protein folding generally appears as a rate-limiting step for the growth of psychrophiles. It is proposed here that these discrepancies reflect the diverse adaptive strategies adopted by psychrophiles in order to allow efficient protein folding at low temperature. Cold adaptations apparently superimpose on pre-existing cellular organization, resulting in different adaptive strategies. In addition, microbial lifestyle further modulates the properties of the chaperone machinery, which possibly explains the occurrence of cold-adapted and non-cold-adapted protein chaperones in psychrophiles.</t>
  </si>
  <si>
    <t>[Piette, Florence; Struvay, Caroline; Feller, Georges] Univ Liege, Inst Chem B6A, Ctr Prot Engn, Biochem Lab, B-4000 Liege, Belgium</t>
  </si>
  <si>
    <t>University of Liege</t>
  </si>
  <si>
    <t>Feller, G (corresponding author), Univ Liege, Inst Chem B6A, Ctr Prot Engn, Biochem Lab, B-4000 Liege, Belgium.</t>
  </si>
  <si>
    <t>gfeller@ulg.ac.be</t>
  </si>
  <si>
    <t>Fornaro, Rosario R/H-4555-2016</t>
  </si>
  <si>
    <t>F.R.S.-FNRS (Fonds National de la Recherche Scientifique, Belgium, FRFC); European Space Agency; Institut Polaire Francais Paul Emile Victor</t>
  </si>
  <si>
    <t>F.R.S.-FNRS (Fonds National de la Recherche Scientifique, Belgium, FRFC)(Fonds de la Recherche Scientifique - FNRS); European Space Agency(European Space Agency); Institut Polaire Francais Paul Emile Victor</t>
  </si>
  <si>
    <t>This work was supported by F.R.S.-FNRS (Fonds National de la Recherche Scientifique, Belgium, FRFC grants to G. F.). F. P. was supported by the European Space Agency (Exanam-Prodex Experiment Arrangement). The Institut Polaire Francais Paul Emile Victor is also acknowledged for support at early stages of the work. F. P. was a FRIA research fellow and C. S. is a F.R.S.-FNRS research fellow.</t>
  </si>
  <si>
    <t>10.1111/j.1462-2920.2011.02436.x</t>
  </si>
  <si>
    <t>WOS:000294075600003</t>
  </si>
  <si>
    <t>Yu, ZC</t>
  </si>
  <si>
    <t>Yu, Zicheng</t>
  </si>
  <si>
    <t>Holocene carbon flux histories of the world's peatlands: Global carbon-cycle implications</t>
  </si>
  <si>
    <t>carbon cycle; early anthropogenic hypothesis; Holocene; long-term C fluxes; net C balance (NCB); peatlands</t>
  </si>
  <si>
    <t>NORTHERN PEATLANDS; ATMOSPHERIC CH4; TAYLOR-DOME; SOIL CARBON; CLIMATE; DYNAMICS; METHANE; CO2; ACCUMULATION; SENSITIVITY</t>
  </si>
  <si>
    <t>This paper proposes a novel approach using basal peat ages and carbon (C) accumulation profiles from the world's major peatland regions to decompose C flux terms from time-dependent C pool data observed from peat cores. Our peat-data syntheses show that the total peat C pools are 547 GtC, 50 GtC, and 15 GtC for northern, tropical and southern peatlands, respectively. The modeled net C balance (NCB) has a mean value of 41.8 TgC/yr for northern peatlands during the Holocene, ranging from 83.1 TgC/yr in the early Holocene around 9 ka (1 ka = 1000 cal. yr BP) to 21.5 TgC/yr around 2 ka, a temporal pattern mostly owing to the delayed effect of long-term decay of previously accumulated peat C. NCB from tropical and southern peatlands represents much smaller terms, mostly less than 10 TgC/yr. Northern peatlands represent about 90% of global total peatland C pool of 612 GtC and &gt; 90% of global peatland NCB. Our bottom-up global peatland synthesis indicates a decrease in rates of peatland area expansion and reduced CH4 emissions during the late Holocene, thus lending support for an anthropogenic source of late-Holocene CH4 rise. The C balance analysis of global peatland data indicates a cumulative net C uptake of 272 GtC in the early Holocene (11-7 ka), 151 GtC at 7-4 ka, and 116 GtC after 4 ka. The large cumulative fluxes and significant variations throughout the Holocene could greatly contribute to the observed atmospheric CO2 and delta 13CO2 patterns derived from Antarctic ice cores. Thus, global mass-balance calculations or climate-carbon cycle simulations have to consider these large net C uptake terms from global peatlands and their variations over the Holocene.</t>
  </si>
  <si>
    <t>Lehigh Univ, Dept Earth &amp; Environm Sci, Bethlehem, PA 18015 USA</t>
  </si>
  <si>
    <t>Lehigh University</t>
  </si>
  <si>
    <t>Yu, ZC (corresponding author), Lehigh Univ, Dept Earth &amp; Environm Sci, 1 W Packer Ave, Bethlehem, PA 18015 USA.</t>
  </si>
  <si>
    <t>ziy2@lehigh.edu</t>
  </si>
  <si>
    <t>Yu, Zicheng/D-4108-2012</t>
  </si>
  <si>
    <t>Yu, Zicheng/0000-0003-2358-2712</t>
  </si>
  <si>
    <t>US National Science Foundation - Carbon; Water in the Earth System Program [ATM 0628455]</t>
  </si>
  <si>
    <t>US National Science Foundation - Carbon; Water in the Earth System Program</t>
  </si>
  <si>
    <t>I thank Dave Beilman, Steph Hunt, Miriam Jones, and Julie Loisel for collaborations on global and regional peat data synthesis; Steve Frolking, Julie Loisel, and Bill Ruddiman for comments on the manuscript; two anonymous reviewers for criticisms and suggestions; and Nigel Roulet and Bill Ruddiman for encouragement. I acknowledge that Bill Ruddiman's invitation motivated me to carry out the analysis presented in this paper and that discussion with him helped improve and clarify the presentation. I also acknowledge the stimulated discussion at a QUEST workshop in Dartington, England in October 2009. This work was supported by US National Science Foundation - Carbon and Water in the Earth System Program (ATM 0628455).</t>
  </si>
  <si>
    <t>10.1177/0959683610386982</t>
  </si>
  <si>
    <t>WOS:000293265900006</t>
  </si>
  <si>
    <t>Bajerski, F; Ganzert, L; Mangelsdorf, K; Lipski, A; Wagner, D</t>
  </si>
  <si>
    <t>Bajerski, Felizitas; Ganzert, Lars; Mangelsdorf, Kai; Lipski, Andre; Wagner, Dirk</t>
  </si>
  <si>
    <t>Cryobacterium arcticum sp nova, a psychrotolerant bacterium from an Arctic soil</t>
  </si>
  <si>
    <t>SEQUENCE DATA; AMINO-ACIDS; EXTRACTION; DIVERSITY; SEDIMENTS; TREES; ARB</t>
  </si>
  <si>
    <t>A psychrotolerant, Gram-stain-positive, yellow-pigmented, aerobic rod, designated SKI T, was isolated from a soil sample collected from Store Koldewey, north-east Greenland. Cells were catalase- and methyl red-positive, produced H(2)S and produced acid from glucose, mannitol and salicin. Strain SK1(T) was able to grow between -6 and 28 degrees C, with an optimum at 20 degrees C. The isolate contained 2,4-diaminobutyrate, glycine, alanine and glutamic acid in the cell wall and the major menaquinones were MK-10 and MK-11. Identified polar lipids were phosphatidylglycerol and diphosphatidylglycerol. The major fatty acids were anteiso-C(15:0) (53.5%), anteiso-C(17:0) (17.0%) and C(18:0) (12.1%). The genomic DNA G+C content was 67.8 mol%. Strain SK1(T) showed the highest 16S rRNA gene sequence similarity with Cryobacterium psychrotolerans 0549(T) (97.6%) and Cryobacterium roopkundense RuGl7(T) (96.8%). Considering morphological, physiological, biochemical and chemotaxonomic characters and phylogenetic analysis, strain SK1(T) represents a novel species in the genus Cryobacterium, for which the name Cryobacterium arcticum sp. nov. is proposed. The type strain is SK1(T) (=DSM 22823(T) =NCCB 100316(T)).</t>
  </si>
  <si>
    <t>[Bajerski, Felizitas; Ganzert, Lars; Wagner, Dirk] Alfred Wegener Inst Polar &amp; Marine Res, Res Dept Potsdam, D-14473 Potsdam, Germany; [Mangelsdorf, Kai] GFZ German Res Ctr Geosci, Helmholtz Ctr Potsdam, D-14473 Potsdam, Germany; [Lipski, Andre] Univ Bonn, Inst Nutr &amp; Food Sci, Dept Food Microbiol &amp; Hyg, Sek 4 3, D-53115 Bonn, Germany</t>
  </si>
  <si>
    <t>Bajerski, F (corresponding author), Alfred Wegener Inst Polar &amp; Marine Res, Res Dept Potsdam, Telegrafenberg A45, D-14473 Potsdam, Germany.</t>
  </si>
  <si>
    <t>felizitas.bajerski@awi.de</t>
  </si>
  <si>
    <t>Wagner, Dirk/C-3932-2012; Ganzert, Lars/AAT-1992-2021</t>
  </si>
  <si>
    <t>Wagner, Dirk/0000-0001-5064-497X; Ganzert, Lars/0000-0001-9595-1041</t>
  </si>
  <si>
    <t>Deutsche Forschungsgemeinschaft (DFG) [WA 1554/4]</t>
  </si>
  <si>
    <t>Our special gratitude goes to Bernd Wagner (University of Cologne) for his leadership of the geological and biological studies on Store Koldewey and on Geographical Society O during the expedition ARKTIS-XIX/4 2003 and Svenja Kobabe for successful and enjoyable fieldwork. This work was supported by the Deutsche Forschungsgemeinschaft (DFG) in the framework of the priority programme 'Antarctic Research with Comparative Investigations in Arctic Ice Areas' by a grant to D. W. (WA 1554/4).</t>
  </si>
  <si>
    <t>10.1099/ijs.0.027128-0</t>
  </si>
  <si>
    <t>WOS:000294514500012</t>
  </si>
  <si>
    <t>Wolff, E; Barbante, C; Goosse, H; Kiefer, T; Rousseau, DD</t>
  </si>
  <si>
    <t>Wolff, Eric; Barbante, Carlo; Goosse, Hugues; Kiefer, Thorsten; Rousseau, Denis-Didier</t>
  </si>
  <si>
    <t>Clarifications about the concept and review process of Climate of the Past</t>
  </si>
  <si>
    <t>[Goosse, Hugues] Catholic Univ Louvain, Ctr Rech Terre &amp; Climat Georges Lemaitre, Earth &amp; Life Inst, B-1348 Louvain, Belgium; [Wolff, Eric] British Antarctic Survey, Cambridge CB3 0ET, England; [Barbante, Carlo] Univ Venice, Dept Environm Sci Informat &amp; Stat, I-30123 Venice, Italy; [Kiefer, Thorsten] PAGES Int Project Off, CH-3122 Bern, Switzerland; [Rousseau, Denis-Didier] CNRS ENS, Meteorol Dynam Lab, F-75231 Paris 5, France</t>
  </si>
  <si>
    <t>Universite Catholique Louvain; UK Research &amp; Innovation (UKRI); Natural Environment Research Council (NERC); NERC British Antarctic Survey; Universita Ca Foscari Venezia; Centre National de la Recherche Scientifique (CNRS); Universite PSL; Ecole Normale Superieure (ENS); Sorbonne Universite</t>
  </si>
  <si>
    <t>Goosse, H (corresponding author), Catholic Univ Louvain, Ctr Rech Terre &amp; Climat Georges Lemaitre, Earth &amp; Life Inst, 2 Chemin Cyclotron, B-1348 Louvain, Belgium.</t>
  </si>
  <si>
    <t>hugues.goosse@uclouvain.be</t>
  </si>
  <si>
    <t>Wolff, Eric W/D-7925-2014; Rousseau, Denis-Didier/I-6892-2012; Barbante, Carlo/B-3195-2011</t>
  </si>
  <si>
    <t>Wolff, Eric W/0000-0002-5914-8531; Rousseau, Denis-Didier/0000-0003-2475-3405; Barbante, Carlo/0000-0003-4177-2288</t>
  </si>
  <si>
    <t>Natural Environment Research Council [bas0100024] Funding Source: researchfish; NERC [bas0100024] Funding Source: UKRI</t>
  </si>
  <si>
    <t>10.1016/j.jastp.2011.06.013</t>
  </si>
  <si>
    <t>WOS:000294591800050</t>
  </si>
  <si>
    <t>Lee, MM; Nurser, AJG; Stevens, I; Sallée, JB</t>
  </si>
  <si>
    <t>Lee, Mei-Man; Nurser, A. J. George; Stevens, I.; Sallee, Jean-Baptiste</t>
  </si>
  <si>
    <t>Subduction over the Southern Indian Ocean in a High-Resolution Atmosphere-Ocean Coupled Model</t>
  </si>
  <si>
    <t>MIXED-LAYER EDDIES; SUB-ANTARCTIC MODE; WORLD OCEAN; WATER; DYNAMICS; THERMOCLINE; PARAMETERIZATION; CLIMATOLOGY; TEMPERATURE; DIFFUSIVITY</t>
  </si>
  <si>
    <t>This study examines the subduction of the Subantarctic Mode Water in the Indian Ocean in an ocean-atmosphere coupled model in which the ocean component is eddy permitting. The purpose is to assess how sensitive the simulated mode water is to the horizontal resolution in the ocean by comparing with a coarse-resolution ocean coupled model. Subduction of water mass is principally set by the depth of the winter mixed layer. It is found that the path of the Agulhas Current system in the model with an eddy-permitting ocean is different from that with a coarse-resolution ocean. This results in a greater surface heat loss over the Agulhas Return Current and a deeper winter mixed layer downstream in the eddy-permitting ocean coupled model. The winter mixed layer depth in the eddy-permitting ocean compares well to the observations, whereas the winter mixed layer depth in the coarse-resolution ocean coupled model is too shallow and has the wrong spatial structure. To quantify the impacts of different winter mixed depths on the subduction, a way to diagnose local subduction is proposed that includes eddy subduction. It shows that the subduction in the eddy-permitting model is closer to the observations in terms of the magnitudes and the locations. Eddies in the eddy-permitting ocean are found to 1) increase stratification and thus oppose the densification by northward Ekman flow and 2) increase subduction locally. These effects of eddies are not well reproduced by the eddy parameterization in the coarse-resolution ocean coupled model.</t>
  </si>
  <si>
    <t>[Lee, Mei-Man; Nurser, A. J. George] Natl Oceanog Ctr, Southampton SO14 3ZH, Hants, England; [Stevens, I.] Univ E Anglia, Sch Math, Norwich NR4 7TJ, Norfolk, England; [Sallee, Jean-Baptiste] CSIRO Marine &amp; Atmospher Res, Ctr Australian Weather &amp; Climate Res, Hobart, Tas, Australia</t>
  </si>
  <si>
    <t>NERC National Oceanography Centre; University of East Anglia; Commonwealth Scientific &amp; Industrial Research Organisation (CSIRO)</t>
  </si>
  <si>
    <t>Lee, MM (corresponding author), Natl Oceanog Ctr, Southampton SO14 3ZH, Hants, England.</t>
  </si>
  <si>
    <t>mmlee@noc.soton.ac.uk</t>
  </si>
  <si>
    <t>SALLEE, Jean baptiste/HDO-5355-2022; sallée, jean-baptiste/A-5837-2010</t>
  </si>
  <si>
    <t>NERC; NERC [noc010010, jwcrp01003, noc010005, bas0100028, NE/F020252/1] Funding Source: UKRI; Natural Environment Research Council [NE/F020252/1, noc010005, bas0100028, noc010010, jwcrp01003] Funding Source: researchfish</t>
  </si>
  <si>
    <t>This work is supported by the U.K. HiGEM project funded through NERC. The authors thank Jeremy Grist and Elizabeth Kent for their advice on the NCEP-NCAR and ERA data. We also thank David Smeed and David Stevens for commenting on the draft and two referees for giving constructive comments on the manuscript.</t>
  </si>
  <si>
    <t>10.1175/2011JCLI3888.1</t>
  </si>
  <si>
    <t>WOS:000293823900004</t>
  </si>
  <si>
    <t>Bromwich, DH; Nicolas, JP; Monaghan, AJ</t>
  </si>
  <si>
    <t>Bromwich, David H.; Nicolas, Julien P.; Monaghan, Andrew J.</t>
  </si>
  <si>
    <t>An Assessment of Precipitation Changes over Antarctica and the Southern Ocean since 1989 in Contemporary Global Reanalyses</t>
  </si>
  <si>
    <t>SURFACE MASS-BALANCE; NCEP-NCAR REANALYSIS; RADIO OCCULTATION DATA; DRONNING MAUD LAND; SNOW ACCUMULATION; EAST ANTARCTICA; ATMOSPHERIC CIRCULATION; SNOWDRIFT SUBLIMATION; SPATIAL VARIABILITY; DATA ASSIMILATION</t>
  </si>
  <si>
    <t>This study evaluates the temporal variability of the Antarctic surface mass balance, approximated as precipitation minus evaporation (P - E), and Southern Ocean precipitation in five global reanalyses during 1989-2009. The datasets consist of the NCEP/U.S. Department of Energy (DOE) Atmospheric Model Intercomparison Project 2 reanalysis (NCEP-2), the Japan Meteorological Agency (JMA) 25-year Reanalysis (JRA-25), ECMWF Interim Re-Analysis (ERA-Interim), NASA Modern Era Retrospective-Analysis for Research and Application (MERRA), and the Climate Forecast System Reanalysis (CFSR). Reanalyses are known to be prone to spurious trends and inhomogeneities caused by changes in the observing system, especially in the data-sparse high southern latitudes. The period of study has seen a dramatic increase in the amount of satellite observations used for data assimilation. The large positive and statistically significant trends in mean Antarctic P - E and mean Southern Ocean precipitation in NCEP-2, JRA-25, and MERRA are found to be largely spurious. The origin of these artifacts varies between reanalyses. Notably, a precipitation jump in MERRA in the late 1990s coincides with the start of the assimilation of radiances from the Advanced Microwave Sounding Unit (AMSU). ERA-Interim and CFSR do not exhibit any significant trends. However, the potential impact of the assimilation of rain-affected radiances in ERA-Interim and inhomogeneities in CFSR pressure fields over Antarctica cast some doubt on the reliability of these two datasets. The authors conclude that ERA-Interim likely offers the most realistic depiction of precipitation changes in high southern latitudes during 1989-2009. The range of the trends in Antarctic P - E among the reanalyses is equivalent to 1 mm of sea level over 21 years, which highlights the improvements still needed in reanalysis simulations to better assess the contribution of Antarctica to sea level rise. Finally, this work argues for continuing cautious use of reanalysis datasets for climate change assessment.</t>
  </si>
  <si>
    <t>[Bromwich, David H.; Nicolas, Julien P.] Ohio State Univ, Byrd Polar Res Ctr, Polar Meteorol Grp, Columbus, OH 43210 USA; [Bromwich, David H.; Nicolas, Julien P.] Ohio State Univ, Dept Geog, Atmospher Sci Program, Columbus, OH 43210 USA; [Monaghan, Andrew J.] Natl Ctr Atmospher Res, Res Applicat Lab, Boulder, CO 80307 USA</t>
  </si>
  <si>
    <t>University System of Ohio; Ohio State University; University System of Ohio; Ohio State University; National Center Atmospheric Research (NCAR) - USA</t>
  </si>
  <si>
    <t>Bromwich, DH (corresponding author), Ohio State Univ, Byrd Polar Res Ctr, Polar Meteorol Grp, 1090 Carmack Rd, Columbus, OH 43210 USA.</t>
  </si>
  <si>
    <t>bromwich.1@osu.edu</t>
  </si>
  <si>
    <t>Bromwich, David H/C-9225-2016</t>
  </si>
  <si>
    <t>Monaghan, Andrew/0000-0002-8170-2359</t>
  </si>
  <si>
    <t>UCAR [20020793]; NSF [ANT-0636523]</t>
  </si>
  <si>
    <t>UCAR; NSF(National Science Foundation (NSF))</t>
  </si>
  <si>
    <t>This research was funded in part by UCAR Subcontract 20020793 and NSF Grant ANT-0636523. The authors thank Eric Rignot for preliminary discussions, Michael Bosilovich for information regarding MERRA, Dick Dee for information about ERA-Interim, Richard Cullather and Kevin Trenberth for kindly providing their respective submitted manuscripts, and Sheng-Hung Wang for his valuable help with the data processing. The authors are also grateful to the three anonymous reviewers whose comments improved the initial manuscript.</t>
  </si>
  <si>
    <t>10.1175/2011JCLI4074.1</t>
  </si>
  <si>
    <t>WOS:000294490600001</t>
  </si>
  <si>
    <t>Galbraith, ED; Kwon, EY; Gnanadesikan, A; Rodgers, KB; Griffies, SM; Bianchi, D; Sarmiento, JL; Dunne, JP; Simeon, J; Slater, RD; Wittenberg, AT; Held, IM</t>
  </si>
  <si>
    <t>Galbraith, Eric D.; Kwon, Eun Young; Gnanadesikan, Anand; Rodgers, Keith B.; Griffies, Stephen M.; Bianchi, Daniele; Sarmiento, Jorge L.; Dunne, John P.; Simeon, Jennifer; Slater, Richard D.; Wittenberg, Andrew T.; Held, Isaac M.</t>
  </si>
  <si>
    <t>Climate Variability and Radiocarbon in the CM2Mc Earth System Model</t>
  </si>
  <si>
    <t>OCEAN GENERAL-CIRCULATION; ANISOTROPIC HORIZONTAL VISCOSITY; ANTARCTIC CIRCUMPOLAR CURRENT; SOUTHERN ANNULAR MODE; GLOBAL CARBON-CYCLE; CAL KYR BP; EL-NINO; SEA-ICE; EQUATORIAL PACIFIC; ATMOSPHERIC CO2</t>
  </si>
  <si>
    <t>The distribution of radiocarbon (C-14) in the ocean and atmosphere has fluctuated on time scales ranging from seasons to millennia. It is thought that these fluctuations partly reflect variability in the climate system, offering a rich potential source of information to help understand mechanisms of past climate change. Here, a long simulation with a new, coupled model is used to explore the mechanisms that redistribute C-14 within the earth system on interannual to centennial time scales. The model, the Geophysical Fluid Dynamics Laboratory Climate Model version 2 (GFDL CM2) with Modular Ocean Model version 4p1(MOM4p1) at coarse-resolution (CM2Mc), is a lower-resolution version of the Geophysical Fluid Dynamics Laboratory's CM2M model, uses no flux adjustments, and is run here with a simple prognostic ocean biogeochemistry model including C-14. The atmospheric C-14 and radiative boundary conditions are held constant so that the oceanic distribution of C-14 is only a function of internal climate variability. The simulation displays previously described relationships between tropical sea surface C-14 and the model equivalents of the El Nino-Southern Oscillation and Indonesian Throughflow. Sea surface C-14 variability also arises from fluctuations in the circulations of the subarctic Pacific and Southern Ocean, including North Pacific decadal variability and episodic ventilation events in the Weddell Sea that are reminiscent of the Weddell Polynya of 1974-76. Interannual variability in the air-sea balance of C-14 is dominated by exchange within the belt of intense Southern Westerly winds, rather than at the convective locations where the surface C-14 is most variable. Despite significant interannual variability, the simulated impact on air-sea exchange is an order of magnitude smaller than the recorded atmospheric C-14 variability of the past millennium. This result partly reflects the importance of variability in the production rate of C-14 in determining atmospheric C-14 but may also reflect an underestimate of natural climate variability, particularly in the Southern Westerly winds.</t>
  </si>
  <si>
    <t>[Galbraith, Eric D.] McGill Univ, Dept Earth &amp; Planetary Sci, Montreal, PQ H3A 2A7, Canada; [Kwon, Eun Young; Rodgers, Keith B.; Bianchi, Daniele; Sarmiento, Jorge L.; Slater, Richard D.] Princeton Univ, Princeton, NJ 08544 USA; [Gnanadesikan, Anand; Griffies, Stephen M.; Dunne, John P.; Wittenberg, Andrew T.; Held, Isaac M.] Geophys Fluid Dynam Lab, Princeton, NJ USA; [Simeon, Jennifer] Lab Sci Climat &amp; Environm, Gif Sur Yvette, France</t>
  </si>
  <si>
    <t>McGill University; Princeton University; National Oceanic Atmospheric Admin (NOAA) - USA; CEA; Centre National de la Recherche Scientifique (CNRS); Universite Paris Saclay</t>
  </si>
  <si>
    <t>Galbraith, ED (corresponding author), McGill Univ, Dept Earth &amp; Planetary Sci, 3450 Univ St, Montreal, PQ H3A 2A7, Canada.</t>
  </si>
  <si>
    <t>eric.galbraith@mcgill.ca</t>
  </si>
  <si>
    <t>Dunne, John/F-8086-2012; Rodgers, Keith/AAL-4329-2021; Gnanadesikan, Anand/A-2397-2008; Wittenberg, Andrew T/G-9619-2013; Galbraith, Eric D./F-9469-2014; Griffies, Stephen Matthew/N-9144-2019</t>
  </si>
  <si>
    <t>Wittenberg, Andrew T/0000-0003-1680-8963; Galbraith, Eric D./0000-0003-4476-4232; Griffies, Stephen Matthew/0000-0002-3711-236X; Bianchi, Daniele/0000-0002-6621-0858; Gnanadesikan, Anand/0000-0001-5784-1116; Held, Isaac/0000-0002-6744-439X</t>
  </si>
  <si>
    <t>Office of Polar Programs (OPP); Directorate For Geosciences [1040957] Funding Source: National Science Foundation</t>
  </si>
  <si>
    <t>10.1175/2011JCLI3919.1</t>
  </si>
  <si>
    <t>hybrid, Green Submitted</t>
  </si>
  <si>
    <t>WOS:000294490600003</t>
  </si>
  <si>
    <t>Xing, XL; Qi, SH; Zhang, JQ; Wu, CX; Zhang, Y; Yang, D; Odhiambo, JO</t>
  </si>
  <si>
    <t>Xing, Xinli; Qi, Shihua; Zhang, Jiaquan; Wu, Chenxi; Zhang, Yuan; Yang, Dan; Odhiambo, Joshua Owago</t>
  </si>
  <si>
    <t>Spatial distribution and source diagnosis of polycyclic aromatic hydrocarbons in soils from Chengdu Economic Region, Sichuan Province, western China</t>
  </si>
  <si>
    <t>JOURNAL OF GEOCHEMICAL EXPLORATION</t>
  </si>
  <si>
    <t>Spatial distribution; Source diagnosis; Soil; Polycyclic aromatic hydrocarbons; Chengdu Economic Region</t>
  </si>
  <si>
    <t>CENTRAL-HIMALAYAS; PAHS; SEDIMENTS; TRANSPORT; EMISSION; OUTFLOW; AREA; CITY</t>
  </si>
  <si>
    <t>Surface soils from the Chengdu Economic Region (CER) were analyzed for sixteen United States Environment Protection Agency priority polycyclic aromatic hydrocarbons (PAHs) to study the spatial distribution and to identify the sources of PAHs. Relatively high concentrations (more than 1500 ngg(-1)) of high molecular weight PAHs were found in Chengdu Plain, in the middle of CER, while high concentrations (more than 500 ng g(-1)) of low molecular weight PAHs were detected in the surrounding mountains. The concentrations of Sigma(16)-PAHs in topsoil samples from CER (12.52-75,431.47 ngg(-1), average value was 3233.92 ngg(-1)) were higher than that from the southern China (21.91-3077 ngg(-1), average value was less than 500 ngg(-1)), and they were comparable to concentrations in soils from the northern China (366-254,080 ngg(-1), mean value was more than 3000 ngg(-1)). The concentrations from CER were also much higher than the concentrations of some world clean regions such as Antarctic (34.9-171 ngg(-1)), European high mountains (9-11,000 ngg(-1), mean value was 158 ngg(-1)) and some Europe residential (736 ngg(-1)) and arable soils (60-145 ngg(-1), mean value was 66 ngg(-1)). The ratio of tracer compounds (BaA/(BaA + Chr), Flo/(Flo + Pyr), and IcdP/(IcdP + BghiP)) indicated that the high concentrations of PAHs in soils were mainly derived from fossil fuels combustion in mountain region and from the incomplete combustion of petroleum in developed plain area (such as Chengdu and Deyang). From the above distribution characteristics and ratios of tracer compounds, we inferred the reasons for the distribution pattern of PAHs in CER were the domestic heating, emissions, and the physicochemical properties of PAHs. (C) 2011 Elsevier B.V. All rights reserved.</t>
  </si>
  <si>
    <t>[Xing, Xinli; Qi, Shihua; Zhang, Jiaquan; Wu, Chenxi; Zhang, Yuan; Yang, Dan; Odhiambo, Joshua Owago] China Univ Geosci, Sch Environm Studies, Wuhan 430074, Peoples R China; [Xing, Xinli; Qi, Shihua] China Univ Geosci, State Key Lab Biogeol &amp; Environm Geol, Wuhan 430074, Peoples R China</t>
  </si>
  <si>
    <t>China University of Geosciences; China University of Geosciences</t>
  </si>
  <si>
    <t>Qi, SH (corresponding author), China Univ Geosci, Sch Environm Studies, Wuhan 430074, Peoples R China.</t>
  </si>
  <si>
    <t>shihuaqi@cug.edu.cn</t>
  </si>
  <si>
    <t>Zhang, Jiaquan/D-4905-2013; Wu, Chenxi/O-7689-2016; Xing, Xinli/O-1880-2015; Qi, Shihua/C-6582-2013</t>
  </si>
  <si>
    <t>Zhang, Jiaquan/0000-0002-1559-1240; Wu, Chenxi/0000-0002-2908-9841; Xing, Xinli/0000-0002-3439-2749;</t>
  </si>
  <si>
    <t>Research Fund for the Doctoral Program of Higher Education, China [20090145110004]; People's Republic of China [20100471205]</t>
  </si>
  <si>
    <t>Research Fund for the Doctoral Program of Higher Education, China(Research Fund for the Doctoral Program of Higher Education of China (RFDP)); People's Republic of China</t>
  </si>
  <si>
    <t>We thank Junpeng Zhang for the help in the field. We acknowledge the Research Fund for the Doctoral Program of Higher Education, China (No. 20090145110004) and the 47th Postdoctoral Scientific Funding of the People's Republic of China (No. 20100471205) for the financial support.</t>
  </si>
  <si>
    <t>0375-6742</t>
  </si>
  <si>
    <t>1879-1689</t>
  </si>
  <si>
    <t>J GEOCHEM EXPLOR</t>
  </si>
  <si>
    <t>J. Geochem. Explor.</t>
  </si>
  <si>
    <t>10.1016/j.gexplo.2011.05.001</t>
  </si>
  <si>
    <t>811TG</t>
  </si>
  <si>
    <t>WOS:000294238400011</t>
  </si>
  <si>
    <t>Wharton, DA</t>
  </si>
  <si>
    <t>Wharton, David A.</t>
  </si>
  <si>
    <t>Cold tolerance of New Zealand alpine insects</t>
  </si>
  <si>
    <t>Moderate freezing tolerance; Hemideina maori; Celatoblatta quinquemaculata; Ice nucleators; Cryoprotectant; Antifreeze protein</t>
  </si>
  <si>
    <t>COCKROACH CELATOBLATTA-QUINQUEMACULATA; WETA HEMIDEINA-MAORI; NEMATODE PANAGROLAIMUS-DAVIDI; ICE-ACTIVE PROTEINS; ANTARCTIC-NEMATODE; FREEZING TOLERANCE; HUTTON ORTHOPTERA; HEMOLYMPH COMPOSITION; CLIMATIC VARIABILITY; MALPIGHIAN TUBULES</t>
  </si>
  <si>
    <t>New Zealand has extensive alpine and subalpine habitats where, together with some lowland sites, insects are exposed to subzero temperatures. Studies of cold tolerance in New Zealand insects have centred on an alpine weta (Hemideina maori), which is the world's largest freezing tolerant insect, and an alpine cockroach (Celatoblatta quinquemaculata). Both of these insects are moderately freezing tolerant and have ice nucleating agents in their haemolymph and guts. There is some evidence for the survival of intracellular ice formation in the isolated gut tissue of C. quinquemaculata. Trehalose is a suggested cryoprotectant in both H. moors and C quinquemaculata whilst proline also provides this role in H. moon. Cells and tissues of both insects maintain viability and physiological function during freezing to moderately low temperatures but viability declines at lower temperatures, the most vulnerable tissue presumably setting the limit to the survival of the animal. Antifreeze proteins are found in the gut tissue of C. quinquemaculata and may protect this tissue when freezing occurs in the gut. Several other New Zealand insects are also moderately freezing tolerant and the apparent dominance of this cold tolerance strategy in the New Zealand fauna may reflect the relatively mild climate but unpredictable exposure to subzero temperatures that is typical of many Southern Hemisphere environments. (C) 2011 Elsevier Ltd. All rights reserved.</t>
  </si>
  <si>
    <t>Univ Otago, Dept Zool, Dunedin 9054, New Zealand</t>
  </si>
  <si>
    <t>University of Otago</t>
  </si>
  <si>
    <t>Wharton, DA (corresponding author), Univ Otago, Dept Zool, POB 56, Dunedin 9054, New Zealand.</t>
  </si>
  <si>
    <t>david.wharton@stonebow.otago.ac.nz</t>
  </si>
  <si>
    <t>Wharton, David/0000-0001-6369-4984</t>
  </si>
  <si>
    <t>10.1016/j.jinsphys.2011.03.004</t>
  </si>
  <si>
    <t>WOS:000294591600005</t>
  </si>
  <si>
    <t>Konfirst, MA; Sjunneskog, C; Scherer, RP; Doran, PT</t>
  </si>
  <si>
    <t>Konfirst, Matthew A.; Sjunneskog, Charlotte; Scherer, Reed P.; Doran, Peter T.</t>
  </si>
  <si>
    <t>A diatom record of environmental change in Fryxell Basin, Taylor Valley, Antarctica, late Pleistocene to present</t>
  </si>
  <si>
    <t>JOURNAL OF PALEOLIMNOLOGY</t>
  </si>
  <si>
    <t>Lake Fryxell; Diatom; Paleolimnology; Dry Valleys; Glacial Lake Washburn; Antarctica</t>
  </si>
  <si>
    <t>MCMURDO DRY VALLEYS; GROUNDED ICE-SHEET; ROSS SEA; LAKE-HOARE; CLIMATE-CHANGE; VICTORIA LAND; FRESH-WATER; SEDIMENTATION; DEPOSITION; RESPONSES</t>
  </si>
  <si>
    <t>We present a diatom record from a sediment core taken in Lake Fryxell, Taylor Valley, Antarctica. Six zones were defined using diatom assemblage changes that indicate varying limnological conditions. The early lake stage, ca. 35,000 cal years BP, is characterized by Mayamea atomus f. permitis, a species rarely reported in modern Antarctic Dry Valley environments. An extended period from ca. 35,000 to 19,000 cal years BP is characterized by low diatom abundance, with dominant taxa Luticola spp., Muelleria spp., and Diadesmis contenta. The modern assemblage was established ca. 13,000 cal years BP, after two relatively brief transitional stages. One key species for this recent period, Navicula lineola var. perlepida, is absent in surface sediments and the modern environment, indicating an environmental change within the last several centuries. The diatom assemblage is compared to modern diatom communities in Dry Valley streams, which provide the most complete information on diatom distributions in this region. Although precise environmental interpretation of the core is hampered by limited knowledge of environmental constraints on many of the diatom taxa present in the lake core, the data provide important new insights into the history of Glacial Lake Washburn.</t>
  </si>
  <si>
    <t>[Konfirst, Matthew A.; Sjunneskog, Charlotte; Scherer, Reed P.] No Illinois Univ, De Kalb, IL 60115 USA; [Doran, Peter T.] Univ Illinois, Chicago, IL 60607 USA</t>
  </si>
  <si>
    <t>Northern Illinois University; University of Illinois System; University of Illinois Chicago; University of Illinois Chicago Hospital</t>
  </si>
  <si>
    <t>Konfirst, MA (corresponding author), No Illinois Univ, Davis Hall, De Kalb, IL 60115 USA.</t>
  </si>
  <si>
    <t>mk@mattkonfirst.com</t>
  </si>
  <si>
    <t>NSF [ANT0423595]</t>
  </si>
  <si>
    <t>NSF(National Science Foundation (NSF))</t>
  </si>
  <si>
    <t>The authors wish to thank the McMurdo Long Term Ecological Research team for collecting the materials used for this study, NSF for financial support (NSF grant number ANT0423595), and the anonymous reviewers, whose input contributed greatly to this manuscript.</t>
  </si>
  <si>
    <t>0921-2728</t>
  </si>
  <si>
    <t>1573-0417</t>
  </si>
  <si>
    <t>J PALEOLIMNOL</t>
  </si>
  <si>
    <t>J. Paleolimn.</t>
  </si>
  <si>
    <t>10.1007/s10933-011-9537-6</t>
  </si>
  <si>
    <t>Environmental Sciences; Geosciences, Multidisciplinary; Limnology</t>
  </si>
  <si>
    <t>Environmental Sciences &amp; Ecology; Geology; Marine &amp; Freshwater Biology</t>
  </si>
  <si>
    <t>797RJ</t>
  </si>
  <si>
    <t>WOS:000293145000007</t>
  </si>
  <si>
    <t>Holland, PR</t>
  </si>
  <si>
    <t>Holland, Paul R.</t>
  </si>
  <si>
    <t>Oscillating Dense Plumes</t>
  </si>
  <si>
    <t>TURBULENT ENTRAINMENT; GRAVITY CURRENTS; WATER PRODUCTION; DOWNSLOPE FLOWS; ROSS SEA; OCEAN; MODEL; OVERFLOWS; FLUID; TIDES</t>
  </si>
  <si>
    <t>The flow of dense polar shelf waters down continental slopes is a critical component of the global ocean circulation. Recent observations suggest that such plumes can be heavily impacted by tidal variability, and many of the world's important dense-water sources are located in tidally active areas. Tides affect the source of dense water (by modulating the location of hydrographic gradients) and control the subsequent plume mixing and flow path. In an effort to separate these effects, dense plumes are modeled here by extending a classical one-dimensional plume model to two unsteady scenarios in which the plume path is fixed. The first case features a pulsed release of dense water into a stagnant ambient, and the model predicts that gravity waves propagate down the plume. Advective waves in plume density travel with the mean velocity of the current (U) over bar and thus have a wavelength of (U) over barP, the product of plume velocity and the oscillation period P. The second case is of a steady-sourced plume flowing through an ambient that has uniformly oscillating flow. This drives fluctuating shear at the plume-ambient interface (and/or seabed) that leads to variable entrainment of ambient fluid into the plume. Perturbed properties are subsequently advected by the plume, leading to standing entrainment waves that also have a wavelength of (U) over barP. Pulsed-source effects may be distinguished from variable-entrainment effects by the phase difference between waves in the different state variables of each plume. Both effects are maximized when the ratio (U) over barP/L approximate to 1, where L is the plume length. This condition is satisfied in the Ross Sea, Antarctica, where observations show dense plumes that are strongly affected by tides. Modeled pulsed-source effects qualitatively agree with the observations, implying that hydrographic variability in Ross Sea plumes is associated with variability in their dense-water source rather than unsteady plume mixing. These results might help inform the gathering and interpretation of oceanographic data in tidally active dense-water source regions.</t>
  </si>
  <si>
    <t>British Antarctic Survey, Cambridge CB3 0ET, England</t>
  </si>
  <si>
    <t>Holland, PR (corresponding author), British Antarctic Survey, Madingley Rd, Cambridge CB3 0ET, England.</t>
  </si>
  <si>
    <t>p.holland@bas.ac.uk</t>
  </si>
  <si>
    <t>Holland, Paul R/G-2796-2012</t>
  </si>
  <si>
    <t>NERC [bas0100028] Funding Source: UKRI; Natural Environment Research Council [bas0100028] Funding Source: researchfish</t>
  </si>
  <si>
    <t>10.1175/2011JPO4532.1</t>
  </si>
  <si>
    <t>WOS:000294411600003</t>
  </si>
  <si>
    <t>Singh, V; Farooqui, A; Mehrotra, NC; Sen Singh, D; Tewari, R; Jha, N; Kar, R</t>
  </si>
  <si>
    <t>Singh, Vartika; Farooqui, Anjum; Mehrotra, Naresh C.; Sen Singh, Dhruv; Tewari, Rajni; Jha, Neerja; Kar, Ratan</t>
  </si>
  <si>
    <t>Late Pleistocene and Early Holocene Climate of Ny-Alesund, Svalbard (Norway): A Study based on Biological Proxies</t>
  </si>
  <si>
    <t>Biological proxies; Trench section; Late Weichselian; Ny-Alesund; Svalbard</t>
  </si>
  <si>
    <t>MARINE ISOTOPE STAGE-3; SEA-ICE EXTENT; SCANDES MOUNTAINS; PICEA-ABIES; TREE FLORA; SWEDEN; EVENT; AREA; INSTABILITY; VEGETATION</t>
  </si>
  <si>
    <t>Subsurface sediments of a 120 cm deep trench from Ny-Alesund, Svalbard, were analysed for pollen-spores and other organic matter contents. This study is supported by two AMS C-14 dates (27, 200 yrs BP and 8,762 yrs BP) at the bottom and topmost litho-unit of the trench, respectively. The pollen record provides an evidence of a warm interval at about 27,200 yr BP (Late Weichselian and MIS 3) and cooling episode around 8,762 yr BP. This is also supported by the amount and type of organic matter as well as sediment type and depositional history of the trench sediments.</t>
  </si>
  <si>
    <t>[Singh, Vartika; Farooqui, Anjum; Mehrotra, Naresh C.; Tewari, Rajni; Jha, Neerja; Kar, Ratan] Birbal Sahni Inst Paleobot, Lucknow 226007, Uttar Pradesh, India; [Sen Singh, Dhruv] Univ Lucknow, Ctr Adv Studies Geol, Lucknow 226007, Uttar Pradesh, India</t>
  </si>
  <si>
    <t>Department of Science &amp; Technology (India); Birbal Sahni Institute of Palaeobotany (BSIP); Lucknow University</t>
  </si>
  <si>
    <t>Singh, V (corresponding author), Birbal Sahni Inst Paleobot, 53 Univ Rd, Lucknow 226007, Uttar Pradesh, India.</t>
  </si>
  <si>
    <t>National Centre for Antarctic and Ocean Research, Ministry of Earth Sciences</t>
  </si>
  <si>
    <t>The work has been carried out at the Birbal Sahni Institute of Palaeobotany, Lucknow, all the facilities provided are duly acknowledged. We would also like to express our sincere thanks to Ms. Indira Goel and Mr. Kamal Sharma for their technical assistance in processing of samples. We are grateful to the anonymous reviewers for their valuable suggestions. The logistic and financial support provided to the expedition by National Centre for Antarctic and Ocean Research, Ministry of Earth Sciences is gratefully acknowledged.</t>
  </si>
  <si>
    <t>10.1007/s12594-011-0079-3</t>
  </si>
  <si>
    <t>WOS:000295168200002</t>
  </si>
  <si>
    <t>Bak, YS; Yoo, KC; Lee, JD; Yoon, HI; Lee, JI; Kim, HJ; Lee, SJ</t>
  </si>
  <si>
    <t>Bak, Young-Suk; Yoo, Kyu-Cheul; Lee, Jong-Deock; Yoon, Ho Il; Lee, Jae Il; Kim, Hyang-Ju; Lee, Seong-Joo</t>
  </si>
  <si>
    <t>Deglacial environments in the northeastern of South Shetland Islands, Antarctica: evidence from the high resolution diatom record</t>
  </si>
  <si>
    <t>JOURNAL OF THE GEOLOGICAL SOCIETY OF KOREA</t>
  </si>
  <si>
    <t>Korean</t>
  </si>
  <si>
    <t>South Shetland Islands; Elephant Island; diatom assemblage subzone; paleoenvironmental</t>
  </si>
  <si>
    <t>A total of 70 species and varieties belonging to 31 genera are identified from 300 similar to 350 cm horizons of the Core GC03-C1 in the South Shetland Islands, Antarctic Peninsula. High number of diatom valves per gram of dry sediment was observed in core, ranging from 0.7 similar to 6.1x10(7)/g. The Holocene diatom assemblages from the core are dominated by Fragilariopsis kerguelensis and Eucampia antarctica which are about 45.7% of the total. Three diatom subzones are identified on the basis of frequency of the index species throughout the section: diatom assemblage subzone I-a from 350 to 331 cm (late Last Glacial Maximum), diatom assemblage subzone I-b from 330 to 313 cm (deglaciation) and diatom assemblage subzone II-a from 312 to 300 cm (early Holocene). The paleoenvironmental conditions from the late LGM to early Holocene can be subdivided into three intervals based on diatom assemblages: 1) diatom assemblage subzone I-a condition with persistent seasonal sea-ice cover and summer upwelling of Antarctic Circumpolar Deep Water, 2) diatom assemblage subzone I-b condition with collapse of land glaciers and influx of meltwater with increasing warming, and 3) diatom assemblage subzone II-a open ocean conditions more affected by Antarctic Circumpolar Current.</t>
  </si>
  <si>
    <t>[Bak, Young-Suk; Lee, Seong-Joo] Kyungpook Natl Univ, Dept Geol, Daegu 702701, South Korea; [Lee, Jong-Deock; Kim, Hyang-Ju] Chonbuk Natl Univ, Dept Earth &amp; Environm Sci, Jeonju 561756, South Korea; [Yoo, Kyu-Cheul; Yoon, Ho Il; Lee, Jae Il] Korea Polar Res Inst, Incheon 406840, South Korea</t>
  </si>
  <si>
    <t>Kyungpook National University; Jeonbuk National University; Korea Polar Research Institute (KOPRI)</t>
  </si>
  <si>
    <t>Bak, YS (corresponding author), Kyungpook Natl Univ, Dept Geol, Daegu 702701, South Korea.</t>
  </si>
  <si>
    <t>sydin@knu.ac.kr</t>
  </si>
  <si>
    <t>GEOLOGICAL SOC KOREA</t>
  </si>
  <si>
    <t>SEOUL</t>
  </si>
  <si>
    <t>KOREA SCIENCE &amp; TECHNOLOGY CTR, RM 813, 7 GIL 22, TEHERAN- RO, GANGNAM-GUNA, SEOUL, 06130, SOUTH KOREA</t>
  </si>
  <si>
    <t>0435-4036</t>
  </si>
  <si>
    <t>2288-7377</t>
  </si>
  <si>
    <t>J GEOL SOC KOREA</t>
  </si>
  <si>
    <t>J. Geol. Soc. Korea</t>
  </si>
  <si>
    <t>VH7MF</t>
  </si>
  <si>
    <t>WOS:000454017500003</t>
  </si>
  <si>
    <t>Makhutova, ON; Sushchik, NN; Gladyshev, MI; Ageev, AV; Pryanichnikova, EG; Kalachova, GS</t>
  </si>
  <si>
    <t>Makhutova, Olesia N.; Sushchik, Nadezhda N.; Gladyshev, Michail I.; Ageev, Alexander V.; Pryanichnikova, Ekaterina G.; Kalachova, Galina S.</t>
  </si>
  <si>
    <t>Is the Fatty Acid Composition of Freshwater Zoobenthic Invertebrates Controlled by Phylogenetic or Trophic Factors?</t>
  </si>
  <si>
    <t>LIPIDS</t>
  </si>
  <si>
    <t>Benthic invertebrates; Fish; Feeding strategy; Phylogeny; Polyunsaturated fatty acids</t>
  </si>
  <si>
    <t>COPEPOD ACARTIA-TONSA; BENTHIC INVERTEBRATES; YENISEI RIVER; SEASONAL DYNAMICS; ANTARCTIC KRILL; FOOD RESOURCES; LIPID CLASSES; ZOOPLANKTON; MARKERS; GROWTH</t>
  </si>
  <si>
    <t>We studied the fatty acid (FA) content and composition of ten zoobenthic species of several taxonomic groups from different freshwater bodies. Special attention was paid to essential polyunsaturated fatty acids, eicosapentaenoic acid (EPA, 20:5n-3), docosahexaenoic acid (DHA, 22:6n-3), and arachidonic acid (ARA, 20:4n-6); and the n-3/n-6 and DHA/ARA ratios, which are important for consumers of higher trophic levels, i.e., fish. The content and ratios of these FA varied significantly in the studied zoobenthic species, consequently, the invertebrates were of different nutritional quality for fish. Eulimnogammarus viridis (Crustacea) and Dendrocoelopsis sp. (Turbellaria) had the highest nutrition value for fish concerning the content of EPA and DHA and n-3/n-6 and DHA/ARA ratios. Using canonical correspondence analysis we compared the FA profiles of species of the studied taxa taking into account their feeding strategies and habitats. We gained evidence that feeding strategy is of importance to determine fatty acid profiles of zoobenthic species. However, the phylogenetic position of the zoobenthic species is also responsible and may result in a similar fatty acid composition even if species or populations inhabit different water bodies or have different feeding strategies.</t>
  </si>
  <si>
    <t>[Makhutova, Olesia N.; Sushchik, Nadezhda N.; Gladyshev, Michail I.; Kalachova, Galina S.] Russian Acad Sci, Inst Biophys, Siberian Branch, Krasnoyarsk 660036, Russia; [Sushchik, Nadezhda N.; Gladyshev, Michail I.; Ageev, Alexander V.] Siberian Fed Univ, Krasnoyarsk 660041, Russia; [Pryanichnikova, Ekaterina G.] Russian Acad Sci, Inst Biol Inland Waters, Borok 152742, Russia</t>
  </si>
  <si>
    <t>Russian Academy of Sciences; Krasnoyarsk Science Center of the Siberian Branch of the Russian Academy of Sciences; Biophysics Institute, Siberian Branch, Russian Academy of Sciences; Siberian Federal University; Russian Academy of Sciences; Papanin Institute for Biology of Inland Waters</t>
  </si>
  <si>
    <t>Makhutova, ON (corresponding author), Russian Acad Sci, Inst Biophys, Siberian Branch, Krasnoyarsk 660036, Russia.</t>
  </si>
  <si>
    <t>makhutova@ibp.krasn.ru</t>
  </si>
  <si>
    <t>Sushchik, Nadezhda N/P-9395-2015; Makhutova, Olesia N/I-9855-2016; Kalacheva, Galina/I-8975-2014; Gladyshev, Michail I/F-6975-2013; Pryanichnikova, Ekaterina/A-6806-2017</t>
  </si>
  <si>
    <t>Pryanichnikova, Ekaterina/0000-0002-8549-8252</t>
  </si>
  <si>
    <t>Russian Foundation for Basic Research (RFBR) [09-04-01085, 08-05-00095]; Ministry of Education and Sciences of Russian Federation</t>
  </si>
  <si>
    <t>Russian Foundation for Basic Research (RFBR)(Russian Foundation for Basic Research (RFBR)); Ministry of Education and Sciences of Russian Federation(Ministry of Education and Science, Russian Federation)</t>
  </si>
  <si>
    <t>The work was supported by grants from the Russian Foundation for Basic Research (RFBR) No. 09-04-01085 and No. 08-05-00095, by Thematic plan programs'' from the Ministry of Education and Sciences of Russian Federation (Theme B-4 of Siberian Federal University).</t>
  </si>
  <si>
    <t>0024-4201</t>
  </si>
  <si>
    <t>Lipids</t>
  </si>
  <si>
    <t>10.1007/s11745-011-3566-9</t>
  </si>
  <si>
    <t>Biochemistry &amp; Molecular Biology; Nutrition &amp; Dietetics</t>
  </si>
  <si>
    <t>790DF</t>
  </si>
  <si>
    <t>WOS:000292568000005</t>
  </si>
  <si>
    <t>Quillfeldt, P; Masello, JF; Brickle, P; Martin-Creuzburg, D</t>
  </si>
  <si>
    <t>Quillfeldt, Petra; Masello, Juan F.; Brickle, Paul; Martin-Creuzburg, Dominik</t>
  </si>
  <si>
    <t>Fatty acid signatures of stomach contents reflect inter- and intra-annual changes in diet of a small pelagic seabird, the Thin-billed prion Pachyptila belcheri</t>
  </si>
  <si>
    <t>FULMARS FULMARUS-GLACIALIS; ALASKA; VARIABILITY; INDICATORS; INSIGHTS; RATES; OILS</t>
  </si>
  <si>
    <t>In diet analyses of seabirds, fatty acid signatures (FAS) can be used to overcome biases due to differential digestion of prey and enable the analysis of very digested diet samples. We applied FAS analysis to stomach contents of a small sub-Antarctic seabird, the Thin-billed Prion Pachyptila belcheri, which feeds mainly on squid during incubation and on crustacea during chick rearing. This seasonal dietary switch of Thin-billed prions was reflected in differences in FAS in regurgitates, as were inter-annual differences in diet composition. A discriminant function analysis correctly classified 93.4% of cases with respect to year (2006-2008) and stage of the breeding cycle (incubation versus chick rearing). The dominant types of crustacea in the diet of Thin-billed prions (amphipods Themisto gaudichaudii, euphausiids, decapods Munida gregaria, and calanoid copepods) were distinguished well by characteristic FAS patterns. However, the FAS of the two main types of prey by volume, amphipods T. gaudichaudii and squid Gonatus antarcticus, were similar to each other. Although FAS were successfully applied in the analysis of prey in stomach contents of prions, FAS of some prey species were similar and may not be distinguishable from each other if used in quantitative diet analyses.</t>
  </si>
  <si>
    <t>[Quillfeldt, Petra; Masello, Juan F.] Max Planck Inst Ornithol, Radolfzell am Bodensee, Germany; [Brickle, Paul] Falkland Isl Govt, Directorate Nat Resources, Dept Fisheries, Stanley, Falkland Isl, England; [Martin-Creuzburg, Dominik] Univ Konstanz, Limnol Inst, Constance, Baden Wurttembe, Germany</t>
  </si>
  <si>
    <t>Max Planck Society; University of Konstanz</t>
  </si>
  <si>
    <t>Quillfeldt, P (corresponding author), Max Planck Inst Ornithol, Radolfzell am Bodensee, Germany.</t>
  </si>
  <si>
    <t>petra.quillfeldt@gmx.de</t>
  </si>
  <si>
    <t>Martin-Creuzburg, Dominik/C-6361-2011; Quillfeldt, Petra/A-9549-2009; Masello, Juan Francisco/C-7133-2009</t>
  </si>
  <si>
    <t>Martin-Creuzburg, Dominik/0000-0002-4248-0730; Quillfeldt, Petra/0000-0002-4450-8688; Brickle, Paul/0000-0002-9870-3518; Masello, Juan Francisco/0000-0002-6826-4016</t>
  </si>
  <si>
    <t>Falkland Islands Government (Environmental Planning Office); German Science Foundation DFG [Qu 148/1ff, SFB 454]; FIFD</t>
  </si>
  <si>
    <t>Falkland Islands Government (Environmental Planning Office); German Science Foundation DFG(German Research Foundation (DFG)); FIFD</t>
  </si>
  <si>
    <t>The New Island Conservation Trust, Ian, Maria and Georgina Strange and Dan Birch facilitated fieldwork at New Island, which was approved and co-funded by the Falkland Islands Government (Environmental Planning Office). This study was funded by grants provided by the German Science Foundation DFG (Qu 148/1ff and SFB 454). We thank P. Merkel and C. Gielisch for technical assistance with fatty acid analyses and Karl-Otto Rothhaupt for organizing SFB 454. Finally, we wish to thank the Master and crew of RV Dorada for their assistance in sample collections and the FIFD for supporting this work.</t>
  </si>
  <si>
    <t>10.1007/s00227-011-1693-8</t>
  </si>
  <si>
    <t>WOS:000293001400012</t>
  </si>
  <si>
    <t>Peeters, K; Hodgson, DA; Convey, P; Willems, A</t>
  </si>
  <si>
    <t>Peeters, Karolien; Hodgson, Dominic A.; Convey, Peter; Willems, Anne</t>
  </si>
  <si>
    <t>Culturable Diversity of Heterotrophic Bacteria in Forlidas Pond (Pensacola Mountains) and Lundstrom Lake (Shackleton Range), Antarctica</t>
  </si>
  <si>
    <t>MICROBIAL ECOLOGY</t>
  </si>
  <si>
    <t>MCMURDO DRY VALLEYS; ET-AL. 2003; SP-NOV.; EMENDED DESCRIPTION; GEN. NOV.; PSYCHROPHILIC BACTERIA; SPECIES DEFINITION; MELTWATER PONDS; MAT COMMUNITIES; LEIFSONIA-AUREA</t>
  </si>
  <si>
    <t>Cultivation techniques were used to study the heterotrophic bacterial diversity in two microbial mat samples originating from the littoral zone of two continental Antarctic lakes (Forlidas Pond and Lundstrom Lake) in the Dufek Massif (within the Pensacola Mountains group of the Transantarctic Mountains) and Shackleton Range, respectively. Nearly 800 isolates were picked after incubation on several growth media at different temperatures. They were grouped using a whole-genome fingerprinting technique, repetitive element palindromic PCR and partial 16S rRNA gene sequencing. Phylogenetic analysis of the complete 16S rRNA gene sequences of 82 representatives showed that the isolates belonged to four major phylogenetic groups: Actinobacteria, Bacteroidetes, Proteobacteria and Firmicutes. A relatively large difference between the samples was apparent. Forlidas Pond is a completely frozen water body underlain by hypersaline brine, with summer thaw forming a slightly saline littoral moat. This was reflected in the bacterial diversity with a dominance of isolates belonging to Firmicutes, whereas isolates from the freshwater Lundstrom Lake revealed a dominance of Actinobacteria. A total of 42 different genera were recovered, including first records from Antarctica for Albidiferax, Bosea, Curvibacter, Luteimonas, Ornithinibacillus, Pseudoxanthomonas, Sphingopyxis and Spirosoma. Additionally, a considerable number of potential new species and new genera were recovered distributed over different phylogenetic groups. For several species where previously only the type strain was available in cultivation, we report additional strains. Comparison with public databases showed that overall, 72% of the phylotypes are cosmopolitan whereas 23% are currently only known from Antarctica. However, for the Bacteroidetes, the majority of the phylotypes recovered are at present known only from Antarctica and many of these represent previously unknown species.</t>
  </si>
  <si>
    <t>[Peeters, Karolien; Willems, Anne] Univ Ghent, Microbiol Lab, Dept Biochem &amp; Microbiol, Fac Sci, B-9000 Ghent, Belgium; [Hodgson, Dominic A.; Convey, Peter] British Antarctic Survey, NERC, Cambridge CB3 0ET, England</t>
  </si>
  <si>
    <t>Ghent University; UK Research &amp; Innovation (UKRI); Natural Environment Research Council (NERC); NERC British Antarctic Survey</t>
  </si>
  <si>
    <t>Willems, A (corresponding author), Univ Ghent, Microbiol Lab, Dept Biochem &amp; Microbiol, Fac Sci, KL Ledeganckstr 35, B-9000 Ghent, Belgium.</t>
  </si>
  <si>
    <t>Anne.Willems@ugent.be</t>
  </si>
  <si>
    <t>Convey, Peter/AAV-5728-2020; Willems, Anne/B-2872-2010</t>
  </si>
  <si>
    <t>Convey, Peter/0000-0001-8497-9903; Willems, Anne/0000-0002-8421-2881</t>
  </si>
  <si>
    <t>British Antarctic Survey; Belgian Science Policy Office (BelSPO); Natural Environment Research Council [bas0100024] Funding Source: researchfish; NERC [bas0100024] Funding Source: UKRI</t>
  </si>
  <si>
    <t>British Antarctic Survey; Belgian Science Policy Office (BelSPO)(Belgian Federal Science Policy Office); Natural Environment Research Council(UK Research &amp; Innovation (UKRI)Natural Environment Research Council (NERC)); NERC(UK Research &amp; Innovation (UKRI)Natural Environment Research Council (NERC))</t>
  </si>
  <si>
    <t>Fieldwork by DAH and PC was supported by the British Antarctic Survey. This study was carried out in the framework of AMBIO, a project funded by the Belgian Science Policy Office (BelSPO) that contributes to IPY research proposal nr. 55 MERGE (Microbiological and Ecological Responses to Global Environmental Changes in Polar Regions). We thank the AMBIO project coordinator Annick Wilmotte. We are grateful to E. Verleyen and K. Van Hoorde for helpful discussion. The study also contributes to the BAS 'Polar Science for Planet Earth' and SCAR 'Evolution and Biodiversity in Antarctica' programmes.</t>
  </si>
  <si>
    <t>0095-3628</t>
  </si>
  <si>
    <t>1432-184X</t>
  </si>
  <si>
    <t>MICROB ECOL</t>
  </si>
  <si>
    <t>Microb. Ecol.</t>
  </si>
  <si>
    <t>10.1007/s00248-011-9842-7</t>
  </si>
  <si>
    <t>Ecology; Marine &amp; Freshwater Biology; Microbiology</t>
  </si>
  <si>
    <t>Environmental Sciences &amp; Ecology; Marine &amp; Freshwater Biology; Microbiology</t>
  </si>
  <si>
    <t>808GA</t>
  </si>
  <si>
    <t>WOS:000293964000014</t>
  </si>
  <si>
    <t>Baird, HP; Miller, KJ; Stark, JS</t>
  </si>
  <si>
    <t>Baird, Helena P.; Miller, Karen J.; Stark, Jonathan S.</t>
  </si>
  <si>
    <t>Evidence of hidden biodiversity, ongoing speciation and diverse patterns of genetic structure in giant Antarctic amphipods</t>
  </si>
  <si>
    <t>MOLECULAR ECOLOGY</t>
  </si>
  <si>
    <t>circumpolar distribution; cryptic species; genetic connectivity; glacial cycles; peracarid crustacean; population structure</t>
  </si>
  <si>
    <t>EUSIRUS-PERDENTATUS CHEVREUX; SOUTHERN-OCEAN; POPULATION-STRUCTURE; CRYPTIC SPECIATION; CYTOCHROME-B; DEEP-SEA; BIOLOGICAL IDENTIFICATIONS; MITOCHONDRIAL LINEAGES; RIBOSOMAL DNA; DIVERGENCE</t>
  </si>
  <si>
    <t>Recent molecular research on Antarctic benthic organisms has challenged traditional taxonomic classifications, suggesting that our current perceptions of Antarctic biodiversity and species distributions must be thoroughly revised. Furthermore, genetic differentiation at the intraspecific level remains poorly understood, particularly in eastern Antarctica. We addressed these issues using DNA sequence data for two sibling amphipod species that could be collected on a circum-Antarctic scale: Eusirus perdentatus and Eusirus giganteus. Haplotype networks and Bayesian phylogenies based on mitochondrial (COI, CytB) and nuclear (ITS2) DNA provided strong evidence of multiple cryptic species of Eusirus, with several occurring in sympatry and at least one likely to have a true circum- Antarctic distribution. Within species, gene flow was often highly restricted, consistent with a brooding life history and in some cases suggestive of current or future allopatric speciation. Patterns of genetic structure were not always predictable: one cryptic species showed preliminary evidence of high genetic differentiation across similar to 150 km in eastern Antarctica (F-ST &gt; 0.47, P &lt; 0.01), yet another was remarkably homogenous across similar to 5000 km (F-ST = 0.00, P = 1.00). Genetic diversity also varied among cryptic species, independent of sample size (pi = 0.00-0.99). These results indicate several hidden levels of genetic complexity in these Antarctic amphipods that are neither apparent from previous taxonomic or ecological studies nor predictable from their life history. Such genetic diversity and structure may reflect different modes of survival for Antarctic benthic organisms during historic glacial cycles, and/or subsequent re-establishment of populations on the shelf, and highlight our misunderstanding of Antarctic marine species diversity.</t>
  </si>
  <si>
    <t>[Baird, Helena P.; Miller, Karen J.] Univ Tasmania, Inst Marine &amp; Antarctic Studies, Hobart, Tas, Australia; [Miller, Karen J.; Stark, Jonathan S.] Australian Antarctic Div, Kingston, Tas 7050, Australia</t>
  </si>
  <si>
    <t>Baird, HP (corresponding author), Univ Tasmania, Inst Marine &amp; Antarctic Studies, Private Bag 129, Hobart, Tas, Australia.</t>
  </si>
  <si>
    <t>hpbaird@utas.edu.au</t>
  </si>
  <si>
    <t>Miller, Karen/A-7902-2011; Miller, Karen/V-4098-2019; Stark, Jonathan/ABF-4025-2020</t>
  </si>
  <si>
    <t>Stark, Jonathan/0000-0002-4268-8072; Baird, Helena/0000-0002-7560-8331; Jurkuvenaite, Asta/0000-0002-9193-5797</t>
  </si>
  <si>
    <t>ANZ Trustees Foundation; Australian Antarctic Division</t>
  </si>
  <si>
    <t>We are grateful to Anne-Nina Lorz of the National Institute of Water Atmospheric Research (New Zealand) and Cedric d'Udekem d'Acoz of the Institut Royal des Sciences Naturelles de Belgique (Belgium) for kindly donating samples. We thank cruise participants and crew who helped onboard the Aurora Australis 2007/2008 and 2009/2010 marine science voyages. Crustacean samples from the earlier voyage were sorted and identified with the help of Christoph Held and the support of the Museum national d'Histoire naturelle (France). Patti Virtue provided advice to significantly improve the manuscript. This research was funded by an ANZ Trustees Foundation Holsworth Wildlife Research Endowment and the Australian Antarctic Division.</t>
  </si>
  <si>
    <t>0962-1083</t>
  </si>
  <si>
    <t>1365-294X</t>
  </si>
  <si>
    <t>MOL ECOL</t>
  </si>
  <si>
    <t>Mol. Ecol.</t>
  </si>
  <si>
    <t>10.1111/j.1365-294X.2011.05173.x</t>
  </si>
  <si>
    <t>Biochemistry &amp; Molecular Biology; Ecology; Evolutionary Biology</t>
  </si>
  <si>
    <t>Biochemistry &amp; Molecular Biology; Environmental Sciences &amp; Ecology; Evolutionary Biology</t>
  </si>
  <si>
    <t>805ST</t>
  </si>
  <si>
    <t>WOS:000293750000011</t>
  </si>
  <si>
    <t>Joughin, I; Alley, RB</t>
  </si>
  <si>
    <t>Joughin, Ian; Alley, Richard B.</t>
  </si>
  <si>
    <t>Stability of the West Antarctic ice sheet in a warming world</t>
  </si>
  <si>
    <t>NATURE GEOSCIENCE</t>
  </si>
  <si>
    <t>PINE ISLAND GLACIER; GROUNDING-LINE RETREAT; SEA-LEVEL RISE; STREAM-B; BASAL MECHANICS; MASS-BALANCE; BREAK-UP; SHELF; COLLAPSE; CLIMATE</t>
  </si>
  <si>
    <t>Ice sheets are expected to shrink in size as the world warms, which in turn will raise sea level. The West Antarctic ice sheet is of particular concern, because it was probably much smaller at times during the past million years when temperatures were comparable to levels that might be reached or exceeded within the next few centuries. Much of the grounded ice in West Antarctica lies on a bed that deepens inland and extends well below sea level. Oceanic and atmospheric warming threaten to reduce or eliminate the floating ice shelves that buttress the ice sheet at present. Loss of the ice shelves would accelerate the flow of non-floating ice near the coast. Because of the slope of the sea bed, the consequent thinning could ultimately float much of the ice sheet's interior. In this scenario, global sea level would rise by more than three metres, at an unknown rate. Simplified analyses suggest that much of the ice sheet will survive beyond this century. We do not know how likely or inevitable eventual collapse of the West Antarctic ice sheet is at this stage, but the possibility cannot be discarded. For confident projections of the fate of the ice sheet and the rate of any collapse, further work including the development of well-validated physical models will be required.</t>
  </si>
  <si>
    <t>[Joughin, Ian] Univ Washington, Polar Sci Ctr, Appl Phys Lab, Seattle, WA 98105 USA; [Alley, Richard B.] Penn State Univ, Dept Geosci, University Pk, PA 16802 USA; [Alley, Richard B.] Penn State Univ, Earth &amp; Environm Syst Inst, University Pk, PA 16802 USA</t>
  </si>
  <si>
    <t>University of Washington; University of Washington Seattle; Pennsylvania Commonwealth System of Higher Education (PCSHE); Pennsylvania State University; Pennsylvania State University - University Park; Pennsylvania Commonwealth System of Higher Education (PCSHE); Pennsylvania State University; Pennsylvania State University - University Park</t>
  </si>
  <si>
    <t>Joughin, I (corresponding author), Univ Washington, Polar Sci Ctr, Appl Phys Lab, 1013 NE 40th St, Seattle, WA 98105 USA.</t>
  </si>
  <si>
    <t>ian@apl.washington.edu</t>
  </si>
  <si>
    <t>Joughin, Ian/AAR-7778-2021; Joughin, Ian R/A-2998-2008</t>
  </si>
  <si>
    <t>Joughin, Ian/0000-0001-6229-679X; Joughin, Ian R/0000-0001-6229-679X</t>
  </si>
  <si>
    <t>US National Science Foundation [ANT-0636719, ANT-0424589, ANT-0539578, ANT-0944286, ANT-0909335]</t>
  </si>
  <si>
    <t>US National Science Foundation(National Science Foundation (NSF))</t>
  </si>
  <si>
    <t>We acknowledge the contributions from the papers cited in this Review, and just as importantly the immense body of WAIS research that could not be cited due to space constraints. Comments by M. Maki improved the manuscript. The US National Science Foundation supported I.J.'s (ANT-0636719 and ANT-0424589) and R. B. A's (ANT-0424589, ANT-0539578, ANT-0944286 and ANT-0909335) effort. Additional support for RBA was provided by NASA (NNX10AI04G).</t>
  </si>
  <si>
    <t>NATURE PUBLISHING GROUP</t>
  </si>
  <si>
    <t>75 VARICK ST, 9TH FLR, NEW YORK, NY 10013-1917 USA</t>
  </si>
  <si>
    <t>1752-0894</t>
  </si>
  <si>
    <t>1752-0908</t>
  </si>
  <si>
    <t>NAT GEOSCI</t>
  </si>
  <si>
    <t>Nat. Geosci.</t>
  </si>
  <si>
    <t>10.1038/NGEO1194</t>
  </si>
  <si>
    <t>799HJ</t>
  </si>
  <si>
    <t>WOS:000293277100010</t>
  </si>
  <si>
    <t>Jacobs, SS; Jenkins, A; Giulivi, CF; Dutrieux, P</t>
  </si>
  <si>
    <t>Jacobs, Stanley S.; Jenkins, Adrian; Giulivi, Claudia F.; Dutrieux, Pierre</t>
  </si>
  <si>
    <t>Stronger ocean circulation and increased melting under Pine Island Glacier ice shelf</t>
  </si>
  <si>
    <t>WEST ANTARCTICA; SEA</t>
  </si>
  <si>
    <t>In 1994, ocean measurements near Antarctica's Pine Island Glacier showed that the ice shelf buttressing the glacier was melting rapidly(1). This melting was attributed to the presence of relatively warm, deep water on the Amundsen Sea continental shelf. Heat, salt and ice budgets along with ocean modelling provided steady-state calving and melting rates(2,3). Subsequent satellite observations and modelling have indicated large system imbalances, including ice-shelf thinning and more intense melting, glacier acceleration and drainage basin drawdown(4-10). Here we combine our earlier data with measurements taken in 2009 to show that the temperature and volume of deep water in Pine Island Bay have increased. Ocean transport and tracer calculations near the ice shelf reveal a rise in meltwater production by about 50% since 1994. The faster melting seems to result mainly from stronger sub-ice-shelf circulation, as thinning ice has increased the gap above an underlying submarine bank on which the glacier was formerly grounded(11). We conclude that the basal melting has exceeded the increase in ice inflow, leading to the formation and enlargement of an inner cavity under the ice shelf within which sea water nearly 4 degrees C above freezing can now more readily access the grounding zone.</t>
  </si>
  <si>
    <t>[Jacobs, Stanley S.; Giulivi, Claudia F.] Columbia Univ, Lamont Doherty Earth Observ, Palisades, NY 10964 USA; [Jenkins, Adrian; Dutrieux, Pierre] British Antarctic Survey, Nat Environm Res Council, Cambridge CB3 0ET, England</t>
  </si>
  <si>
    <t>Columbia University; UK Research &amp; Innovation (UKRI); Natural Environment Research Council (NERC); NERC British Antarctic Survey</t>
  </si>
  <si>
    <t>Jacobs, SS (corresponding author), Columbia Univ, Lamont Doherty Earth Observ, Palisades, NY 10964 USA.</t>
  </si>
  <si>
    <t>sjacobs@ldeo.columbia.edu; ajen@bas.ac.uk</t>
  </si>
  <si>
    <t>Dutrieux, Pierre/GVS-2890-2022; Jenkins, Adrian/IUN-2406-2023</t>
  </si>
  <si>
    <t>Dutrieux, Pierre/0000-0002-8066-934X; Jenkins, Adrian/0000-0002-9117-0616</t>
  </si>
  <si>
    <t>NSF; NOAA; NERC [ANT06-32282, NA080AR4320912, NE/G001367/1]; NERC [NE/G001367/1, bas0100028] Funding Source: UKRI; Natural Environment Research Council [NE/G001367/1, bas0100028] Funding Source: researchfish</t>
  </si>
  <si>
    <t>NSF(National Science Foundation (NSF)); NOAA(National Oceanic Atmospheric Admin (NOAA) - USA); NERC(UK Research &amp; Innovation (UKRI)Natural Environment Research Council (NERC)); NERC(UK Research &amp; Innovation (UKRI)Natural Environment Research Council (NERC)); Natural Environment Research Council(UK Research &amp; Innovation (UKRI)Natural Environment Research Council (NERC))</t>
  </si>
  <si>
    <t>We have been ably assisted by many colleagues aboard ship and at several institutions in the acquisition, analysis and presentation of data used in this study. The NSF, NOAA and NERC have supported this work, currently under grants ANT06-32282, NA080AR4320912, and NE/G001367/1.</t>
  </si>
  <si>
    <t>10.1038/NGEO1188</t>
  </si>
  <si>
    <t>WOS:000293277100012</t>
  </si>
  <si>
    <t>Martynova, DM; Kazus, NA; Bathmann, UV; Graeve, M; Sukhotin, AA</t>
  </si>
  <si>
    <t>Martynova, Daria M.; Kazus, Natalia A.; Bathmann, Ulrich V.; Graeve, Martin; Sukhotin, Alexey A.</t>
  </si>
  <si>
    <t>Seasonal abundance and feeding patterns of copepods Temora longicornis, Centropages hamatus and Acartia spp. in the White Sea (66°N)</t>
  </si>
  <si>
    <t>Acartia; Temora; Centropages; Feeding; Population dynamics; The White Sea; Zooplankton</t>
  </si>
  <si>
    <t>FATTY-ACID-COMPOSITION; EGG-PRODUCTION; LIPID-COMPOSITION; FECAL PELLETS; ANTARCTIC COPEPODS; CALANOID COPEPODS; TROPHIC MARKERS; COMMUNITY STRUCTURE; FOOD CONCENTRATION; ENGLISH-CHANNEL</t>
  </si>
  <si>
    <t>We have studied the seasonal dynamics of abundance and feeding characteristics of three species of calanoid copepods (Acartia spp., Centropages hamatus and Temora longicornis) in the White Sea from the surface water layer (0-10 m), in order to assess their role in the pelagic food web and to determine the major factors governing their population dynamics during the productive season. These species dominated in the upper water layer (0-10 m) from June through September, producing up to 3 generations per year. Data on the food spectra revealed all species to be omnivorous; but some inter- and intraspecific differences were observed. Generally, copepods consumed diatoms, dinoflagellates and microzooplankton. The omnivory index 'UC' (i.e., fatty acid unsaturation coefficient) varied from 0.2 to 0.6, which implied ingestion of phytoplankton. The different degree of selectivity on the same food items by the studied species was observed, and therefore, successful surviving strategy with minimal overlapping could be assumed. In total, the populations of the three studied copepod species grazed up to 2.15 g C m(-2) day(-1) and released up to 0.68 g C m(-2) day(-1) in faecal pellets. They consumed up to 50% of particulate organic carbon, or up to 85% of phytoplankton standing stock (in terms of Chl. a), and thus played a significant role in the transformation of particulate organic matter. Seasonal changes in abundance of the studied species depended mostly on water temperature in the early summer, but were also affected by food availability (Chl. a concentration) during the productive season.</t>
  </si>
  <si>
    <t>[Martynova, Daria M.; Sukhotin, Alexey A.] Russian Acad Sci, Inst Zool, White Sea Biol Stn, St Petersburg 199034, Russia; [Kazus, Natalia A.] PP Shirshov Oceanol Inst, Atlantic Branch, Kaliningrad 236000, Russia; [Bathmann, Ulrich V.; Graeve, Martin] Alfred Wegener Inst Polar &amp; Marine Res, D-27570 Bremerhaven, Germany</t>
  </si>
  <si>
    <t>Russian Academy of Sciences; Zoological Institute of the Russian Academy of Sciences; Russian Academy of Sciences; Shirshov Institute of Oceanology; Helmholtz Association; Alfred Wegener Institute, Helmholtz Centre for Polar &amp; Marine Research</t>
  </si>
  <si>
    <t>Martynova, DM (corresponding author), Russian Acad Sci, Inst Zool, White Sea Biol Stn, Univ Skaya Nab 1, St Petersburg 199034, Russia.</t>
  </si>
  <si>
    <t>daria.martynova@gmail.com</t>
  </si>
  <si>
    <t>Martynova, Daria M./B-2783-2008; Sukhotin, Alexey/H-4144-2013; Graeve, Martin/B-5751-2017</t>
  </si>
  <si>
    <t>Martynova, Daria/0000-0001-8279-9896; Sukhotin, Alexey/0000-0003-2626-5317; Graeve, Martin/0000-0002-2294-1915</t>
  </si>
  <si>
    <t>DAAD [MBFOKU2001]; Copernicus Foundation [ICA2-CT-200010053]; Russian Foundation for Basic Researches (RFBR) [08-0401691-a, 08-04-98843-r-sever-a, 10-04-00316-a]; Otto Schmidt Labor Fellowship [OSL-07-11, OSL-09-16]</t>
  </si>
  <si>
    <t>DAAD(Deutscher Akademischer Austausch Dienst (DAAD)); Copernicus Foundation; Russian Foundation for Basic Researches (RFBR)(Russian Foundation for Basic Research (RFBR)); Otto Schmidt Labor Fellowship</t>
  </si>
  <si>
    <t>The DAAD (fellowship MBFOKU2001 No. A/2403), the Copernicus Foundation (grant No. ICA2-CT-200010053), Russian Foundation for Basic Researches (RFBR grants 08-0401691-a, 08-04-98843-r-sever-a, 10-04-00316-a), Otto Schmidt Labor Fellowship (grants OSL-07-11 and OSL-09-16) and State Program No. 1201051247 supported our investigations. Data on the water temperature and Chl. a concentration in the 52nd cruise of RV 'Ivan Petrov' were kindly provided by Academician Alexander Lisitzin (P. P. Shirshov's Oceanology Institute, RAS, Moscow). We are grateful to Prof. Victor Berger and our colleagues from the White Sea Biological Station and from the P. P. Shirshov's Institute of Oceanology (Moscow) for their help and data courtesy, and to Prof. G. Kattner (AWI, Bremerhaven, Germany) and Dr. Janne Soreide (University Centre on Svalbard, UNIS, Longyearbyen, Norway) for useful advice. Special thanks go to Christiane Lorenzen and Helga Schwarz for their technical support of the elemental analysis at the Alfred-Wegener-Institute for Polar and Marine Research (AWI) in Bremerhaven. The authors are indebted to Dr. L.S. Barden and R. Alheit for helpful comments and linguistic improvement of the manuscript.</t>
  </si>
  <si>
    <t>10.1007/s00300-011-0980-7</t>
  </si>
  <si>
    <t>WOS:000292887600008</t>
  </si>
  <si>
    <t>Green, TGA; Sancho, LG; Türk, R; Seppelt, RD; Hogg, ID</t>
  </si>
  <si>
    <t>Green, T. G. A.; Sancho, L. G.; Tuerk, R.; Seppelt, R. D.; Hogg, I. D.</t>
  </si>
  <si>
    <t>High diversity of lichens at 84°S, Queen Maud Mountains, suggests preglacial survival of species in the Ross Sea region, Antarctica</t>
  </si>
  <si>
    <t>Relict; Collembola; Beardmore Glacier; Mosses; Diversity; Lichens</t>
  </si>
  <si>
    <t>SPRINGTAIL GOMPHIOCEPHALUS-HODGSONI; VICTORIA LAND; LATITUDINAL GRADIENT; COMMUNITIES; VARIABILITY; COLLEMBOLA; VEGETATION; SOUTHERN; HISTORY; SNOW</t>
  </si>
  <si>
    <t>Investigations of lichens collected in 1959/1960, 1963/1964 and 2003 from near the Beardmore Glacier in the southern Ross Sea region (84A degrees S) have more than doubled the number of known lichen species in the area to around 30. The ranges of 15 species have been extended to 84A degrees S. A lichen diversity hotspot has also been found along Ebony Ridge and its associated peaks where 28 of the species occur, a number equivalent to more northerly sites in the Ross Sea (e.g. Botany Bay 77A degrees S). Furthermore, 6 species had been previously recorded only from the Antarctic Peninsula region. In agreement with previous studies on mites and springtails from the same area, we suggest that these populations represent relicts that predate the present Ross Ice Shelf extension, with a possible age of 2,000,000 years or older.</t>
  </si>
  <si>
    <t>[Green, T. G. A.; Hogg, I. D.] Univ Waikato, Dept Biol Sci, Hamilton 3240, New Zealand; [Green, T. G. A.; Sancho, L. G.] Univ Complutense, Fac Farm, Dept Biol Vegetal 2, E-28040 Madrid, Spain; [Tuerk, R.] Salzburg Univ, Fachbereich Organism Biol, A-5020 Salzburg, Austria; [Seppelt, R. D.] Australian Antarctic Div, Kingston, Tas 7050, Australia</t>
  </si>
  <si>
    <t>University of Waikato; Complutense University of Madrid; Salzburg University; Australian Antarctic Division</t>
  </si>
  <si>
    <t>Green, TGA (corresponding author), Univ Waikato, Dept Biol Sci, Private Bag 3105, Hamilton 3240, New Zealand.</t>
  </si>
  <si>
    <t>greentga@waikato.ac.nz</t>
  </si>
  <si>
    <t>SANCHO, LEOPOLDO G/G-9120-2015; Hogg, Ian D./HNS-7393-2023; Sancho, leopoldo G./H-2974-2013</t>
  </si>
  <si>
    <t>Hogg, Ian D./0000-0002-6685-0089;</t>
  </si>
  <si>
    <t>New Zealand Foundation for Research, Science and Technology (FRST); University of Waikato; Department of Biological Sciences, University of Waikato; FRST; Spanish Education Ministry [POL2006-08405, CTM2009- 12838-C04-01]</t>
  </si>
  <si>
    <t>New Zealand Foundation for Research, Science and Technology (FRST)(New Zealand Foundation for Research, Science and Technology); University of Waikato; Department of Biological Sciences, University of Waikato; FRST(New Zealand Foundation for Research, Science and Technology); Spanish Education Ministry(Spanish Government)</t>
  </si>
  <si>
    <t>We are grateful to Antarctica New Zealand (AntNZ) for logistical support enabling sample collection in 2003 as part of the Latitudinal Gradient Project coordinated by Shulamit Gordon. The New Zealand Foundation for Research, Science and Technology (FRST), the University of Waikato Vice Chancellor's Fund, and the Department of Biological Sciences, University of Waikato provided financial support. During completion of the research, TGAG and IDH were supported by the FRST grant, understanding, valuing and protecting Antarctica's unique terrestrial ecosystems: predicting biocomplexity in Dry Valley ecosystems, and TGAG and LGS by the Spanish Education Ministry grants POL2006-08405 and CTM2009- 12838-C04-01. Ulrike Ruprecht is thanked for assistance in identifying Lecidea species. Barbara Polly at the Domininion Museum, Wellington, is particularly thanked for excellent curation of the Antarctic samples and for drawing our attention to the collections. Catherine Beard is thanked for drawing Figure 2b.</t>
  </si>
  <si>
    <t>10.1007/s00300-011-0982-5</t>
  </si>
  <si>
    <t>WOS:000292887600010</t>
  </si>
  <si>
    <t>Catry, P; Forcada, J; Almeida, A</t>
  </si>
  <si>
    <t>Catry, Paulo; Forcada, Jaume; Almeida, Ana</t>
  </si>
  <si>
    <t>Demographic parameters of black-browed albatrosses Thalassarche melanophris from the Falkland Islands</t>
  </si>
  <si>
    <t>New Island; Bycatch; Demography; Red tide; Patagonian shelf</t>
  </si>
  <si>
    <t>PELAGIC LONGLINE FISHERY; GOLFO SAN-JORGE; SEABIRD MORTALITY; SOUTH GEORGIA; INCIDENTAL CAPTURES; POPULATION-DYNAMICS; FACTORY TRAWLERS; PATAGONIAN SHELF; D-CHRYSOSTOMA; RECAPTURE</t>
  </si>
  <si>
    <t>Black-browed albatrosses Thalassarche melanophris are currently classified as globally endangered. The most important populations of this species are believed to be declining due to, amongst other factors, unsustainable levels of incidental mortality in fishing gear. However, detailed demographic data are lacking for several critical populations, including the largest of all, nesting in the Falkland Islands. Here, we present data from the first Falkland Islands detailed demographic study (at New Island) and show that, from 2003 to 2009, the mean adult survival probability was 0.942 (95% CI: 0.930-0.952). Nesting frequency of adults is amongst the highest recorded for Thalassarche albatrosses and breeding success (0.564 chicks per egg) is within normal values. The nesting population in the intensively studied plots experienced an increase of 4% per year from 2004 to 2009. These results indicate that the Falklands population may not be as threatened as previously supposed, although studies from more sites and a longer time series are needed to confirm or refute this. The high survival rates may partly reflect recent efforts to mitigate bycatch made by the Falkland Islands and other fisheries in the region. The reinforcement of such initiatives may be critical to buffer the black-browed albatross population against ecosystem shifts and natural disasters (such as harmful algal blooms) that will likely become more frequent with ongoing global changes.</t>
  </si>
  <si>
    <t>[Catry, Paulo; Almeida, Ana] ISPA, Ecoethol Res Unit, P-1149041 Lisbon, Portugal; [Catry, Paulo; Almeida, Ana] Museu Nacl Hist Nat, Lisbon, Portugal; [Forcada, Jaume] British Antarctic Survey, Nat Environm Res Council, Cambridge CB3 0ET, England</t>
  </si>
  <si>
    <t>Instituto Superior Psicologia Aplicada (ISPA); Universidade de Lisboa; UK Research &amp; Innovation (UKRI); Natural Environment Research Council (NERC); NERC British Antarctic Survey</t>
  </si>
  <si>
    <t>Catry, P (corresponding author), ISPA, Ecoethol Res Unit, Rua Jardim do Tabaco 34, P-1149041 Lisbon, Portugal.</t>
  </si>
  <si>
    <t>paulo.catry@gmail.com</t>
  </si>
  <si>
    <t>Forcada, Jaume/GYU-0677-2022; Catry, Paulo/I-5408-2013</t>
  </si>
  <si>
    <t>Catry, Paulo/0000-0003-3000-0522</t>
  </si>
  <si>
    <t>Fundacao para a Ciencia e Tecnologia (FCT-Portugal) [PTDC/MAR/099366/2008, UID 331/94]; Foreign and Commonwealth Office [FAL 201]; NERC [bas0100025] Funding Source: UKRI; Natural Environment Research Council [bas0100025] Funding Source: researchfish; Fundação para a Ciência e a Tecnologia [PTDC/MAR/099366/2008] Funding Source: FCT</t>
  </si>
  <si>
    <t>Fundacao para a Ciencia e Tecnologia (FCT-Portugal)(Fundacao para a Ciencia e a Tecnologia (FCT)); Foreign and Commonwealth Office; NERC(UK Research &amp; Innovation (UKRI)Natural Environment Research Council (NERC)); Natural Environment Research Council(UK Research &amp; Innovation (UKRI)Natural Environment Research Council (NERC)); Fundação para a Ciência e a Tecnologia(Fundacao para a Ciencia e a Tecnologia (FCT))</t>
  </si>
  <si>
    <t>The long-term monitoring of black-browed albatrosses on New Island has benefited from the committed long-term support of the Falkland Islands Government, as well as from projects funds provided by Fundacao para a Ciencia e Tecnologia (FCT-Portugal) through Projecto Albatroz (PTDC/MAR/099366/2008) and as part of the Programa Plurianual (UI&amp;D 331/94). Further support was received from the Foreign and Commonwealth Office through an Overseas Territories Environment Programme (OTEP) grant (FAL 201). The New Island Conservation Trust, an NGO and charity, supported field studies on their New Island reserve, through the supply of research facilities, accommodation, and subsistence. Without the support and encouragement from Ian Strange, this study would never have taken place. Rafael Matias, Miguel Lecoq, and Orea Anderson helped with fieldwork. Maria Strange, Shona Strange, Georgina Strange, Dan Birch, Helen Otley, Nick Rendell, Anton Wolfaardt and Leigh Wolfaardt provided logistical and moral support in the field and in Stanley. Ines Catry, John Croxall, Christophe Barbraud and two anonymous reviewers commented on a previous draft. All work was approved by the Falkland Islands Government.</t>
  </si>
  <si>
    <t>10.1007/s00300-011-0984-3</t>
  </si>
  <si>
    <t>WOS:000292887600011</t>
  </si>
  <si>
    <t>Hosie, G; Koubbi, P; Riddle, M; Ozouf-Costaz, C; Moteki, M; Fukuchi, M; Ameziane, N; Ishimaru, T; Goffart, A</t>
  </si>
  <si>
    <t>Hosie, Graham; Koubbi, Philippe; Riddle, Martin; Ozouf-Costaz, Catherine; Moteki, Masato; Fukuchi, Mitsuo; Ameziane, Nadia; Ishimaru, Takashi; Goffart, Anne</t>
  </si>
  <si>
    <t>CEAMARC, the Collaborative East Antarctic Marine Census for the Census of Antarctic Marine Life (IPY # 53): An overview</t>
  </si>
  <si>
    <t>POLAR SCIENCE</t>
  </si>
  <si>
    <t>CEAMARC; CAML; Marine biodiversity; Pelagic; Benthos</t>
  </si>
  <si>
    <t>DUMONT DURVILLE SEA; GEORGE-V LAND; SOUTHERN-OCEAN SOUTH; AUSTRAL SUMMER; COMMUNITY STRUCTURE; INTERANNUAL VARIABILITY; DISTRIBUTION PATTERNS; SPATIAL-DISTRIBUTION; EUPHAUSIA-SUPERBA; INDIAN SECTOR</t>
  </si>
  <si>
    <t>The Census for Antarctic Marine Life (CAML, IPY Project 53) aimed to investigate the distribution and abundance of Antarctic marine biodiversity and how it will be affected by climate change. It was a major ship-based research programme in the austral summer of 2007-2008 involving scientists from 30 countries and 19 vessels. The Collaborative East Antarctic Marine Census (CEAMARC) was a multinational contribution to CAML involving scientists and students from several nations using three ships from Australia, Japan and France surveying the one area. This collaboration was a highly coordinated and comprehensive survey of the plankton, fish, benthos, oceanography and geophysical conditions of the waters north of Terre Adelie and George V Land of Eastern Antarctica. CEAMARC has provided a robust benchmark of the marine life in this poorly studied sector and will help to establish the monitoring of future changes in this region. Crown Copyright (C) 2011 Published by Elsevier B.V. and NIPR. All rights reserved.</t>
  </si>
  <si>
    <t>[Hosie, Graham; Riddle, Martin] Australian Antarctic Div, Dept Sustainabil Environm Water Populat &amp; Communi, Kingston, Tas 7050, Australia; [Koubbi, Philippe] Univ Paris 06, UMR 7093, Lab Oceanog Villefranche, F-06234 Villefranche Sur Mer, France; [Koubbi, Philippe] CNRS, UMR 7093, LOV, F-06234 Villefranche Sur Mer, France; [Ozouf-Costaz, Catherine] CNRS, Dept Systemat &amp; Evolut, MNHN, UMR 7138,UMR 7208, F-75005 Paris, France; [Moteki, Masato; Ishimaru, Takashi] Tokyo Univ Marine Sci &amp; Technol, Dept Ocean Sci, Minato Ku, Tokyo 1088477, Japan; [Fukuchi, Mitsuo] Natl Inst Polar Res, Tachikawa, Tokyo 1908518, Japan; [Ameziane, Nadia] Museum Natl Hist Nat, UMR 7208, Dept Milieux &amp; Peuplements Aquat, F-75005 Paris, France; [Goffart, Anne] Univ Liege, Mare Ctr, Lab Oceanol, B-4000 Liege, Belgium</t>
  </si>
  <si>
    <t>Australian Antarctic Division; Centre National de la Recherche Scientifique (CNRS); CNRS - National Institute for Earth Sciences &amp; Astronomy (INSU); Sorbonne Universite; Centre National de la Recherche Scientifique (CNRS); CNRS - National Institute for Earth Sciences &amp; Astronomy (INSU); Sorbonne Universite; Centre National de la Recherche Scientifique (CNRS); Institut de Recherche pour le Developpement (IRD); Museum National d'Histoire Naturelle (MNHN); Sorbonne Universite; CNRS - National Institute for Biology (INSB); CNRS - Institute of Ecology &amp; Environment (INEE); Tokyo University of Marine Science &amp; Technology; Research Organization of Information &amp; Systems (ROIS); National Institute of Polar Research (NIPR) - Japan; Centre National de la Recherche Scientifique (CNRS); Institut de Recherche pour le Developpement (IRD); Museum National d'Histoire Naturelle (MNHN); Sorbonne Universite; CNRS - Institute of Ecology &amp; Environment (INEE); University of Liege</t>
  </si>
  <si>
    <t>Hosie, G (corresponding author), Australian Antarctic Div, Dept Sustainabil Environm Water Populat &amp; Communi, 203 Channel Highway, Kingston, Tas 7050, Australia.</t>
  </si>
  <si>
    <t>graham.hosie@aad.gov.au</t>
  </si>
  <si>
    <t>Koubbi, Philippe/D-5873-2015</t>
  </si>
  <si>
    <t>Ameziane, Nadia/0000-0002-8546-9961</t>
  </si>
  <si>
    <t>Australian Antarctic Division as AAS project [2792]; French polar institute IPEV (ICOTA programme) [281]; French polar institute IPEV (ICO2TA programme) [1142]; French polar institute IPEV (REVOLTA programs); Zone Atelier Antarctique of CNRS; MNHN; ANR Glides; ANTFLOCKs (USAR) [07-BLAN-0213-01]; Japan Society for the Promotion of Science [114255012, 19255014]; Tokyo University of Marine Science and Technology; National Institute of Polar Research; BELSPO (Belgium) through PELAGANT; PADI [SD/BA/851]; Grants-in-Aid for Scientific Research [19255014] Funding Source: KAKEN</t>
  </si>
  <si>
    <t>Australian Antarctic Division as AAS project; French polar institute IPEV (ICOTA programme); French polar institute IPEV (ICO2TA programme); French polar institute IPEV (REVOLTA programs); Zone Atelier Antarctique of CNRS; MNHN; ANR Glides(Agence Nationale de la Recherche (ANR)); ANTFLOCKs (USAR); Japan Society for the Promotion of Science(Ministry of Education, Culture, Sports, Science and Technology, Japan (MEXT)Japan Society for the Promotion of Science); Tokyo University of Marine Science and Technology; National Institute of Polar Research(National Institute of Polar Research (NIPR) - Japan); BELSPO (Belgium) through PELAGANT; PADI; Grants-in-Aid for Scientific Research(Ministry of Education, Culture, Sports, Science and Technology, Japan (MEXT)Japan Society for the Promotion of ScienceGrants-in-Aid for Scientific Research (KAKENHI))</t>
  </si>
  <si>
    <t>We are extremely grateful to all the scientists, students, officers, crew and cadets of the ships, for their efforts, their commitment and their camaraderie that have made CEAMARC so successful. It has been an outstanding team. We are also grateful to the authors for their contributions to this special issue and the referees for their time and effort. The support and dedication of the Polar Science office in Tokyo, Editor-in-Chief Prof. Kazuo Shibuya and his secretarial team of Ayuko Natori, Yoriko Hayakawa, Haruko Fujii and Mami Iwadare, needs to be acknowledged especially for their ability to maintain the editorial process at a time of great difficulty in Japan following the East-Japan Earthquake and Tsunami. The CEAMARC voyages were supported by the Australian Antarctic Division as AAS project no. 2792, by the French polar institute IPEV (ICOTA programme 281, ICO2TA programme 1142, and REVOLTA programs), Zone Atelier Antarctique of CNRS, the MNHN and the ANR Glides and ANTFLOCKs (USAR no 07-BLAN-0213-01), the Grant-in Aid for Scientific Research from the Japan Society for the Promotion of Science (Nos. 114255012 and 19255014), the Tokyo University of Marine Science and Technology, the National Institute of Polar Research, and by BELSPO (Belgium) through PELAGANT and the PADI (SD/BA/851) programmes. Finally, on a personal note I (GWH) would like to thank my guest associate editors for their excellent contribution, and also Prof. Michael Stoddart, Project Leader of CAML, ably assisted by CAML Project Manager Dr Victoria Wadley, for the confidence and support in letting me lead the CEAMARC project.</t>
  </si>
  <si>
    <t>ELSEVIER SCIENCE BV</t>
  </si>
  <si>
    <t>PO BOX 211, 1000 AE AMSTERDAM, NETHERLANDS</t>
  </si>
  <si>
    <t>1873-9652</t>
  </si>
  <si>
    <t>1876-4428</t>
  </si>
  <si>
    <t>POLAR SCI</t>
  </si>
  <si>
    <t>Polar Sci.</t>
  </si>
  <si>
    <t>10.1016/j.polar.2011.04.009</t>
  </si>
  <si>
    <t>Ecology; Geosciences, Multidisciplinary</t>
  </si>
  <si>
    <t>V33ZX</t>
  </si>
  <si>
    <t>Green Published, hybrid</t>
  </si>
  <si>
    <t>WOS:000209057800001</t>
  </si>
  <si>
    <t>Lacarra, M; Houssais, MN; Sultan, E; Rintoul, SR; Herbaut, C</t>
  </si>
  <si>
    <t>Lacarra, M.; Houssais, M. -N.; Sultan, E.; Rintoul, S. R.; Herbaut, C.</t>
  </si>
  <si>
    <t>Summer hydrography on the shelf off Terre Adelie/George V Land based on the ALBION and CEAMARC observations during the IPY</t>
  </si>
  <si>
    <t>Antarctica; Shelf water masses; Adelie land; Polynya</t>
  </si>
  <si>
    <t>MERTZ GLACIER POLYNYA; BOTTOM WATER; ADELIE; REGION; MASSES; SLOPE; ICE</t>
  </si>
  <si>
    <t>We report on the hydrographic observations collected on the Antarctic continental shelf between 138 degrees E and 146 degrees E as part of the CEAMARC and ALBION projects in December 2007-January 2008. A total of 140 quasi-synoptic CTD (Conductivity-Temperature-Depth) casts were analysed to map the spatial distribution of the summer hydrographic properties. Seven distinct hydrographic regimes were identified based on regional topographic features and the presence of specific water masses. These regimes are associated with spatial contrasts in the distribution of the High Salinity Shelf Water (HSSW) and the Modified Circumpolar Deep Water (MCDW). In particular, the HSSW distribution confirms the unique character of Commonwealth Bay in terms of extreme bottom salinity and dissolved oxygen values. The bay appears to be a preferred region for both dense shelf water formation and storage. The systematic survey of the Adelie Depression shows the ubiquitous presence of HSSW in the depression, and over the Adelie Sill as a 60 m thick layer at the centre of the sill. This water is dense enough to mix down the continental slope and form Antarctic Bottom Water. Upstream of the sill, the HSSW is shown to sit over the topography with indications of recirculation. The D'Urville Trough, another deep basin on the shelf, is filled with warmer and fresher water that is too light to contribute to the formation of AABW. The D'Urville Trough appears to collect MCDW which enters at the shelf break over the Adelie Bank and spreads over the northern slope of the trough. Another branch of MCDW enters in the eastern Adelie Sill and is found almost everywhere in the Adelie Depression with the noticeable exception of the coastal bays. Additional CTD casts collected during the ALBION-2009 experiment in January 2009 suggest that most of the features observed in 2008 in the Adelie Depression should be robust on a year-to-year basis although summer 2009 was characterized by fresher dense shelf waters. (C) 2011 Elsevier B.V. and NIPR. All rights reserved.</t>
  </si>
  <si>
    <t>[Lacarra, M.; Houssais, M. -N.; Sultan, E.; Herbaut, C.] Univ Paris 06, UMR CNRS UPMC IRD MNHN, LOCEAN, Paris, France; [Rintoul, S. R.] CSIRO Marine &amp; Atmospher Res, Hobart, Tas, Australia; [Rintoul, S. R.] ACE CRC, Hobart, Tas, Australia</t>
  </si>
  <si>
    <t>Sorbonne Universite; Museum National d'Histoire Naturelle (MNHN); Commonwealth Scientific &amp; Industrial Research Organisation (CSIRO); Antarctic Climate &amp; Ecosystems Cooperative Research Centre (ACE CRC)</t>
  </si>
  <si>
    <t>Lacarra, M (corresponding author), Univ Paris 06, UMR CNRS UPMC IRD MNHN, LOCEAN, Paris, France.</t>
  </si>
  <si>
    <t>mallod@locean-ipsl.upmc.fr</t>
  </si>
  <si>
    <t>Rintoul, Stephen R/A-1471-2012</t>
  </si>
  <si>
    <t>Rintoul, Stephen R/0000-0002-7055-9876</t>
  </si>
  <si>
    <t>French LEFE programme; IPEV; Cooperative Research Centre (CRC) Program of the Australian government (gs1), through the Antarctic Climate and Ecosystems CRC; Australian Climate Change Science Program (gs2); French Minister of Education and Research (gs3) (MESR)</t>
  </si>
  <si>
    <t>French LEFE programme; IPEV; Cooperative Research Centre (CRC) Program of the Australian government (gs1), through the Antarctic Climate and Ecosystems CRC(Australian GovernmentDepartment of Industry, Innovation and ScienceCooperative Research Centres (CRC) Programme); Australian Climate Change Science Program (gs2); French Minister of Education and Research (gs3) (MESR)</t>
  </si>
  <si>
    <t>The authors are very grateful to the two anonymous reviewers for their useful comments which helped improve the manuscript. Fruitful discussions with G. Williams are greatly acknowledged. The authors wish to thank Captain Ian Moodie and Captain Stanislas Zamora and the crew of the RSV Aurora Australis and SV l'Astrolabe for their assistance in collecting the data during the AU0803 and ALBION-2008 cruises. We are also grateful to the French Institut Paul Emile Victor (IPEV) staff for their efficient technical support on board the Astrolabe, to the Division Technique of INSU, especially Claudie Marec, for their assistance with the CTD and mooring equipment and to Mickael Beauverger for his efficient work during the preparation and implementation of the ALBION experiment. The authors wish to thank Mark Rosenberg for his helpful assistance in data calibration. The ALBION project is supported by the French LEFE programme and by IPEV. This work is supported in part by the Cooperative Research Centre (CRC) Program of the Australian government (gs1), through the Antarctic Climate and Ecosystems CRC, and by the Australian Climate Change Science Program (gs2). The lead author is supported by a doctoral fellowship from the French Minister of Education and Research (gs3) (MESR).</t>
  </si>
  <si>
    <t>10.1016/j.polar.2011.04.008</t>
  </si>
  <si>
    <t>WOS:000209057800002</t>
  </si>
  <si>
    <t>Smith, MB; Labat, JP; Fraser, AD; Massom, RA; Koubbi, P</t>
  </si>
  <si>
    <t>Smith, Martina B.; Labat, Jean-Philippe; Fraser, Alexander D.; Massom, Robert A.; Koubbi, Philippe</t>
  </si>
  <si>
    <t>A GIS approach to estimating interannual variability of sea ice concentration in the Dumont d'Urville Sea near Terre Adelie from 2003 to 2009</t>
  </si>
  <si>
    <t>Sea ice concentration; East Antarctica; Interannual variations; Climatology; GIS</t>
  </si>
  <si>
    <t>MERTZ GLACIER POLYNYA; EAST ANTARCTICA; ICEBERG; LAND; IMPACT; REGION</t>
  </si>
  <si>
    <t>A Geographic Information System (GIS)-based investigation into the interannual variability of sea ice concentration was conducted in the Dumont d'Urville Sea off the Terre Adelie coastline, south of 65 degrees S and between 139 and 146 degrees E. Sea ice concentration data derived from Advanced Microwave Scanning Radiometer-EOS (AMSR-E) data were analysed for the period 2003 to 2009. Sea ice concentration was found to be least variable in three regions, namely the Buchanan Bay/Watt Bay region (143-145 degrees E), along similar to 65.5 degrees S (west of 144.5 degrees E), and the Adelie Bank northeast of Dumont d'Urville near 66 degrees S, 140.5 degrees E. The remaining areas had relatively high interannual variability, in particular the Adelie Basin (similar to 66 degrees S, similar to 140 degrees E) and the outer fringe of the Mertz Glacier Polynya (MGP). In general, higher sea ice concentration conditions were experienced in the west of the study area (i.e., where annual fast ice recurs), and open water dominated in the MGP and in the northeast. The years 2007-2009 experienced greater persistence of higher sea ice concentration than earlier years. This study provides a baseline for assessing changes in the regional sea ice regime that may occur since the calving of the Mertz Glacier in February 2010. (C) 2011 Elsevier B.V. and NIPR. All rights reserved.</t>
  </si>
  <si>
    <t>[Smith, Martina B.; Labat, Jean-Philippe; Koubbi, Philippe] Univ Paris 06, UMR 7093, Lab Oceanog Villefranche, F-06234 Villefranche Sur Mer, France; [Smith, Martina B.; Labat, Jean-Philippe; Koubbi, Philippe] CNRS, UMR 7093, LOV, F-06234 Villefranche Sur Mer, France; [Smith, Martina B.] Univ Tasmania, Spatial Informat Sci Sch Geog &amp; Environm Studies, Hobart, Tas 7001, Australia; [Fraser, Alexander D.; Massom, Robert A.] Univ Tasmania, Antarctic Climate &amp; Ecosyst Cooperat Res Ctr, Hobart, Tas 7001, Australia; [Massom, Robert A.] Australian Antarctic Div, Dept Sustainabil Environm Water Populat &amp; Communi, Kingston, Tas 7050, Australia</t>
  </si>
  <si>
    <t>Sorbonne Universite; Centre National de la Recherche Scientifique (CNRS); CNRS - National Institute for Earth Sciences &amp; Astronomy (INSU); Centre National de la Recherche Scientifique (CNRS); CNRS - National Institute for Earth Sciences &amp; Astronomy (INSU); Sorbonne Universite; University of Tasmania; University of Tasmania; Antarctic Climate &amp; Ecosystems Cooperative Research Centre (ACE CRC); Australian Antarctic Division</t>
  </si>
  <si>
    <t>Smith, MB (corresponding author), Univ Tasmania, Spatial Informat Sci Sch Geog &amp; Environm Studies, Private Bag 76, Hobart, Tas 7001, Australia.</t>
  </si>
  <si>
    <t>mfallows@utas.edu.au</t>
  </si>
  <si>
    <t>Koubbi, Philippe/D-5873-2015; Fraser, Alexander/AFO-7186-2022</t>
  </si>
  <si>
    <t>Fraser, Alexander/0000-0003-1924-0015; Massom, Robert/0000-0003-1533-5084</t>
  </si>
  <si>
    <t>IMAS; School of Geography and Environmental Studies at UTAS; Australian Government's Cooperative Research Centre program through the ACE CRC; [3024]</t>
  </si>
  <si>
    <t>IMAS; School of Geography and Environmental Studies at UTAS; Australian Government's Cooperative Research Centre program through the ACE CRC(Australian GovernmentDepartment of Industry, Innovation and ScienceCooperative Research Centres (CRC) Programme);</t>
  </si>
  <si>
    <t>For MS, this research was part of an exchange between the University of Tasmania (UTAS) and Universite Pierre et Marie Curie organised through the International Antarctic Institute. AMSR-E ASI sea-ice concentration data were obtained from the University of Hamburg (ftp://ftp-projects.zmaw.de/seaice/). IMAS, and Spatial Information Science within the School of Geography and Environmental Studies at UTAS provided funding. Thanks also to Robert Anders and James Culverhouse at UTAS for providing the ArcView licence. Many thanks to Patti Virtue (IASOS) for logistical support, and Stanislas Zamora (captain of RV l'Astrolabe for 2009-2010 ICO2TA expedition) for Nautical Institute sea ice classification information. For AF and RM, this work was supported by the Australian Government's Cooperative Research Centre program through the ACE CRC, and for RM contributes to AAS Project 3024. This work is related to the ICO2TA programme of IPEV (PI. Philippe Koubbi), the Zone Atelier Antarctique of CNRS (PI. Marc Lebouvier) and ANR Glides (PI. Charles-Andre Bost).</t>
  </si>
  <si>
    <t>10.1016/j.polar.2011.04.007</t>
  </si>
  <si>
    <t>WOS:000209057800003</t>
  </si>
  <si>
    <t>Swadling, KM; Penot, F; Vallet, C; Rouyer, A; Gasparini, S; Mousseau, L; Smith, M; Goffart, A; Koubbi, P</t>
  </si>
  <si>
    <t>Swadling, Kerrie M.; Penot, Florian; Vallet, Carole; Rouyer, Armelle; Gasparini, Stephane; Mousseau, Laure; Smith, Martina; Goffart, Anne; Koubbi, Philippe</t>
  </si>
  <si>
    <t>Interannual variability of zooplankton in the Dumont d'Urville sea (139°E-146°E), east Antarctica, 2004-2008</t>
  </si>
  <si>
    <t>Salinity; Temperature; Sea ice; Zooplankton-environment relationships; Mertz glacier</t>
  </si>
  <si>
    <t>COMMUNITY STRUCTURE; ADELIE; PHYTOPLANKTON; 80-150-DEGREES-E; MACROZOOPLANKTON; ASSEMBLAGES; SUMMER; BROKE</t>
  </si>
  <si>
    <t>Spatial and temporal variability of zooplankton was studied during five summers (2004-2008) in the Dumont d'Urville Sea, east Antarctica. The species recorded, based on the catch of a 500 mm-mesh Bongo net, were typical of southern continental shelf communities in Antarctica, including Euphausia crystallorophias, polychaetes, pteropods and biomass-dominant copepods. There was a strong degree of temporal variation in abundance, possibly related to the thickness and extent of the sea ice cover during each spring prior to the surveys. Total mean abundance was highly variable between years, with a minimum of 961 ind. 1000m(-3) in 2004 (range 65-3407 ind. 1000 m(-3)) and a maximum of 15,627 ind. 1000 m(-3) in 2005 (range 5109-33,869 ind. 1000 m(-3)). Spatially, within each year, abundances were also variable, and there were no uniform patterns in abundance from year to year. Water column physical characteristics (temperature and salinity) were relatively constant and did not contribute substantially to variation between the years. It is likely that variation in zooplankton distribution was largely related to a combination of localised features, such as the thickness and extent of sea ice cover, the position and extent of the Mertz Polynya, local wind conditions and bathymetric features. (C) 2011 Elsevier B.V. and NIPR. All rights reserved.</t>
  </si>
  <si>
    <t>[Swadling, Kerrie M.] Univ Tasmania, Inst Marine &amp; Antarctic Studies, Hobart, Tas 7001, Australia; [Penot, Florian; Rouyer, Armelle; Gasparini, Stephane; Mousseau, Laure; Koubbi, Philippe] Univ Paris 06, UMR 7093, Lab Oceanog Villefranche, F-06230 Villefranche Sur Mer, France; [Penot, Florian; Rouyer, Armelle; Gasparini, Stephane; Mousseau, Laure; Koubbi, Philippe] CNRS, UMR 7093, Lab Oceanog Villefranche, F-06230 Villefranche Sur Mer, France; [Vallet, Carole] Univ Artois, Ctr IUFM Nord Pas Calais, F-62230 Outreau, France; [Vallet, Carole] Univ Littoral Cote dOpale, Lab Oceanol &amp; Geosci, CNRS, UMR LOG 8187, F-62930 Wimereux, France; [Smith, Martina] Univ Tasmania, Spatial Informat Sci Sch Geog &amp; Environm Studies, Hobart, Tas 7001, Australia; [Goffart, Anne] Univ Liege, Mare Ctr, Lab Oceanol, B-4000 Liege, Belgium</t>
  </si>
  <si>
    <t>University of Tasmania; Centre National de la Recherche Scientifique (CNRS); CNRS - National Institute for Earth Sciences &amp; Astronomy (INSU); Sorbonne Universite; Centre National de la Recherche Scientifique (CNRS); CNRS - National Institute for Earth Sciences &amp; Astronomy (INSU); Sorbonne Universite; Universite d'Artois; Centre National de la Recherche Scientifique (CNRS); CNRS - National Institute for Earth Sciences &amp; Astronomy (INSU); Universite du Littoral-Cote-d'Opale; University of Tasmania; University of Liege</t>
  </si>
  <si>
    <t>Swadling, KM (corresponding author), Univ Tasmania, Inst Marine &amp; Antarctic Studies, Private Bag 49, Hobart, Tas 7001, Australia.</t>
  </si>
  <si>
    <t>Kerrie.Swadling@utas.edu.au</t>
  </si>
  <si>
    <t>Swadling, Kerrie/0000-0002-7620-841X</t>
  </si>
  <si>
    <t>IPEV; Belgian PELAGANT program; Belgian PADI program; Zone Atelier Antarctique</t>
  </si>
  <si>
    <t>This paper is a contribution to the Census of Antarctic Marine Life CEAMARC project (Collaborative East Antarctic Marine Census). It is a component of the French ICO2TA (Integrated Coastal Ocean Observation) program funded by IPEV and by the Belgian PELAGANT and PADI programs. This work was supported by the Zone Atelier Antarctique and is a contribution to the ANR Glides program directed by Charles-Andre Bost (Centre d'Etudes Biologiques de Chize). We thank the three captains of the RV l'Astrolabe, Yvon Guedez, Xavier Lebras and Stanislas Zamora, and their officers and crew for their contributions towards developing this project. Thanks to Alain Pottier, Alain Pierre, Patrice Godon and the logistical personnel of IPEV for their help and to ICO2TA winter volunteers: Christophe Loots, Olivier Rey and Stephanie Pavoine. The CTD data were processed by Emmanuelle Sultan of LOCEAN-Paris. Simon Wright (Australian Antarctic Division) provided the 2004 chlorophyll data.</t>
  </si>
  <si>
    <t>10.1016/j.polar.2011.03.001</t>
  </si>
  <si>
    <t>WOS:000209057800004</t>
  </si>
  <si>
    <t>Takahashi, KT; Hosie, GW; McLeod, DJ; Kitchener, JA</t>
  </si>
  <si>
    <t>Takahashi, Kunio T.; Hosie, Graham W.; McLeod, David J.; Kitchener, John A.</t>
  </si>
  <si>
    <t>Surface zooplankton distribution patterns during austral summer in the Indian sector of the Southern Ocean, south of Australia</t>
  </si>
  <si>
    <t>Continuous Plankton Recorder (CPR); Copepods; Community structure</t>
  </si>
  <si>
    <t>CONTINUOUS PLANKTON RECORDER; SEASONAL SUCCESSION; COMMUNITIES; FRONTS; ASSEMBLAGES; INDICATOR; JANUARY</t>
  </si>
  <si>
    <t>We investigated the composition, distribution and abundance of micro-and mesozooplankton in the Southern Ocean, south of Australia during the austral summer (December-February) of the 2007/08 season using a Continuous Plankton Recorder (CPR). Four CPR tows were conducted during two separate oceanographic voyages under the CEAMARC (Collaborative East Antarctic Marine Census) project. High zooplankton abundance was recorded on each transect in the Polar Frontal Zone (PFZ) and the Inter Polar Frontal Zone (IPFZ). The community structure in these zones was dominated by common taxa including the ubiquitous small calanoid copepods, Oithona similis and Calanus simillimus, accounting for &gt; 70% of the total abundance, and copepod nauplii, foraminiferans and appendicularians of the genus Fritillaria spp. also occurred along most of the survey transects. Total zooplankton abundance was comparatively consistent along the four transects, and ranged between 119.8 and 144.7 ind m(-3). The results of cluster and IndVal analyses revealed that the dominant species/taxa show similar associations, abundance and distribution patterns on all four transects. There was no evidence of a change of surface zooplankton abundance at the time of towing in this study. Detecting the various distribution patterns of micro-and mesozooplankton species/taxa, and the accumulation of high quality data collected by a consistent methodology will contribute to determining the consequences of climate change impacts on the ecosystem. (C) 2011 Elsevier B.V. and NIPR. All rights reserved.</t>
  </si>
  <si>
    <t>[Takahashi, Kunio T.] Natl Inst Polar Res, Tachikawa, Tokyo 1908518, Japan; [Takahashi, Kunio T.] Grad Univ Adv Studies SOKENDAI, Tachikawa, Tokyo 1908518, Japan; [Hosie, Graham W.; McLeod, David J.; Kitchener, John A.] Australian Antarctic Div, Dept Sustainabil Environm Water Populat &amp; Communi, Kingston, Tas 7050, Australia; [McLeod, David J.] CSIRO Marine &amp; Atmospher Res, Integrated Marine Observing Syst AusCPR Survey, Dutton Pk, Qld 4102, Australia</t>
  </si>
  <si>
    <t>Research Organization of Information &amp; Systems (ROIS); National Institute of Polar Research (NIPR) - Japan; Graduate University for Advanced Studies - Japan; Australian Antarctic Division; Commonwealth Scientific &amp; Industrial Research Organisation (CSIRO)</t>
  </si>
  <si>
    <t>Takahashi, KT (corresponding author), Natl Inst Polar Res, 10-3 Midori Cho, Tachikawa, Tokyo 1908518, Japan.</t>
  </si>
  <si>
    <t>Kitchener, John/0000-0003-4642-3044</t>
  </si>
  <si>
    <t>10.1016/j.polar.2011.04.003</t>
  </si>
  <si>
    <t>WOS:000209057800005</t>
  </si>
  <si>
    <t>Ono, A; Moteki, M; Amakasu, K; Toda, R; Horimoto, N; Hirano, D; Ishimaru, T; Hosie, GW</t>
  </si>
  <si>
    <t>Ono, Atsushi; Moteki, Masato; Amakasu, Kazuo; Toda, Ryoji; Horimoto, Naho; Hirano, Daisuke; Ishimaru, Takashi; Hosie, Graham W.</t>
  </si>
  <si>
    <t>Euphausiid community structure and population structure of Euphausia superba off Adelie Land in the Southern Ocean during austral summer 2003, 2005 and 2008</t>
  </si>
  <si>
    <t>Euphausiids; Distribution; Community structure; Population structure; Adelie Land</t>
  </si>
  <si>
    <t>EAST ANTARCTICA 80-150-DEGREES-E; SEA-ICE; SCOTIA SEA; BIOLOGICAL/OCEANOGRAPHIC SURVEY; ELEPHANT ISLAND; ROSS SEA; KRILL; ABUNDANCE; MACROZOOPLANKTON; CRYSTALLOROPHIAS</t>
  </si>
  <si>
    <t>The distribution and community structure of euphausiids and the population structure of Euphausia superba were investigated mainly along 140 degrees E off Adelie Land in the Indian Ocean sector of the Southern Ocean during the austral summers of 2003, 2005 and 2008. Euphausiids were collected from six discrete depth layers, primarily between 0 and 2000 m, using an RMT 8 net. Euphausia frigida and Euphausia triacantha mainly occurred north of the Southern Boundary of the Antarctic Circumpolar Current (SB) whereas E. superba was distributed south of the SB, and occurred abundantly in the continental slope area where Antarctic Winter Water was observed. E. frigida and E. triacantha occurred in the upper 200 m during the night whereas they were mainly found below 200 m during the daytime. Cluster analysis on stations suggested that the SB is an important biological boundary for euphausiid communities. The population structure of E. superba in 2003 was different from that of 2005 and 2008. While large mature individuals dominated in 2003, small immature krill (juveniles and subadult males) were more abundant in 2005 and 2008. Further sea-ice extension in the preceding winter in 2005 and 2008 likely provided favourable conditions for spawning and survival. A cluster analysis based on similarity of the maturity stages of E. superba revealed that mature males and gravid females (stage IIIC-E) were mainly distributed in the offshore area and mesopelagic zone, while juveniles and subadult males were found in the epipelagic zone of the continental slope area. Therefore, it is considered that E. superba migrates to the offshore area and mesopelagic zone as it grows. (C) 2011 Elsevier B.V. and NIPR. All rights reserved.</t>
  </si>
  <si>
    <t>[Ono, Atsushi; Moteki, Masato; Amakasu, Kazuo; Toda, Ryoji; Horimoto, Naho; Hirano, Daisuke; Ishimaru, Takashi] Tokyo Univ Marine Sci &amp; Technol, Dept Ocean Sci, Minato Ku, Tokyo 1088477, Japan; [Hosie, Graham W.] Australian Antarctic Div, Dept Sustainabil Environm Water Populat &amp; Communi, Kingston, Tas 7050, Australia</t>
  </si>
  <si>
    <t>Tokyo University of Marine Science &amp; Technology; Australian Antarctic Division</t>
  </si>
  <si>
    <t>Ono, A (corresponding author), Tokyo Univ Marine Sci &amp; Technol, Dept Ocean Sci, Minato Ku, 4-5-7 Konan, Tokyo 1088477, Japan.</t>
  </si>
  <si>
    <t>atsushi@kaiyodai.ac.jp</t>
  </si>
  <si>
    <t>Hirano, Daisuke/P-3963-2019; AMAKASU, Kazuo/O-1857-2014; MIYAZAKI, Naho/O-1921-2014</t>
  </si>
  <si>
    <t>Japan Society for the Promotion of Science [14255012, 19255014]; Grants-in-Aid for Scientific Research [19255014, 14255012] Funding Source: KAKEN</t>
  </si>
  <si>
    <t>Japan Society for the Promotion of Science(Ministry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</si>
  <si>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We thank the captain, officers and crew members of TRV Umitaka Maru for their cooperation. We are grateful to Drs Y. Yamaguchi, Y. Tanaka (TUMSAT) and for their valuable comments. We also thank E. Takagi (TUMSAT) for her contributions to the sample and data processing. The survey in 2008 was conducted as a part of Collaborative East Antarctic Marine Census (CEAMARC) survey. The present study was supported by Grant-in-Aid for Scientific Research (A) from Japan Society for the Promotion of Science (Nos. 14255012 and 19255014 for T. Ishimaru).</t>
  </si>
  <si>
    <t>10.1016/j.polar.2011.04.006</t>
  </si>
  <si>
    <t>WOS:000209057800006</t>
  </si>
  <si>
    <t>Vallet, C; Labat, JP; Smith, M; Koubbi, P</t>
  </si>
  <si>
    <t>Vallet, Carole; Labat, Jean-Philippe; Smith, Martina; Koubbi, Philippe</t>
  </si>
  <si>
    <t>Interannual variations in euphausiid life stage distribution in the Dumont d'Urville Sea from 2004 to 2008</t>
  </si>
  <si>
    <t>Euphausia crystallorophias; Thysanoessa macrura; Antarctic; Abundance; Spatial distribution; Environmental factors</t>
  </si>
  <si>
    <t>THYSANOESSA-MACRURA; EAST ANTARCTICA; WEDDELL SEA; COMMUNITY STRUCTURE; CRYSTALLOROPHIAS; KRILL; SUPERBA; MACROZOOPLANKTON; LIPIDS; LARVAE</t>
  </si>
  <si>
    <t>Euphausiid larvae were caught by oblique tows of a double-framed bongo net at 118 stations along the coast of Terre Adelie during every summer from 2004-2008. Larvae of Euphausia crystallorophias Holt and Tattersall and Thysanoessa macrura G.O. Sars were observed in the study area every year in contrast to larvae of Euphausia superba which were absent during the entire period of sampling. Highest abundances of both species were observed during the summer of 2005 and the lowest in the summer of 2004. Larvae of E. crystallorophias dominated every year and comprised more than 80% of the total abundance of euphausiid larvae. Within species, the calyptopis stages especially calyptopis 1 of E. crystallorophias dominated compared to furcilia stages of T. macrura which were less abundant. For both species, spatio-temporal variations in abundances of developmental stages were significantly correlated to density and salinity of the deep water layer. In the case of calyptopis 3 of E. crystallorophias, spatio-temporal variations were correlated with the number of days between the end of the sea ice retreat and the sampling day and for T. macrura inversely correlated to temperature of surface water layer. These variations are discussed and related to the timing of sea ice retreat, the sea ice concentration as well as metabolic conditions of adults of both species during their spawning period. (C) 2011 Elsevier B.V. and NIPR. All rights reserved.</t>
  </si>
  <si>
    <t>[Vallet, Carole] UArtois, Ctr IUFM Nord Pas Calais, Ctr IUFM Outreau, F-62230 Outreau, France; [Vallet, Carole] Univ Lille Nord France, F-59000 Lille, France; [Vallet, Carole] ULCO, LOG, F-62930 Wimereux, France; [Vallet, Carole] CNRS, UMR8187, F-62930 Wimereux, France; [Labat, Jean-Philippe; Koubbi, Philippe] Univ Paris 06, Stn Zool, CNRS UMR 7093, Lab Oceanog Villefranche, F-06230 Villefranche Sur Mer, France; [Labat, Jean-Philippe; Koubbi, Philippe] CNRS, UMR 7093, LOV, F-06234 Villefranche Sur Mer, France; [Smith, Martina] Univ Tasmania, Tasmanian Aquaculture &amp; Fisheries Inst, Marine Res Labs, Hobart, Tas 7001, Australia; [Smith, Martina] Univ Tasmania, Sch Zool, Hobart, Tas 7001, Australia</t>
  </si>
  <si>
    <t>Universite de Lille; Universite du Littoral-Cote-d'Opale; Centre National de la Recherche Scientifique (CNRS); CNRS - National Institute for Earth Sciences &amp; Astronomy (INSU); Sorbonne Universite; Centre National de la Recherche Scientifique (CNRS); CNRS - National Institute for Earth Sciences &amp; Astronomy (INSU); Sorbonne Universite; Centre National de la Recherche Scientifique (CNRS); CNRS - National Institute for Earth Sciences &amp; Astronomy (INSU); University of Tasmania; University of Tasmania</t>
  </si>
  <si>
    <t>Vallet, C (corresponding author), Univ Littoral Cote dOpale, Lab Oceanol &amp; Geosci, CNRS, UMR LOG 8187, 32 Ave Foch, F-62930 Wimereux, France.</t>
  </si>
  <si>
    <t>carole.vallet@univ-littoral.fr</t>
  </si>
  <si>
    <t>IPEV [281, 1142]; ANR Glides; Zone Atelier Antarctique (INSU-CNRS)</t>
  </si>
  <si>
    <t>IPEV; ANR Glides(Agence Nationale de la Recherche (ANR)); Zone Atelier Antarctique (INSU-CNRS)</t>
  </si>
  <si>
    <t>This paper is a contribution to the Census of Antarctic Marine Life. We thank all the Captain and crew of the RV l'Astrolabe, Alain Pottier, Alain Pierre, Patrice Godon and the logisticians of IPEV for adapting l'Astrolabe for scientific work. We also thank Eric Tavernier, Jean-Henri Hecq, Anne Goffart, Patrice Pruvost, and many students of the University of Tasmania, as well as the winter volunteers of the ICO2TA project for their help with field work. Funding was provided by IPEV for two projects - ICOTA (programme 281, PI: Philippe Koubbi and Catherine Ozouf-Costaz) and ICO2TA (programme 1142, PI: Philippe Koubbi), ANR Glides (PI: Charles-Andre Bost) and Zone Atelier Antarctique (INSU-CNRS) (PI: Marc Lebouvier). We also thank Anne-Sophie Quilliet and Audrey Jaeger for their help with the laboratory work, Janine Cuzin and Stephanie Sabini for assistance with taxa identification, Emmanuelle Sultan for CTD data processing and Florian Penot for his help in mapping. I would like to greatly thank Helga do Rosario Gomes (Bigelow Laboratory for Ocean Sciences, ME, USA) for her help in improving English.</t>
  </si>
  <si>
    <t>10.1016/j.polar.2011.03.006</t>
  </si>
  <si>
    <t>WOS:000209057800007</t>
  </si>
  <si>
    <t>Amakasu, K; Ono, A; Moteki, M; Ishimaru, T</t>
  </si>
  <si>
    <t>Amakasu, Kazuo; Ono, Atsushi; Moteki, Masato; Ishimaru, Takashi</t>
  </si>
  <si>
    <t>Sexual dimorphism in body shape of Antarctic krill (Euphausia superba) and its influence on target strength</t>
  </si>
  <si>
    <t>Antarctic krill; Target strength; Sexual dimorphism; Theoretical scattering model; Acoustic survey</t>
  </si>
  <si>
    <t>Sexual dimorphism in the body shape of Antarctic krill (Euphausia superba) was investigated and its influence on target strength (TS) was clarified using a theoretical scattering model. The TS which is used to convert acoustic backscatter to krill density was also presented. Body shape data were obtained from 456 specimens (54 juveniles, 200 males, and 202 females) collected off Adelie Land using a Rectangular Midwater Trawl. The sexual dimorphism manifested as a swollen cephalothorax in female krill with body lengths exceeding 40 mm. The TS of female krill was higher than those of male krill at low frequencies, even when body lengths were the same. This is because of the Rayleigh scattering region and the transition region to the geometric scattering region. The influence of the sexual dimorphism on the TS was small at frequencies exceeding 70 kHz, which are close to the geometric scattering region. The regression curve derived from the predicted TS of 456 specimens was in reasonable agreement with the measured TS in other previous studies, and the regression curve could be applied to the acoustic surveys of Antarctic krill. (C) 2011 Elsevier B.V. and NIPR. All rights reserved.</t>
  </si>
  <si>
    <t>[Amakasu, Kazuo; Ono, Atsushi; Moteki, Masato; Ishimaru, Takashi] Tokyo Univ Marine Sci &amp; Technol, Minato Ku, Tokyo 1088477, Japan</t>
  </si>
  <si>
    <t>Tokyo University of Marine Science &amp; Technology</t>
  </si>
  <si>
    <t>Amakasu, K (corresponding author), Tokyo Univ Marine Sci &amp; Technol, Minato Ku, 4-5-7 Konan, Tokyo 1088477, Japan.</t>
  </si>
  <si>
    <t>amakasu@kaiyodai.ac.jp</t>
  </si>
  <si>
    <t>AMAKASU, Kazuo/O-1857-2014</t>
  </si>
  <si>
    <t>10.1016/j.polar.2011.04.005</t>
  </si>
  <si>
    <t>WOS:000209057800008</t>
  </si>
  <si>
    <t>Amakasu, K; Ono, A; Hirano, D; Moteki, M; Ishimaru, T</t>
  </si>
  <si>
    <t>Amakasu, Kazuo; Ono, Atsushi; Hirano, Daisuke; Moteki, Masato; Ishimaru, Takashi</t>
  </si>
  <si>
    <t>Distribution and density of Antarctic krill (Euphausia superba) and ice krill (E-crystallorophias) off Adelie Land in austral summer 2008 estimated by acoustical methods</t>
  </si>
  <si>
    <t>Antarctic krill; Ice krill; Scientific echosounder; Water temperature structure; Adelie Land</t>
  </si>
  <si>
    <t>SOUTH SHETLAND ISLANDS; EAST ANTARCTICA; BIOLOGICAL/OCEANOGRAPHIC SURVEY; UMITAKA-MARU; ROSS SEA; ABUNDANCE; BIOMASS; OCEAN; 80-150-DEGREES-E; VARIABILITY</t>
  </si>
  <si>
    <t>From January to February 2008 the training research vessel TRV Umitaka Maru conducted a comprehensive oceanographic survey of the waters around the 140 degrees E meridian off Adelie Land as part of the Collaborative East Antarctic Marine Census (CEAMARC) project. The acoustic component of this survey was conducted using a scientific echosounder operating at 38 and 70 kHz to estimate the distribution and density of Antarctic krill (Euphausia superba) and ice krill (E. crystallorophias). In addition, the relationship between the vertical distribution of Antarctic krill and the water temperature structure along the 140 degrees E meridian was investigated. Antarctic krill were distributed in the waters of the continental slope at 65-66 degrees S and the maximum value of the mean areal density rho in 1 nautical mile (nmi) intervals was 4344 inds. m(-2). Ice krill were distributed in the neritic waters of the continental shelf to the south of the 66 degrees S and the maximum rho in 1 nmi intervals was 23,669 inds. m(-2). Along the 140 degrees E meridian, Antarctic krill were mainly distributed at the water temperatures below 0.5 degrees C. Although they were mostly distributed shallower than approximately 100 m, dense aggregations at approximately 180-200 m were also observed, which coincided with a depression of the water temperature structure. (C) 2011 Elsevier B.V. and NIPR. All rights reserved.</t>
  </si>
  <si>
    <t>[Amakasu, Kazuo; Ono, Atsushi; Hirano, Daisuke; Moteki, Masato; Ishimaru, Takashi] Tokyo Univ Marine Sci &amp; Technol, Minato Ku, Tokyo 1088477, Japan</t>
  </si>
  <si>
    <t>Hirano, Daisuke/P-3963-2019; AMAKASU, Kazuo/O-1857-2014</t>
  </si>
  <si>
    <t>10.1016/j.polar.2011.04.002</t>
  </si>
  <si>
    <t>WOS:000209057800009</t>
  </si>
  <si>
    <t>Koubbi, P; Hulley, PA; Pruvost, P; Henri, P; Labat, JP; Wadley, V; Hirano, D; Moteki, M</t>
  </si>
  <si>
    <t>Koubbi, Philippe; Hulley, Percy-Alexander; Pruvost, Patrice; Henri, Pauline; Labat, Jean-Philippe; Wadley, Victoria; Hirano, Daisuke; Moteki, Masato</t>
  </si>
  <si>
    <t>Size distribution of meso- and bathypelagic fish in the Dumont d'Urville Sea (East Antarctica) during the CEAMARC surveys</t>
  </si>
  <si>
    <t>Mesopelagic; Bathypelagic; Southern Ocean; Myctophids; East Antarctica</t>
  </si>
  <si>
    <t>The pelagic fish community of the Dumont d'Urville Sea (East Antarctica) was investigated during the 2008 austral-summer using IYGPT (International Young Gadoid Pelagic Trawl) samples taken in different depth layers from the surface to 1000 m. The aim of this paper is to describe the mesopelagic fish community and its size distribution. The family Myctophidae dominated the mesopelagic ichthyofauna, while bathylagids were abundant in deeper hauls. Bathylagids, Cyclothone spp., Gymnoscopelus opisthopterus, Electrona antarctica, Protomyctophum bolini, and Krefftichthys anderssoni were the most abundant taxa in the samples and showed size stratification with depth. Community and size structuring appear to be influenced by the hydrology and by the proximity of the continental margin, as well as a relationship to the circulation of the Modified Circumpolar Deep Water. (C) 2011 Elsevier B.V. and NIPR. All rights reserved.</t>
  </si>
  <si>
    <t>[Koubbi, Philippe; Henri, Pauline; Labat, Jean-Philippe] Univ Paris 06, UMR 7093, Lab Oceanog Villefranche, F-06234 Villefranche Sur Mer, France; [Koubbi, Philippe; Henri, Pauline; Labat, Jean-Philippe] CNRS, UMR 7093, LOV, F-06234 Villefranche Sur Mer, France; [Hulley, Percy-Alexander] Iziko South African Museum, ZA-8000 Cape Town, South Africa; [Pruvost, Patrice] MNHN, DMPA UMR 7208, F-75005 Paris, France; [Wadley, Victoria] Australian Antarctic Div, Dept Sustainabil Environm Water Populat &amp; Communi, Kingston, Tas 7050, Australia; [Hirano, Daisuke; Moteki, Masato] Tokyo Univ Marine Sci &amp; Technol, Fac Marine Sci, Minato Ku, Tokyo 1088477, Japan</t>
  </si>
  <si>
    <t>Sorbonne Universite; Centre National de la Recherche Scientifique (CNRS); CNRS - National Institute for Earth Sciences &amp; Astronomy (INSU); Sorbonne Universite; Centre National de la Recherche Scientifique (CNRS); CNRS - National Institute for Earth Sciences &amp; Astronomy (INSU); Museum National d'Histoire Naturelle (MNHN); Centre National de la Recherche Scientifique (CNRS); CNRS - Institute of Ecology &amp; Environment (INEE); Australian Antarctic Division; Tokyo University of Marine Science &amp; Technology</t>
  </si>
  <si>
    <t>Koubbi, P (corresponding author), Univ Paris 06, UMR 7093, Lab Oceanog Villefranche, BP28, F-06234 Villefranche Sur Mer, France.</t>
  </si>
  <si>
    <t>koubbi@obs-vlfr.fr</t>
  </si>
  <si>
    <t>Koubbi, Philippe/D-5873-2015; Pruvost, Patrice/E-5690-2011; Hirano, Daisuke/P-3963-2019</t>
  </si>
  <si>
    <t>CAML; TUMSAT; IPEV (ICOTA: Ichtyologie Cotiere en Terre Adelie); AAD; ANR GLIDES; ZA CNRS Antarctique</t>
  </si>
  <si>
    <t>CAML; TUMSAT; IPEV (ICOTA: Ichtyologie Cotiere en Terre Adelie); AAD; ANR GLIDES(Agence Nationale de la Recherche (ANR)); ZA CNRS Antarctique</t>
  </si>
  <si>
    <t>We would like to acknowledge the crew and captains of the TRV Umitaka Maru and specially the Japanese cadets who helped us with sorting and processing the fish samples. Thanks to Eric Tavernier for his help during the survey. Funding sources were from CAML, TUMSAT, IPEV (ICOTA: Ichtyologie Cotiere en Terre Adelie, PI: Philippe Koubbi and Catherine Ozouf-Costaz), AAD, ANR GLIDES (PI: Charles-Andre Bost), ZA CNRS Antarctique (PI: Marc Lebouvier). This work is a contribution to CAML and SCAR-MarBIN. We would like to acknowledge Professor Ishimaru from TUMSAT, the scientific leader who gave us the opportunity of participating in this survey. We would like to thank Dr Graham Hosie, the CEAMARC scientific leader for managing all the surveys and finding great collaborations between scientists from different countries.</t>
  </si>
  <si>
    <t>10.1016/j.polar.2011.03.003</t>
  </si>
  <si>
    <t>WOS:000209057800010</t>
  </si>
  <si>
    <t>Moteki, M; Koubbi, P; Pruvost, P; Tavernier, E; Hulley, PA</t>
  </si>
  <si>
    <t>Moteki, Masato; Koubbi, Philippe; Pruvost, Patrice; Tavernier, Eric; Hulley, Percy-Alexander</t>
  </si>
  <si>
    <t>Spatial distribution of pelagic fish off Adelie and George V Land, East Antarctica in the austral summer 2008</t>
  </si>
  <si>
    <t>Pelagic fish; Community structure; East Antarctica; Mesopelagic fish; Notothenioids</t>
  </si>
  <si>
    <t>SILVERFISH PLEURAGRAMMA-ANTARCTICUM; MARGINAL ICE-ZONE; SOUTHERN-OCEAN; ROSS SEA; FOOD-WEB; VERTICAL-DISTRIBUTION; COMMUNITY STRUCTURE; MESOPELAGIC FISH; FEEDING ECOLOGY; OPEN WATERS</t>
  </si>
  <si>
    <t>Pelagic fish assemblages and community structure were examined along longitudinal and meridian transects off Adelie and George V Land, East Antarctica, in the austral summer 2008. Fish were sampled with an RMT 8 net principally from six discrete depth layers (0-50-100-200-500-100-2000 m) in the oceanic zone and from three depth layers (0-50-100-200 m) over the continental shelf zone. A total of 20,281 individuals from 27 species were collected. Pleuragramma antarcticum was the most dominant species by number (18,710 inds), followed by Chionodraco hamatus (768), Trematomus newnesi (375), Cyclothone microdon (101), Electrona antarctica (92), Bathylagus antarcticus (51) and Notolepis coatsi (54). Cluster analysis revealed that the fish community was clearly divided at the Antarctic Slope Front into separate oceanic and shelf assemblages, being dominated by mesopelagic fish and notothenioids, respectively. The Southern Boundary of Antarctic Circumpolar Current likely restricted a more northern distribution of notothenioids in the upper 200 m. Mesopelagic fish dominated the large biomass below 500 m and notothenioids dominated that in the upper 100 m. It is considered that mesopelagic fish in the oceanic zone would unlikely be eaten by seabirds because no distinctive diel vertical migration to the surface layer was observed. In the neritic zone, notothenioids (C. hamatus, T. newnesi and P. antarcticum) possibly play an important role as prey items for flying seabirds, penguins and other notothenioids fish especially in the shallow depth stratum (0-100 m). (C) 2011 Elsevier B.V. and NIPR. All rights reserved.</t>
  </si>
  <si>
    <t>[Moteki, Masato] Tokyo Univ Marine Sci &amp; Technol, Dept Ocean Sci, Minato Ku, Tokyo 1088477, Japan; [Koubbi, Philippe] Univ Paris 06, UMR 7093, Lab Oceanog Villefranche, F-06234 Villefranche Sur Mer, France; [Koubbi, Philippe] CNRS, UMR 7093, LOV, F-06234 Villefranche Sur Mer, France; [Pruvost, Patrice] MNHN, Collect Ichthyol CP26, Museum Natl Hist Nat, F-75231 Paris 05, France; [Tavernier, Eric] IUT Calais Boulogne, Dpt Genie Biol, F-62327 Boulogne Sur Mer, France; [Hulley, Percy-Alexander] Iziko South African Museum, Dept Marine Biol, ZA-8000 Cape Town, South Africa</t>
  </si>
  <si>
    <t>Tokyo University of Marine Science &amp; Technology; Sorbonne Universite; Centre National de la Recherche Scientifique (CNRS); CNRS - National Institute for Earth Sciences &amp; Astronomy (INSU); Centre National de la Recherche Scientifique (CNRS); CNRS - National Institute for Earth Sciences &amp; Astronomy (INSU); Sorbonne Universite; Museum National d'Histoire Naturelle (MNHN)</t>
  </si>
  <si>
    <t>Moteki, M (corresponding author), Tokyo Univ Marine Sci &amp; Technol, Dept Ocean Sci, Minato Ku, 4-5-7 Konan, Tokyo 1088477, Japan.</t>
  </si>
  <si>
    <t>masato@kaiyodai.ac.jp</t>
  </si>
  <si>
    <t>Japan Society for the Promotion of Science [114255012, 19255014]; IPEV (ICO2TA project); Zone Atelier Antarctique of CNRS; ANR Glides; ANR Antflocks; Grants-in-Aid for Scientific Research [19255014] Funding Source: KAKEN</t>
  </si>
  <si>
    <t>Japan Society for the Promotion of Science(Ministry of Education, Culture, Sports, Science and Technology, Japan (MEXT)Japan Society for the Promotion of Science); IPEV (ICO2TA project); Zone Atelier Antarctique of CNRS; ANR Glides(Agence Nationale de la Recherche (ANR)); ANR Antflocks(Agence Nationale de la Recherche (ANR)); Grants-in-Aid for Scientific Research(Ministry of Education, Culture, Sports, Science and Technology, Japan (MEXT)Japan Society for the Promotion of ScienceGrants-in-Aid for Scientific Research (KAKENHI))</t>
  </si>
  <si>
    <t>We would like to acknowledge the crew and officers of the TRV Umitaka Maru (TUMSAT) and all of the onboard cadets in the Advanced Course for Marine Science and Technology for their assistance in sample collection. We also thank our scientific colleagues from many institutes for help processing samples and hydrographic observations onboard. Dr Daisuke Hirano and Mr Ryoji Toda (TUMSAT) helped us construct some figures. We would like to give special thanks to Professor Takashi Ishimaru (TUMSAT), who organized this survey as a scientific leader. This survey was conducted as Collaborative East Antarctic Marine Census (CEAMARC), and was also supported by Grant-in Aid for Scientific Research from the Japan Society for the Promotion of Science (Nos. 114255012 and 19255014 for T. Ishimaru). This study was supported for the French team by IPEV (ICO2TA project), Zone Atelier Antarctique of CNRS, ANR Glides and ANR Antflocks. Finally, we would like to thank Dr Graham Hosie (Australian Antarctic Division), who encouraged our study as the CEAMARC leader.</t>
  </si>
  <si>
    <t>10.1016/j.polar.2011.04.001</t>
  </si>
  <si>
    <t>WOS:000209057800011</t>
  </si>
  <si>
    <t>Koubbi, P; O'Brien, C; Loots, C; Giraldo, C; Smith, M; Tavernier, E; Vacchi, M; Vallet, C; Chevallier, J; Moteki, M</t>
  </si>
  <si>
    <t>Koubbi, Philippe; O'Brien, Colleen; Loots, Christophe; Giraldo, Carolina; Smith, Martina; Tavernier, Eric; Vacchi, Marino; Vallet, Carole; Chevallier, Jean; Moteki, Masato</t>
  </si>
  <si>
    <t>Spatial distribution and inter-annual variations in the size frequency distribution and abundances of Pleuragramma antarcticum larvae in the Dumont d'Urville Sea from 2004 to 2010</t>
  </si>
  <si>
    <t>Pleuragramma antarcticum; East Antarctic shelf; Fish larvae; Life cycle; Inter-annual variations</t>
  </si>
  <si>
    <t>This paper investigates the abundance and distribution of Pleuragramma antarcticum larvae by size class in the Dumont d'Urville Sea from 2004 to 2010. Samples were collected between Dumont d'Urville station and the Mertz Glacier Tongue onboard the RV l'Astrolabe for studying the inter-annual and spatial distribution of fish larvae and the TRV Umitaka Maru for looking at life stages vertical distributions. The seabed depression adjacent to the Mertz Glacier Tongue and in Commonwealth Bay hosted high abundances of small P. antarcticum larvae, while larger larvae were found in lower abundance and further offshore. We found that canyons, sea ice, stability of the water column and temperatures are important features for determining suitable areas for young larvae. (C) 2011 Elsevier B.V. and NIPR. All rights reserved.</t>
  </si>
  <si>
    <t>[Koubbi, Philippe; Giraldo, Carolina; Chevallier, Jean] Univ Paris 06, UMR 7093, Lab Oceanog Villefranche, F-06230 Villefranche Sur Mer, France; [Koubbi, Philippe; Giraldo, Carolina; Chevallier, Jean] CNRS, UMR 7093, Lab Oceanog Villefranche, F-06230 Villefranche Sur Mer, France; [O'Brien, Colleen] Univ Tasmania, Inst Antarctic &amp; So Ocean Studies, Hobart, Tas 7001, Australia; [Loots, Christophe] IFREMER, Lab Ressources Halieut, F-62321 Boulogne Sur Mer, France; [Smith, Martina] Univ Tasmania, Sch Geog &amp; Environm Studies, Hobart, Tas 7001, Australia; [Tavernier, Eric] IUT Calais Boulogne, Dpt Genie Biol, F-62327 Boulogne Sur Mer, France; [Vacchi, Marino] Univ Genoa, ISPRA, Museo Nazl Antartide, I-16132 Genoa, Italy; [Vallet, Carole] Univ Littoral Cote dOpale, Lab Oceanol &amp; Geosci, CNRS, UMR LOG 8187, F-62930 Wimereux, France; [Vallet, Carole] Univ Artois, Ctr IUFM Nord Pas de Calais, F-62230 Outreau, France; [Moteki, Masato] Tokyo Univ Marine Sci &amp; Technol, Fac Marine Sci, Minato Ku, Tokyo 1088477, Japan</t>
  </si>
  <si>
    <t>Centre National de la Recherche Scientifique (CNRS); CNRS - National Institute for Earth Sciences &amp; Astronomy (INSU); Sorbonne Universite; Centre National de la Recherche Scientifique (CNRS); CNRS - National Institute for Earth Sciences &amp; Astronomy (INSU); Sorbonne Universite; University of Tasmania; Ifremer; University of Tasmania; University of Genoa; Universite du Littoral-Cote-d'Opale; Centre National de la Recherche Scientifique (CNRS); CNRS - National Institute for Earth Sciences &amp; Astronomy (INSU); Universite d'Artois; Tokyo University of Marine Science &amp; Technology</t>
  </si>
  <si>
    <t>Koubbi, P (corresponding author), Univ Paris 06, UMR 7093, Lab Oceanog Villefranche, F-06230 Villefranche Sur Mer, France.</t>
  </si>
  <si>
    <t>Koubbi, Philippe/D-5873-2015; O'Brien, Colleen/H-7698-2015</t>
  </si>
  <si>
    <t>O'Brien, Colleen/0000-0003-4456-8119; Loots, Christophe/0000-0002-7344-1777; Giraldo, Carolina/0000-0003-0278-522X</t>
  </si>
  <si>
    <t>Institut Polaire Emile Victor (IPEV); Zone Atelier Antarctique; ANR Glides; ANR Antflocks</t>
  </si>
  <si>
    <t>Institut Polaire Emile Victor (IPEV); Zone Atelier Antarctique; ANR Glides(Agence Nationale de la Recherche (ANR)); ANR Antflocks(Agence Nationale de la Recherche (ANR))</t>
  </si>
  <si>
    <t>This study was conducted onboard the RV l'Astrolabe and TRV Umitaka Maru. Colleen O'Brien was part of an exchange between the University of Tasmania and Universite 'Pierre et Marie Curie organised through the International Antarctic Institute. This study is funded by Institut Polaire Emile Victor (IPEV), Zone Atelier Antarctique, ANR Glides and ANR Antflocks. This research would not have been possible without the logistic help of Alain Pottier, Alain Pierre and Patrice Godon from IPEV. We want to thank the captains and crew of the RV l'Astrolabe and TRV Umitaka Maru, the Belgian team linked to PELAGANT and PADI projects, the cadets of TRV Umitaka Maru and the volunteers in Dumont d'Urville who participated in the project. We would like to thank Florian Penot and Emmanuelle Sultan for processing the CTD data.</t>
  </si>
  <si>
    <t>10.1016/j.polar.2011.02.003</t>
  </si>
  <si>
    <t>WOS:000209057800012</t>
  </si>
  <si>
    <t>Vallet, C; Beans, C; Koubbi, P; Courcot, L; Hecq, JH; Goffart, A</t>
  </si>
  <si>
    <t>Vallet, Carole; Beans, Cristina; Koubbi, Philippe; Courcot, Lucie; Hecq, Jean-Henri; Goffart, Anne</t>
  </si>
  <si>
    <t>Food preferences of larvae of Antarctic silverfish Pleuragramma antarcticum Boulenger, 1902 from Terre Adelie coastal waters during summer 2004</t>
  </si>
  <si>
    <t>Antarctica; Feeding strategy; Food selection; Food size; Generalist feeders</t>
  </si>
  <si>
    <t>Ichthyoplankton samples were collected from 19 to 31 January 2004 in the Dumont d'Urville Sea (East Antarctic shelf). The Nototheniidae Pleuragramma antarcticum comprised more than 90% of the sampled larvae. Gut contents of 95 P antarcticum larvae were examined. Most larvae fed on phytoplankton, especially diatoms, whereas some other specimens had a mixed diet with phyto-and zooplankton prey. A single specimen fed exclusively on copepods. The stomach contents was dominated by three diatoms taxa, such as Thalassiothrix antarctica, Fragilariopsis spp. and Chaetoceros spp. Prey selection was apparently food density dependent, with an inverse relationship between food abundance and selection feeding. Larvae selected positively some diatoms, such as Coscinodiscus spp. and T. antarctica, presenting a low concentration in the water column compared to Fragilariopsis spp., which were strongly negatively selected. During summer, larvae were opportunistic feeders with a broad trophic niche, which allowed them to switch between different food types. (C) 2011 Elsevier B.V. and NIPR. All rights reserved.</t>
  </si>
  <si>
    <t>[Vallet, Carole] UArtois, Ctr IUFM Outreau, Ctr IUFM Nord Pas de Calais, F-62230 Outreau, France; [Vallet, Carole; Courcot, Lucie] Univ Lille Nord France, F-59000 Lille, France; [Vallet, Carole; Courcot, Lucie] ULCO, LOG, F-62000 Wimereux, France; [Vallet, Carole; Courcot, Lucie] CNRS, UMR8187, F-62000 Wimereux, France; [Beans, Cristina; Hecq, Jean-Henri; Goffart, Anne] Univ Liege, MARE Ctr, Lab Oceanol, B-4000 Liege, Belgium; [Koubbi, Philippe] Univ Paris 06, UMR 7093, Lab Oceanog Villefranche, F-06234 Villefranche Sur Mer, France; [Koubbi, Philippe] CNRS, UMR 7093, LOV, F-06234 Villefranche Sur Mer, France</t>
  </si>
  <si>
    <t>Universite de Lille; Universite du Littoral-Cote-d'Opale; Centre National de la Recherche Scientifique (CNRS); CNRS - National Institute for Earth Sciences &amp; Astronomy (INSU); University of Liege; Sorbonne Universite; Centre National de la Recherche Scientifique (CNRS); CNRS - National Institute for Earth Sciences &amp; Astronomy (INSU); Centre National de la Recherche Scientifique (CNRS); CNRS - National Institute for Earth Sciences &amp; Astronomy (INSU); Sorbonne Universite</t>
  </si>
  <si>
    <t>Vallet, C (corresponding author), Univ Littoral, 32 Ave Foch, F-62000 Wimereux, France.</t>
  </si>
  <si>
    <t>IPEV; Zone Atelier Antarctique (INSU-CNRS); Australian Government's Cooperative Research Centres Programme through the Antarctic Climate and Ecosystems Cooperative Research Centre (SW Wright); BELSPO (Belgium) [EV/12/30A, SD/BA/851]</t>
  </si>
  <si>
    <t>IPEV; Zone Atelier Antarctique (INSU-CNRS); Australian Government's Cooperative Research Centres Programme through the Antarctic Climate and Ecosystems Cooperative Research Centre (SW Wright); BELSPO (Belgium)(Belgian Federal Science Policy Office)</t>
  </si>
  <si>
    <t>This article is a contribution to the Census of Antarctic Marine Life and to ANR GLIDES (PI: Charles-Andre Bost). We thank the Captain Yvon Guedez and the crew of the RV l'Astrolabe, Alain Pottier, Alain Pierre and Patrice Godon for logistics onboard and adaptation of l'Astrolabe to allow scientific work. We also thank Patrice Pruvost and Camille White for help with the field work. The authors are grateful to Gregory Beaugrand for comments and help in correcting the English text. Funding was provided by IPEV and Zone Atelier Antarctique (INSU-CNRS). This work was supported by the Australian Government's Cooperative Research Centres Programme through the Antarctic Climate and Ecosystems Cooperative Research Centre (SW Wright). Work of Anne Goffart (MARE publication no. 149) was supported by BELSPO (Belgium) under contracts PELAGANT (EV/12/30A) and PADI (SD/BA/851).</t>
  </si>
  <si>
    <t>10.1016/j.polar.2010.12.005</t>
  </si>
  <si>
    <t>WOS:000209057800013</t>
  </si>
  <si>
    <t>Giraldo, C; Cherel, Y; Vallet, C; Mayzaud, P; Tavernier, E; Moteki, M; Hosie, G; Koubbi, P</t>
  </si>
  <si>
    <t>Giraldo, Carolina; Cherel, Yves; Vallet, Carole; Mayzaud, Patrick; Tavernier, Eric; Moteki, Masato; Hosie, Graham; Koubbi, Philippe</t>
  </si>
  <si>
    <t>Ontogenic changes in the feeding ecology of the early life stages of the Antarctic silverfish (Pleuragramma antarcticum) documented by stable isotopes and diet analysis in the Dumont d'Urville Sea (East Antarctica)</t>
  </si>
  <si>
    <t>delta C-13; delta N-15; Southern Ocean; Trophic relationships; Omnivory</t>
  </si>
  <si>
    <t>FOOD-WEB; TROPHIC RELATIONSHIPS; MCMURDO SOUND; ROSS SEA; SPATIAL-DISTRIBUTION; SAGITTA-GAZELLAE; EUKROHNIA-HAMATA; CARBON ISOTOPES; SOUTHERN; DELTA-N-15</t>
  </si>
  <si>
    <t>The feeding ecology of the notothenioid fish Pleuragramma antarcticum was studied in the Dumont d'Urville Sea (East Antarctica) near the French Antarctic station. Stable isotopes (delta C-13 and delta N-15) and diet contents were used in order to study dietary shifts between fish larvae and juveniles. All specimens had low delta C-13 values (&lt; -24 parts per thousand), a main characteristic of high-Antarctic pelagic species. Fish larvae showed differences in both carbon and nitrogen ratios when compared with juveniles. Muscle delta N-15 values showed a difference of one trophic level (similar to 3 parts per thousand) between larvae (6.7 parts per thousand) and juveniles (9.7-10.0 parts per thousand) and a trophic position of tertiary consumers. Diet content analyses (stereomicroscope and scanning electron microscopes) indicated that larvae are omnivorous, feeding on phytoplankton (mainly diatoms) as well as on zooplankton species. A positive relationship between delta N-15 values and size was found and indicated a carnivorous diet for older specimens. (C) 2011 Elsevier B.V. and NIPR. All rights reserved.</t>
  </si>
  <si>
    <t>[Giraldo, Carolina; Mayzaud, Patrick; Koubbi, Philippe] Univ Paris 06, UMR 7093, Lab Oceanog Villefranche, F-06234 Villefranche Sur Mer, France; [Giraldo, Carolina; Mayzaud, Patrick; Koubbi, Philippe] CNRS, UMR 7093, LOV, F-06234 Villefranche Sur Mer, France; [Cherel, Yves] CNRS, UPR 1934, Ctr Etud Biol Chize, F-79360 Villiers En Bois, France; [Vallet, Carole] Univ Littoral Cote dOpale, UMR 8187, Lab Oceanol &amp; Geosci, F-62930 Wimereux, France; [Vallet, Carole] Univ Artois, IUFM Nord Pas de Calais, Ctr Outreau, F-62230 Outreau, France; [Vallet, Carole; Tavernier, Eric] Univ Lille Nord France, F-59000 Lille, France; [Tavernier, Eric] Univ Littoral Cote dOpale, Dept Genie Biol, F-62327 Boulogne Sur Mer, France; [Moteki, Masato] Tokyo Univ Marine Sci &amp; Technol, Fac Marine Sci, Minato Ku, Tokyo 1088477, Japan; [Hosie, Graham] Australian Antarctic Div, Dept Sustainabil Environm Water Populat &amp; Communi, Kingston, Tas 7050, Australia</t>
  </si>
  <si>
    <t>Centre National de la Recherche Scientifique (CNRS); CNRS - National Institute for Earth Sciences &amp; Astronomy (INSU); Sorbonne Universite; Sorbonne Universite; Centre National de la Recherche Scientifique (CNRS); CNRS - National Institute for Earth Sciences &amp; Astronomy (INSU); Centre National de la Recherche Scientifique (CNRS); Centre National de la Recherche Scientifique (CNRS); CNRS - National Institute for Earth Sciences &amp; Astronomy (INSU); Universite du Littoral-Cote-d'Opale; Universite d'Artois; Universite de Lille; Universite du Littoral-Cote-d'Opale; Tokyo University of Marine Science &amp; Technology; Australian Antarctic Division</t>
  </si>
  <si>
    <t>Giraldo, Carolina/0000-0003-0278-522X</t>
  </si>
  <si>
    <t>French Polar Institute; IPEV (Institut Paul Emile Victor); ANR Glides; ANR Antflocks</t>
  </si>
  <si>
    <t>French Polar Institute; IPEV (Institut Paul Emile Victor); ANR Glides(Agence Nationale de la Recherche (ANR)); ANR Antflocks(Agence Nationale de la Recherche (ANR))</t>
  </si>
  <si>
    <t>The Umitaka Maru and l'Astrolabe cruises were part of the Collaborative East Antarctic Marine Census (CEAMARC) which was a contribution to the Census of Antarctic Marine Life (CAML). This study was part of the ICO2TA French project (Integrated costal Ocean Observations in Terre Adelie) supported by the French Polar Institute, IPEV (Institut Paul Emile Victor) with the aim of collecting information on the composition of Antarctic communities on the Antarctic continental shelf. The authors thank the crew, captains and cruise leaders from the l'Astrolabe and Umitaka Maru who helped collect samples, and G. Guillou and P. Richard for stable isotope analysis. The work was supported financially and logistically by the ANR Glides and ANR Antflocks.</t>
  </si>
  <si>
    <t>10.1016/j.polar.2011.04.004</t>
  </si>
  <si>
    <t>WOS:000209057800014</t>
  </si>
  <si>
    <t>Mayzaud, P; Chevallier, J; Tavernier, E; Moteki, M; Koubbi, P</t>
  </si>
  <si>
    <t>Mayzaud, P.; Chevallier, J.; Tavernier, E.; Moteki, M.; Koubbi, P.</t>
  </si>
  <si>
    <t>Lipid composition of the Antarctic fish Pleuragramma antarcticum. Influence of age class</t>
  </si>
  <si>
    <t>Pleuragramma antarcticum; Age class; Lipid composition; Fatty acid trophic markers</t>
  </si>
  <si>
    <t>TERRA-NOVA BAY; THYSANOESSA-MACRURA; NOTOTHENIOID FISH; WEDDELL SEA; SILVERFISH; PISCES; METABOLISM; LIFE; POSTLARVAL; ABUNDANCE</t>
  </si>
  <si>
    <t>Larvae and juvenile stages of Pleuragramma antarcticum have been collected in the Dumont D'Urville Sea (East Antarctica) during summer 2008 on board the TRV Umitaka Maru during the CEAMARC survey. Detailed analyses of their lipid class and fatty acid compositions were carried out. P. antarcticum showed a pronounced ontogenic lipid accumulation with increasing size. Larvae displayed a dominance of polar lipids (83% of total lipids) and low percentage of triglycerides (7%). Conversely juveniles showed an increasing accumulation of triglycerides (up to 72.4%). The fatty acid composition of polar lipids remained rather stable between stages with 22:6n-3 and 20:5n-3 as dominant contributors. The relatively minor ontogenic changes, e. g. increase of mono-unsaturated and decrease of C18 polyunsaturated fatty acids, may reflect the influence of differences in diet. Triglycerides showed that all three age classes are well segregated in term of fatty acid composition. Larvae triglycerides are characterized by significant percentages of 16:0, 20:5n-3, 20:6n-3 and to a minor extent 18:4n-3, which suggest a prymnesiophyte based diet. Juveniles are characterized by larger percentages of C20:1 and C22:1 acids, considered as markers of Calanus type copepods. The increasing contribution of 18:1n-9 in the triglycerides of the older juveniles suggests a gradual and increasing shift from a copepod dominant diet to an euphausiid dominant diet. Fatty acid trophic markers pattern suggests a shift from a phytophagous and omnivorous diet for larvae to a carnivorous diet for juveniles. (C) 2011 Elsevier B.V. and NIPR. All rights reserved.</t>
  </si>
  <si>
    <t>[Mayzaud, P.; Chevallier, J.; Koubbi, P.] Univ Paris 06, UMR 7093, Lab Oceanog Villefranche, F-06234 Villefranche Sur Mer, France; [Mayzaud, P.; Chevallier, J.; Koubbi, P.] CNRS, UMR 7093, LOV, F-06234 Villefranche Sur Mer, France; [Tavernier, E.] Univ Lille Nord France, F-59000 Lille, France; [Tavernier, E.] ULCO, Dept Genie Biol, F-62327 Boulogne Sur Mer, France; [Moteki, M.] Tokyo Univ Marine Sci &amp; Technol, Fac Marine Sci, Minato Ku, Tokyo 1088477, Japan</t>
  </si>
  <si>
    <t>Centre National de la Recherche Scientifique (CNRS); CNRS - National Institute for Earth Sciences &amp; Astronomy (INSU); Sorbonne Universite; Centre National de la Recherche Scientifique (CNRS); CNRS - National Institute for Earth Sciences &amp; Astronomy (INSU); Sorbonne Universite; Universite de Lille; Universite du Littoral-Cote-d'Opale; Tokyo University of Marine Science &amp; Technology</t>
  </si>
  <si>
    <t>Mayzaud, P (corresponding author), Univ Paris 06, UMR 7093, Lab Oceanog Villefranche, BP 28, F-06234 Villefranche Sur Mer, France.</t>
  </si>
  <si>
    <t>mayzaud@obs-vlfr.fr</t>
  </si>
  <si>
    <t>Census of Antarctic Marine Life (CAML); Tokyo University of Marine Science and Technology - TUMSAT; Institut Polaire Paul Emile Victor - IPEV (ICOTA: Ichtyologie Cotiere en Terre Adelie, PI: Philippe Koubbi and Catherine Ozouf-Costaz); Australian Antarctic Division - AAD; ANR Antflocks (PI: Guillaume Lecointre); ANR GLIDES (PI: Charles-Andre Bost); ZA CNRS Antarctique (PI: Marc Lebouvier); TUMSAT; MNHN</t>
  </si>
  <si>
    <t>Census of Antarctic Marine Life (CAML); Tokyo University of Marine Science and Technology - TUMSAT; Institut Polaire Paul Emile Victor - IPEV (ICOTA: Ichtyologie Cotiere en Terre Adelie, PI: Philippe Koubbi and Catherine Ozouf-Costaz); Australian Antarctic Division - AAD; ANR Antflocks (PI: Guillaume Lecointre)(Agence Nationale de la Recherche (ANR)); ANR GLIDES (PI: Charles-Andre Bost)(Agence Nationale de la Recherche (ANR)); ZA CNRS Antarctique (PI: Marc Lebouvier); TUMSAT; MNHN</t>
  </si>
  <si>
    <t>We would like to acknowledge crew and captain of TRV Umitaka Maru. Funding sources were from the Census of Antarctic Marine Life (CAML), Tokyo University of Marine Science and Technology - TUMSAT, Institut Polaire Paul Emile Victor - IPEV (ICOTA: Ichtyologie Cotiere en Terre Adelie, PI: Philippe Koubbi and Catherine Ozouf-Costaz), Australian Antarctic Division - AAD, ANR Antflocks (PI: Guillaume Lecointre), ANR GLIDES (PI: Charles-Andre Bost), ZA CNRS Antarctique (PI: Marc Lebouvier). We would like to acknowledge Prof. Takashi Ishimaru at TUMSAT who was the scientific leader of the survey and Dr Graham Hosie at the AAD who is the PI of CEAMARC. This work was made possible because of the help on board of cadets from TUMSAT and Patrice Pruvost from MNHN.</t>
  </si>
  <si>
    <t>10.1016/j.polar.2010.12.003</t>
  </si>
  <si>
    <t>WOS:000209057800015</t>
  </si>
  <si>
    <t>Causse, R; Ozouf-Costaz, C; Koubbi, P; Lamy, D; Eléaume, M; Dettaï, A; Duhamel, G; Busson, F; Pruvost, P; Post, A; Beaman, RJ; Riddle, MJ</t>
  </si>
  <si>
    <t>Causse, Romain; Ozouf-Costaz, Catherine; Koubbi, Philippe; Lamy, Dominique; Eleaume, Marc; Dettai, Agnes; Duhamel, Guy; Busson, Frederic; Pruvost, Patrice; Post, Alexandra; Beaman, Robin J.; Riddle, Martin J.</t>
  </si>
  <si>
    <t>Demersal ichthyofaunal shelf communities from the Dumont d'Urville Sea (East Antarctica)</t>
  </si>
  <si>
    <t>East Antarctica; Demersal fish; Notothenioidei; Community structure</t>
  </si>
  <si>
    <t>ROSS SEA; WEDDELL SEA; ARTEDIDRACONIDAE PISCES; TROPHIC ECOLOGY; TERRE-ADELIE; FISH FAUNA; NOTOTHENIOIDEI; BATHYDRACONIDAE; BIODIVERSITY; DIVERSITY</t>
  </si>
  <si>
    <t>The RSV Aurora Australis survey allowed the first comprehensive study of the demersal ichthyofaunal environment and of the diversity of the Dumont d'Urville Sea. We observed a high dominance of the Notothenioidei in both the number of species and in integrated abundances. The Nototheniidae was the most abundant family with 44.7% of the total integrated abundance, followed by Bathydraconidae (18.8%). Trematomus eulepidotus was the dominant species with 19.9% of the total individuals catch. Nevertheless, 43 of the 53 species caught could be considered as very rare. The Bathydraconidae was the most diversified family with 11 species caught. The highest integrated abundances of fish were found from 400 to 800 m. Well-structured species communities were observed, with high species richness from 570 to 681 m. The richest zones were located along the basins and along their upper-sides. Statistical analyses indicated large-scale spatial patterns in species composition, with clear differences in fish communities from the continental slopes, the basins and on the shelf. At a finer spatial scale, the current in the George V Basin and iceberg scouring on the banks and their sides tended to create locally heterogeneous small-scale habitats. We suggest that the glacial history and the structured habitats allowed successive colonisations of the seabed by demersal fish. (C) 2011 Elsevier B. V. and NIPR. All rights reserved.</t>
  </si>
  <si>
    <t>[Causse, Romain; Eleaume, Marc; Duhamel, Guy; Busson, Frederic; Pruvost, Patrice] MNHN, DMPA UMR BOREA 7208, F-75005 Paris, France; [Causse, Romain] Univ Perpignan, EPHE CNRS, USR 3278, Ctr Biol &amp; Ecol Trop &amp; Mediterraneenne, F-66860 Perpignan, France; [Ozouf-Costaz, Catherine; Dettai, Agnes] Museum Natl Hist Nat, CNRS UMR 7138 Systemat, CP26, F-75231 Paris 05, France; [Koubbi, Philippe] Univ Paris 06, UMR 7093, Lab Oceanog Villefranche, F-06234 Villefranche Sur Mer, France; [Koubbi, Philippe] CNRS, UMR 7093, LOV, F-06234 Villefranche Sur Mer, France; [Lamy, Dominique] Univ Vienna, Dept Marine Biol, A-1090 Vienna, Austria; [Post, Alexandra] Geosci Australia, Marine &amp; Coastal Environm Grp, Canberra, ACT 2601, Australia; [Beaman, Robin J.] James Cook Univ, Sch Earth &amp; Environm Sci, Cairns, QLD 4870, Australia; [Riddle, Martin J.] Australian Antarctic Div, Dept Sustainabil Environm Water Populat &amp; Communi, Kingston, Tas 7050, Australia</t>
  </si>
  <si>
    <t>Centre National de la Recherche Scientifique (CNRS); Institut de Recherche pour le Developpement (IRD); Museum National d'Histoire Naturelle (MNHN); Sorbonne Universite; Universite Perpignan Via Domitia; Centre National de la Recherche Scientifique (CNRS); CNRS - Institute of Ecology &amp; Environment (INEE); Museum National d'Histoire Naturelle (MNHN); Sorbonne Universite; Centre National de la Recherche Scientifique (CNRS); CNRS - National Institute for Earth Sciences &amp; Astronomy (INSU); Sorbonne Universite; Centre National de la Recherche Scientifique (CNRS); CNRS - National Institute for Earth Sciences &amp; Astronomy (INSU); University of Vienna; Geoscience Australia; James Cook University; Australian Antarctic Division</t>
  </si>
  <si>
    <t>Causse, R (corresponding author), MNHN, DMPA UMR BOREA 7208, 43 Rue Cuvier, F-75005 Paris, France.</t>
  </si>
  <si>
    <t>causse@mnhn.fr</t>
  </si>
  <si>
    <t>Dettai, Agnes/Q-6743-2019; Lamy, Dominique/L-5032-2013; Pruvost, Patrice/E-5690-2011; Koubbi, Philippe/D-5873-2015</t>
  </si>
  <si>
    <t>Lamy, Dominique/0009-0000-0605-1624; Post, Alexandra/0000-0002-6287-3283</t>
  </si>
  <si>
    <t>CAML-CEAMARC cruise of RSV Aurora Australis (IPY project [53]; Australian Antarctic Division; French Polar Institute IPEV; CNRS; MNHN; ANR (White Project ANTFLOCKs USAR) [07-BLAN-0213-01]; CAML; TUMSAT; IPEV (ICOTA: Ichtyologie Cotiere en Terre Adelie); ANR GLIDES; ZA CNRS Antarctique; Queensland Smart Futures Fellowship</t>
  </si>
  <si>
    <t>CAML-CEAMARC cruise of RSV Aurora Australis (IPY project; Australian Antarctic Division; French Polar Institute IPEV; CNRS(Centre National de la Recherche Scientifique (CNRS)); MNHN; ANR (White Project ANTFLOCKs USAR)(Agence Nationale de la Recherche (ANR)); CAML; TUMSAT; IPEV (ICOTA: Ichtyologie Cotiere en Terre Adelie); ANR GLIDES(Agence Nationale de la Recherche (ANR)); ZA CNRS Antarctique; Queensland Smart Futures Fellowship</t>
  </si>
  <si>
    <t>We would like to acknowledge the crew and captain of the RSV Aurora Australis. The CAML-CEAMARC cruise of RSV Aurora Australis (IPY project no53) were supported by the Australian Antarctic Division, the French Polar Institute IPEV, the CNRS, the MNHN and the ANR (White Project ANTFLOCKs USAR n 07-BLAN-0213-01 directed by G. Lecointre). Funding sources were also from CAML, TUMSAT, IPEV (ICOTA: Ichtyologie Cotiere en Terre Adelie, PI: Philippe Koubbi and Catherine Ozouf-Costaz), ANR GLIDES (PI: Charles-Andre Bost), ZA CNRS Antarctique (PI: Marc Lebouvier). This work is a contribution to CAML and SCAR-MarBIN. R. Beaman acknowledges a Queensland Smart Futures Fellowship for salary support. We would like to thank CAML (Michael Stoddart and Victoria Wadley). We also like to thank Dr. Steve Rintoul for providing environmental data and Mr Gael Denys for the technical support.</t>
  </si>
  <si>
    <t>10.1016/j.polar.2011.03.004</t>
  </si>
  <si>
    <t>WOS:000209057800016</t>
  </si>
  <si>
    <t>Cherel, Y; Koubbi, P; Giraldo, C; Penot, F; Tavernier, E; Moteki, M; Ozouf-Costaz, C; Causse, R; Chartier, A; Hosie, G</t>
  </si>
  <si>
    <t>Cherel, Yves; Koubbi, Philippe; Giraldo, Carolina; Penot, Florian; Tavernier, Eric; Moteki, Masato; Ozouf-Costaz, Catherine; Causse, Romain; Chartier, Amelie; Hosie, Graham</t>
  </si>
  <si>
    <t>Isotopic niches of fishes in coastal, neritic and oceanic waters off Adelie land, Antarctica</t>
  </si>
  <si>
    <t>Benthic; Ecological niche; Habitat; Pelagic; Southern Ocean; Stable isotopes</t>
  </si>
  <si>
    <t>STABLE-ISOTOPES; TROPHIC INTERACTIONS; FOOD-WEB; INDIVIDUAL SPECIALIZATION; DIET COMPOSITION; FORAGING AREAS; MCMURDO SOUND; WEDDELL SEA; DELTA-C-13; DELTA-N-15</t>
  </si>
  <si>
    <t>We used the stable isotope method to investigate the ecological niches of Antarctic fishes, with delta C-13 and delta N-15 as proxies of fish habitats and dietary habits, respectively. Muscle isotopic signature was measured for each of 237 delipidated tissue samples from 27 fish species collected offshore Adelie Land, East Antarctica. Overall, delta C-13 values ranged from -25.3 parts per thousand to -18.2 parts per thousand, thus allowing characterizing of the fish habitats, with inshore/benthic species having more positive delta C-13 signatures than offshore/pelagic ones. No clear difference in the delta C-13 values of pelagic fishes was found between species living in neritic and oceanic waters. Overall, the delta N-15 signatures of neritic pelagic and epibenthic fishes encompassed similar to 1.0 trophic level (3.1 parts per thousand), a higher difference than that (1.4 parts per thousand) found within the oceanic assemblage. Fishes with the lowest and highest delta N-15 values are primarily invertebrate- and fish-eaters, respectively. The isotopic niches of fishes illustrate the different mechanisms allowing coexistence, with most fishes segregating at least by one of the two niche axes ( delta C-13 and delta N-15). Muscle isotopic values also document interindividual foraging specialization over the long-term in coastal benthic fishes, but not in more offshore pelagic species. Finally, the delta N-15 signatures of fishes overlap with those of penguins and seals, indicating that seabirds and marine mammals share the upper levels of the Antarctic pelagic ecosystem with some large fish species. In conclusion, the concept of isotopic niche is a powerful tool to investigate various aspects of the ecological niche of Antarctic fishes, thus complementing the use of other conventional and non-conventional approaches. (C) 2011 Elsevier B.V. and NIPR. All rights reserved.</t>
  </si>
  <si>
    <t>[Cherel, Yves] CEBC CNRS, UPR 1934, Ctr Etud Biol Chize, F-79360 Villiers En Bois, France; [Koubbi, Philippe; Giraldo, Carolina; Penot, Florian; Chartier, Amelie] Univ Paris 06, UMR CNRS 7093, Lab Oceanog Villefranche, F-06234 Villefranche Sur Mer, France; [Tavernier, Eric] IUT Calais Boulogne, ULCO, Dept Genie Biol, F-62327 Boulogne Sur Mer, France; [Moteki, Masato] Tokyo Univ Marine Sci &amp; Technol, Fac Marine Sci, Minato Ku, Tokyo 1088477, Japan; [Ozouf-Costaz, Catherine] Museum Natl Hist Nat, IFR CNRS 101, Serv Systemat Mol, F-75231 Paris 05, France; [Causse, Romain] Museum Natl Hist Nat, UMR 5178, Dept Milieux &amp; Peuplements Aquat, F-75231 Paris 05, France; [Hosie, Graham] Australian Antarctic Div, Kingston, Tas 7050, Australia</t>
  </si>
  <si>
    <t>Centre National de la Recherche Scientifique (CNRS); Sorbonne Universite; Universite du Littoral-Cote-d'Opale; Tokyo University of Marine Science &amp; Technology; Museum National d'Histoire Naturelle (MNHN); Museum National d'Histoire Naturelle (MNHN); Australian Antarctic Division</t>
  </si>
  <si>
    <t>Cherel, Y (corresponding author), CEBC CNRS, UPR 1934, Ctr Etud Biol Chize, BP 14, F-79360 Villiers En Bois, France.</t>
  </si>
  <si>
    <t>cherel@cebc.cnrs.fr</t>
  </si>
  <si>
    <t>ANR Blanc ANTFLOCKS; Institut Polaire Francais Paul Emile Victor (IPEV) [1142, 109]</t>
  </si>
  <si>
    <t>ANR Blanc ANTFLOCKS(Agence Nationale de la Recherche (ANR)); Institut Polaire Francais Paul Emile Victor (IPEV)</t>
  </si>
  <si>
    <t>The authors thank the crew, captains and cruise leaders from Aurora Australis and Umitaka Maru who helped collect samples, and G. Guillou and P. Richard for stable isotope analysis. The work was supported financially and logistically by the ANR Blanc ANTFLOCKS (G. Lecointre), and the Institut Polaire Francais Paul Emile Victor (IPEV, Programmes No 1142, P. Koubbi, and No 109, H. Weimerskirch). It is a contribution to the Census of Antarctic Marine Life (M. Stoddart &amp; V. Wadley).</t>
  </si>
  <si>
    <t>10.1016/j.polar.2010.12.004</t>
  </si>
  <si>
    <t>WOS:000209057800017</t>
  </si>
  <si>
    <t>Dettai, A; Adamowizc, SJ; Allcock, L; Arango, CP; Barnes, DKA; Barratt, I; Chenuil, A; Couloux, A; Cruaud, C; David, B; Denis, F; Denys, G; Díaz, A; Eléaume, M; Féral, JP; Froger, A; Gallut, C; Grant, R; Griffiths, HJ; Held, C; Hemery, LG; Hosie, G; Kuklinski, P; Lecointre, G; Linse, K; Lozouet, P; Mah, C; Monniot, F; Norman, MD; O'Hara, T; Ozouf-Costaz, C; Piedallu, C; Pierrat, B; Poulin, E; Puillandre, N; Riddle, M; Samadi, S; Saucède, T; Schubart, C; Smith, PJ; Stevens, DW; Steinke, D; Strugnell, JM; Tarnowska, K; Wadley, V; Ameziane, N</t>
  </si>
  <si>
    <t>Dettai, Agnes; Adamowizc, Sarah J.; Allcock, Louise; Arango, Claudia P.; Barnes, David K. A.; Barratt, Iain; Chenuil, Anne; Couloux, Arnaud; Cruaud, Corinne; David, Bruno; Denis, Francoise; Denys, Gael; Diaz, Angie; Eleaume, Marc; Feral, Jean-Pierre; Froger, Aurelie; Gallut, Cyril; Grant, Rachel; Griffiths, Huw J.; Held, Christoph; Hemery, Lenaig G.; Hosie, Graham; Kuklinski, Piotr; Lecointre, Guillaume; Linse, Katrin; Lozouet, Pierre; Mah, Christopher; Monniot, Francoise; Norman, Mark D.; O'Hara, Timothy; Ozouf-Costaz, Catherine; Piedallu, Claire; Pierrat, Benjamin; Poulin, Elie; Puillandre, Nicolas; Riddle, Martin; Samadi, Sarah; Saucede, Thomas; Schubart, Christoph; Smith, Peter J.; Stevens, Darren W.; Steinke, Dirk; Strugnell, Jan M.; Tarnowska, K.; Wadley, Victoria; Ameziane, Nadia</t>
  </si>
  <si>
    <t>DNA barcoding and molecular systematics of the benthic and demersal organisms of the CEAMARC survey</t>
  </si>
  <si>
    <t>Barcode; Cytochrome oxidase 1; CEAMARC; Taxonomy; Systematics</t>
  </si>
  <si>
    <t>SPECIES IDENTIFICATION; SOUTHERN-OCEAN; MITOCHONDRIAL; FISHES; SEA; AMPLIFICATION; DIVERGENCE; SPECIATION; DIVERSITY; TELEOSTEI</t>
  </si>
  <si>
    <t>The Dumont d'Urville Sea (East Antarctic region) has been less investigated for DNA barcoding and molecular taxonomy than other parts of the Southern Ocean, such as the Ross Sea and the Antarctic Peninsula. The Collaborative East Antarctic MARine Census (CEAMARC) took place in this area during the austral summer of 2007-2008. The Australian vessel RSV Aurora Australis collected very diverse samples of demersal and benthic organisms. The specimens were sorted centrally, and then distributed to taxonomic experts for molecular and morphological taxonomy and identification, especially barcoding. The COI sequences generated from CEAMARC material provide a sizeable proportion of the Census of Antarctic Marine Life barcodes although the studies are still ongoing, and represent the only source of sequences for a number of species. Barcoding appears to be a valuable method for identification within most groups, despite low divergences and haplotype sharing in a few species, and it is also useful as a preliminary taxonomic exploration method. Several new species are being described. CEAMARC samples have already provided new material for phylogeographic and phylogenetic studies in cephalopods, pycnogonids, teleost fish, crinoids and sea urchins, helping these studies to provide a better insight in the patterns of evolution in the Southern Ocean.</t>
  </si>
  <si>
    <t>[Dettai, Agnes; Denys, Gael; Eleaume, Marc; Froger, Aurelie; Gallut, Cyril; Hemery, Lenaig G.; Lecointre, Guillaume; Lozouet, Pierre; Monniot, Francoise; Ozouf-Costaz, Catherine; Piedallu, Claire; Puillandre, Nicolas; Samadi, Sarah; Ameziane, Nadia] Museum Natl Hist Nat, F-75231 Paris 05, France; [Adamowizc, Sarah J.; Steinke, Dirk] Univ Guelph, Biodivers Inst Ontario, Canadian Ctr DNA Barcoding, Guelph, ON N1G 2W1, Canada; [Allcock, Louise] Natl Univ Ireland Galway, Martin Ryan Marine Sci Inst, Galway, Ireland; [Allcock, Louise; Barratt, Iain] Queens Univ Belfast, Sch Biol Sci, Belfast BT9 7BL, Antrim, North Ireland; [Arango, Claudia P.] Queensland Museum, Biodivers Program, South Brisbane, Qld 4101, Australia; [Barnes, David K. A.; Griffiths, Huw J.; Linse, Katrin] British Antarctic Survey, Cambridge CB3 0ET, England; [Chenuil, Anne; Feral, Jean-Pierre; Tarnowska, K.] Univ Mediterranee CNRS, UMR DIMAR 6540, COM Stn Marine Endoume, Marseille, France; [Couloux, Arnaud; Cruaud, Corinne] Ctr Natl Sequencage, Genoscope, F-91057 Evry, France; [David, Bruno; Pierrat, Benjamin; Saucede, Thomas] Univ Bourgogne, CNRS, UMR Biogeosci 5561, Dijon, France; [Denis, Francoise] Univ Maine, F-72000 Le Mans, France; [Diaz, Angie; Poulin, Elie] Univ Chile, Fac Ciencias, Dept Ciencias Ecol, Inst Ecol &amp; Biodiversidad, Santiago, Chile; [Grant, Rachel] Univ Cambridge, Scott Polar Res Inst, Cambridge CB2 1ER, England; [Held, Christoph] Alfred Wegener Inst Polar &amp; Marine Res, D-27568 Bremerhaven, Germany; [Hosie, Graham; Riddle, Martin; Wadley, Victoria] Australian Antarctic Div, Dept Sustainabil Environm Water Populat &amp; Communi, Kingston, Tas 7050, Australia; [Kuklinski, Piotr] Nat Hist Museum, London SW6 5BD, England; [Kuklinski, Piotr] Polish Acad Sci, Inst Oceanol, PL-81712 Sopot, Poland; [Mah, Christopher] Natl Museum Nat Hist, Dept Invertebrate Zool, Smithsonian Inst, Washington, DC 20007 USA; [Norman, Mark D.; O'Hara, Timothy] Museum Victoria, Melbourne, Vic 3001, Australia; [Schubart, Christoph] Univ Regensburg, D-93040 Regensburg, Germany; [Smith, Peter J.; Stevens, Darren W.] Natl Inst Water &amp; Atmospher Res NIWA, Wellington 6241, New Zealand; [Strugnell, Jan M.] Univ Cambridge, Dept Zool, Cambridge CB2 3EJ, England</t>
  </si>
  <si>
    <t>Museum National d'Histoire Naturelle (MNHN); University of Guelph; Ollscoil na Gaillimhe-University of Galway; Queens University Belfast; Queensland Museum; UK Research &amp; Innovation (UKRI); Natural Environment Research Council (NERC); NERC British Antarctic Survey; Centre National de la Recherche Scientifique (CNRS); Universite de Bourgogne; Centre National de la Recherche Scientifique (CNRS); Le Mans Universite; Universidad de Chile; University of Cambridge; Helmholtz Association; Alfred Wegener Institute, Helmholtz Centre for Polar &amp; Marine Research; Australian Antarctic Division; Natural History Museum London; Polish Academy of Sciences; Institute of Oceanology of the Polish Academy of Sciences; Smithsonian Institution; Smithsonian National Museum of Natural History; Museum Victoria; University of Regensburg; National Institute of Water &amp; Atmospheric Research (NIWA) - New Zealand; University of Cambridge</t>
  </si>
  <si>
    <t>Dettai, A (corresponding author), Museum Natl Hist Nat, CP 26,43 Rue Cuvier, F-75231 Paris 05, France.</t>
  </si>
  <si>
    <t>adettai@mnhn.fr</t>
  </si>
  <si>
    <t>Steinke, Dirk/D-4700-2009; Griffiths, Huw J/D-4234-2009; Puillandre, Nicolas/C-9208-2012; Strugnell, Jan M/P-9921-2016; CHENUIL, Anne/E-3902-2012; FERAL, Jean-Pierre/M-9608-2019; Hemery, Lenaïg/AAA-5799-2021; Poulin, Elie/C-2654-2012; samadi, sarah/G-5011-2010; FERAL, Jean-Pierre/A-8199-2008; Allcock, Louise/A-7359-2012; Dettai, Agnes/Q-6743-2019; /A-5531-2008; Diaz, Angie/I-8033-2016</t>
  </si>
  <si>
    <t>Griffiths, Huw J/0000-0003-1764-223X; FERAL, Jean-Pierre/0000-0001-7627-0160; Hemery, Lenaïg/0000-0001-5337-4514; Poulin, Elie/0000-0001-7736-0969; samadi, sarah/0000-0003-0725-9368; FERAL, Jean-Pierre/0000-0001-7627-0160; Allcock, Louise/0000-0002-4806-0040; Gallut, Cyril/0000-0002-6486-0179; Ameziane, Nadia/0000-0002-8546-9961; /0000-0003-1098-830X; Cruaud, Corinne/0000-0002-4752-7278; Kuklinski, Piotr/0000-0002-1507-215X; Diaz, Angie/0000-0003-4944-588X; Linse, Katrin/0000-0003-3477-3047; Strugnell, Jan/0000-0003-2994-637X; Steinke, Dirk/0000-0002-8992-575X</t>
  </si>
  <si>
    <t>TRV Umitaka Maru (IPY project) [53]; Australian Antarctic Division; Japanese Science Foundation; French polar institute IPEV (ICOTA program); French polar institute IPEV (REVOLTA program); CNRS; MNHN; ANR (White Project) [ANTFLOCKs USAR no07-BLAN-0213-01]; Consortium National de Recherche en Genomique; 'Service de Systematique Moleculaire' of the Museum national d'Histoire naturelle [IFR 101]; Polish Ministry of Science and Higher Education [539/NCAML/2009/0]; Genome Canada through the Ontario Genomics Institute; Alfred P. Sloan Foundation; Australian Antarctic Science Grants [AA3010]; CAML coordination grant [34]; New Zealand Government under the NZ International Polar Year-Census of Antarctic Marine Life Project; Action Transversale du MNHN : Taxonomie moleculaire : DNA Barcode et gestion durable des collections (MNHN-Barcode initiative; co-PI Jean-Noel Labat and Sarah Samadi); Sloan Foundation; ATM of MNHN Biodiversite actuelle et fossile. Crises, stress, restaurations et panchronisme : le message systematiqu; NERC [bas0100025] Funding Source: UKRI; Natural Environment Research Council [bas0100025] Funding Source: researchfish</t>
  </si>
  <si>
    <t>TRV Umitaka Maru (IPY project); Australian Antarctic Division; Japanese Science Foundation; French polar institute IPEV (ICOTA program); French polar institute IPEV (REVOLTA program); CNRS(Centre National de la Recherche Scientifique (CNRS)); MNHN; ANR (White Project)(Agence Nationale de la Recherche (ANR)); Consortium National de Recherche en Genomique(General Electric); 'Service de Systematique Moleculaire' of the Museum national d'Histoire naturelle(Centre National de la Recherche Scientifique (CNRS)); Polish Ministry of Science and Higher Education(Ministry of Science and Higher Education, Poland); Genome Canada through the Ontario Genomics Institute(Genome Canada); Alfred P. Sloan Foundation(Alfred P. Sloan Foundation); Australian Antarctic Science Grants; CAML coordination grant; New Zealand Government under the NZ International Polar Year-Census of Antarctic Marine Life Project; Action Transversale du MNHN : Taxonomie moleculaire : DNA Barcode et gestion durable des collections (MNHN-Barcode initiative; co-PI Jean-Noel Labat and Sarah Samadi); Sloan Foundation(Alfred P. Sloan Foundation); ATM of MNHN Biodiversite actuelle et fossile. Crises, stress, restaurations et panchronisme : le message systematiqu; NERC(UK Research &amp; Innovation (UKRI)Natural Environment Research Council (NERC)); Natural Environment Research Council(UK Research &amp; Innovation (UKRI)Natural Environment Research Council (NERC))</t>
  </si>
  <si>
    <t>We thank the crew and participants of the cruises involved in the capture of the samples, and especially the chief scientists of the CAML-CEAMARC cruises. The CAML-CEAMARC cruises of RSV Aurora Australis and TRV Umitaka Maru (IPY project no53) were supported by the Australian Antarctic Division, the Japanese Science Foundation, the French polar institute IPEV (ICOTA and REVOLTA programs), the CNRS, the MNHN and the ANR (White Project ANTFLOCKs USAR no07-BLAN-0213-01 directed by Guillaume Lecointre). This project is a contribution to the EBA-SCAR program.; This work was supported by the 'Consortium National de Recherche en Genomique', and the 'Service de Systematique Moleculaire' of the Museum national d'Histoire naturelle (IFR 101). It is part of the agreement number 2005/67 between the Genoscope and the Museum national d'Histoire naturelle on the project 'Macrophylogeny of life' directed by Guillaume Lecointre. P. Kuklinski is also supported by the Polish Ministry of Science and Higher Education (539/NCAML/2009/0). Funding for barcoding at the CCDB was provided by Genome Canada through the Ontario Genomics Institute. DS was supported by the Alfred P. Sloan Foundation. Work on Pycnogonida is supported by the Australian Antarctic Science Grants (project AA3010), and CAML coordination grant #34 to C. P. Arango. New Zealand authors were supported by research funded by the New Zealand Government under the NZ International Polar Year-Census of Antarctic Marine Life Project. Part of the work in the MNHN was supported by the Action Transversale du MNHN : Taxonomie moleculaire : DNA Barcode et gestion durable des collections (MNHN-Barcode initiative; co-PI Jean-Noel Labat and Sarah Samadi); part of these data fed the MarBol project supported by the Sloan Foundation. This work was also supported by the ATM of MNHN Biodiversite actuelle et fossile. Crises, stress, restaurations et panchronisme : le message systematiqu.</t>
  </si>
  <si>
    <t>10.1016/j.polar.2011.02.002</t>
  </si>
  <si>
    <t>WOS:000209057800018</t>
  </si>
  <si>
    <t>Nagel, L; Plattner, C; Budke, C; Majer, Z; DeVries, AL; Berkemeier, T; Koop, T; Sewald, N</t>
  </si>
  <si>
    <t>Nagel, Lilly; Plattner, Carolin; Budke, Carsten; Majer, Zsuzsanna; DeVries, Arthur L.; Berkemeier, Thomas; Koop, Thomas; Sewald, Norbert</t>
  </si>
  <si>
    <t>Synthesis and characterization of natural and modified antifreeze glycopeptides: glycosylated foldamers</t>
  </si>
  <si>
    <t>AMINO ACIDS</t>
  </si>
  <si>
    <t>Bioorganic chemistry; Solid phase peptide synthesis; Microwave-enhanced synthesis; Glycopeptides; Ice recrystallization; Circular dichroism</t>
  </si>
  <si>
    <t>POLYPROLINE-II CONFORMATION; ICE RECRYSTALLIZATION; ANTARCTIC FISH; POLAR FISH; NONEQUILIBRIUM ANTIFREEZE; GLYCOPROTEIN ACTIVITY; ALANINE PEPTIDES; PHASE SYNTHESIS; PROTEINS; INHIBITION</t>
  </si>
  <si>
    <t>In Arctic and Antarctic marine regions, where the temperature declines below the colligative freezing point of physiological fluids, efficient biological antifreeze agents are crucial for the survival of polar fish. One group of such agents is classified as antifreeze glycoproteins (AFGP) that usually consist of a varying number (n = 4-55) of [AAT] (n) -repeating units. The threonine side chain of each unit is glycosidically linked to beta-d-galactosyl-(1 -&gt; 3)-alpha-N-acetyl-d-galactosamine. These biopolymers can be considered as biological antifreeze foldamers. A preparative route for stepwise synthesis of AFGP allows for efficient synthesis. The diglycosylated threonine building block was introduced into the peptide using microwave-enhanced solid phase synthesis. By this versatile solid phase approach, glycosylated peptides of varying sequences and lengths could be obtained. Conformational studies of the synthetic AFGP analogs were performed by circular dichroism experiments (CD). Furthermore, the foldamers were analysed microphysically according to their inhibiting effect on ice recrystallization and influence on the crystal habit.</t>
  </si>
  <si>
    <t>[Nagel, Lilly; Plattner, Carolin; Budke, Carsten; Berkemeier, Thomas; Koop, Thomas; Sewald, Norbert] Univ Bielefeld, D-33615 Bielefeld, Germany; [Majer, Zsuzsanna] Eotvos Lorand Univ, Inst Chem, H-1518 Budapest 112, Hungary; [DeVries, Arthur L.] Univ Illinois, Dept Anim Biol, Urbana, IL 61801 USA</t>
  </si>
  <si>
    <t>University of Bielefeld; Eotvos Lorand University; Hungarian Academy of Sciences; University of Illinois System; University of Illinois Urbana-Champaign</t>
  </si>
  <si>
    <t>Sewald, N (corresponding author), Univ Bielefeld, Univ Str 25, D-33615 Bielefeld, Germany.</t>
  </si>
  <si>
    <t>norbert.sewald@uni-bielefeld.de</t>
  </si>
  <si>
    <t>Sewald, Norbert/A-2541-2012; Majer, Zsuzsa/B-3910-2016; Berkemeier, Thomas/A-3143-2013; Koop, Thomas/B-7861-2008</t>
  </si>
  <si>
    <t>Sewald, Norbert/0000-0002-0309-2655; Berkemeier, Thomas/0000-0001-6390-6465; Koop, Thomas/0000-0002-7571-3684</t>
  </si>
  <si>
    <t>Deutsche Forschungsgemeinschaft [SFB 613]; Bielefeld University</t>
  </si>
  <si>
    <t>Deutsche Forschungsgemeinschaft(German Research Foundation (DFG)); Bielefeld University</t>
  </si>
  <si>
    <t>The authors gratefully acknowledge support from Deutsche Forschungsgemeinschaft (SFB 613, Project A8). L.N. was funded by a PhD fellowship of Bielefeld University.</t>
  </si>
  <si>
    <t>0939-4451</t>
  </si>
  <si>
    <t>Amino Acids</t>
  </si>
  <si>
    <t>10.1007/s00726-011-0937-8</t>
  </si>
  <si>
    <t>Biochemistry &amp; Molecular Biology</t>
  </si>
  <si>
    <t>792JZ</t>
  </si>
  <si>
    <t>WOS:000292741700015</t>
  </si>
  <si>
    <t>Peeters, K; Willems, A</t>
  </si>
  <si>
    <t>Peeters, Karolien; Willems, Anne</t>
  </si>
  <si>
    <t>The gyrB gene is a useful phylogenetic marker for exploring the diversity of Flavobacterium strains isolated from terrestrial and aquatic habitats in Antarctica</t>
  </si>
  <si>
    <t>FEMS MICROBIOLOGY LETTERS</t>
  </si>
  <si>
    <t>gyrB gene; 16S rRNA gene; Flavobacterium; molecular marker; diversity</t>
  </si>
  <si>
    <t>DNA-DNA HYBRIDIZATION; AMINO-ACID-SEQUENCES; SP-NOV.; EMENDED DESCRIPTION; MICROBIAL MATS; HETEROTROPHIC BACTERIA; SP. NOV.; PROPOSAL; RECLASSIFICATION; BACTEROIDES</t>
  </si>
  <si>
    <t>Within the phylum Bacteroidetes, the gyrB gene, encoding for the B subunit of the DNA gyrase, has been used as a phylogenetic marker for several genera closely related to Flavobacterium. The phylogenies of the complete 16S rRNA gene and the gyrB gene were compared for 33 Antarctic Flavobacterium isolates and 23 type strains from closely related Flavobacterium species. gyrB gene sequences provided a higher discriminatory power to distinguish between different Flavobacterium groups than 16S rRNA gene sequences. The gyrB gene is therefore a promising molecular marker for elucidating the phylogenetic relationships among Flavobacterium species and should be evaluated for all the other type strains of described Flavobacterium species. Combining the phylogeny of both genes, the new Antarctic Flavobacterium strains constitute 15 Flavobacterium groups, including at least 13 potentially new species together with one group of isolates probably belonging to the species Flavobacterium micromati and one group close to Flavobacterium gelidilacus.</t>
  </si>
  <si>
    <t>[Peeters, Karolien; Willems, Anne] Univ Ghent, Dept Biochem &amp; Microbiol, Microbiol Lab, Fac Sci, B-9000 Ghent, Belgium</t>
  </si>
  <si>
    <t>Ghent University</t>
  </si>
  <si>
    <t>Willems, A (corresponding author), Univ Ghent, Dept Biochem &amp; Microbiol, Microbiol Lab, Fac Sci, KL Ledeganckstr 35, B-9000 Ghent, Belgium.</t>
  </si>
  <si>
    <t>anne.willems@ugent.be</t>
  </si>
  <si>
    <t>Willems, Anne/B-2872-2010</t>
  </si>
  <si>
    <t>Willems, Anne/0000-0002-8421-2881</t>
  </si>
  <si>
    <t>Belgian Science Policy Office (BelSPO)</t>
  </si>
  <si>
    <t>Belgian Science Policy Office (BelSPO)(Belgian Federal Science Policy Office)</t>
  </si>
  <si>
    <t>This work was funded by the Belgian Science Policy Office (BelSPO) projects AMBIO and BELDIVA. These projects contribute to IPY research proposal no. 55 MERGE (Microbiological and Ecological Responses to Global Environmental Changes in Polar Regions) and the SCAR 'Evolution and Biodiversity in Antarctica' programme. We thank the project coordinators Annick Wilmotte, Wim Vyverman and Elie Verleyen and the Antarctic programme coordinator Maaike Van Cauwenberghe from BelSPO for administrative and logistic support during expeditions.</t>
  </si>
  <si>
    <t>OXFORD UNIV PRESS</t>
  </si>
  <si>
    <t>GREAT CLARENDON ST, OXFORD OX2 6DP, ENGLAND</t>
  </si>
  <si>
    <t>0378-1097</t>
  </si>
  <si>
    <t>1574-6968</t>
  </si>
  <si>
    <t>FEMS MICROBIOL LETT</t>
  </si>
  <si>
    <t>FEMS Microbiol. Lett.</t>
  </si>
  <si>
    <t>10.1111/j.1574-6968.2011.02326.x</t>
  </si>
  <si>
    <t>792JW</t>
  </si>
  <si>
    <t>WOS:000292741300007</t>
  </si>
  <si>
    <t>Sañé, E; Isla, E; Pruski, AM; Bárcena, MA; Vétion, G; DeMaster, D</t>
  </si>
  <si>
    <t>Sane, E.; Isla, E.; Pruski, A. M.; Barcena, M. A.; Vetion, G.; DeMaster, D.</t>
  </si>
  <si>
    <t>Diatom valve distribution and sedimentary fatty acid composition in Larsen Bay, Eastern Antarctica Peninsula</t>
  </si>
  <si>
    <t>CONTINENTAL SHELF RESEARCH</t>
  </si>
  <si>
    <t>Sedimentation; Larsen ice shelf; Antarctica; Fatty acids; Diatoms</t>
  </si>
  <si>
    <t>SOUTHERN-OCEAN SEDIMENTS; MARINE-SEDIMENTS; SEA-ICE; SURFACE SEDIMENTS; ORGANIC GEOCHEMISTRY; BRANSFIELD STRAIT; SPONGE SPICULES; BIOGENIC SILICA; MCMURDO SOUND; SPRING BLOOM</t>
  </si>
  <si>
    <t>During austral summer 2006-2007, five sediment cores were recovered from the Eastern Antarctic Peninsula (EAP) continental shelf. Microscopic observations and sediment fatty acid (FA) composition analyses were carried out to investigate whether the drastic changes at the sea surface in EAP may be reflected in the sedimentary record. A sharp decrease in the number of diatom valves was observed below 2 cm depth. This difference between the upper 2 cm of sediment and the deeper part of the sediment column was attributed to the drastic change in the upper water column conditions after the collapse of the ice shelves, which allowed the arrival of phytoplankton debris and fresh organic matter to the sea floor in EAP. The presence of bacterial-, zooplankton- and detrital-related FA throughout EAR cores suggests that there has been an input of older and more refractory organic matter into the region, presumably by lateral transport before the Larsen ice shelves disintegration. (C) 2011 Elsevier Ltd. All rights reserved.</t>
  </si>
  <si>
    <t>[Sane, E.; Isla, E.] CSIC, Inst Ciencias Mar, E-08039 Barcelona, Spain; [Pruski, A. M.; Vetion, G.] Univ Paris 06, UPMC, FRE 3350, LECOB,Observ Oceanol, F-66651 Banyuls Sur Mer, France; [Pruski, A. M.; Vetion, G.] CNRS, FRE 3350, LECOB, Observ Oceanol, F-66651 Banyuls Sur Mer, France; [Barcena, M. A.] Univ Salamanca, Dept Geol &amp; Paleontol, Fac Ciencias, E-37008 Salamanca, Spain; [DeMaster, D.] N Carolina State Univ, Dept Marine Earth &amp; Atmospher Sci, Raleigh, NC 27695 USA</t>
  </si>
  <si>
    <t>Consejo Superior de Investigaciones Cientificas (CSIC); CSIC - Centro Mediterraneo de Investigaciones Marinas y Ambientales (CMIMA); CSIC - Instituto de Ciencias del Mar (ICM); Sorbonne Universite; Sorbonne Universite; Centre National de la Recherche Scientifique (CNRS); University of Salamanca; North Carolina State University</t>
  </si>
  <si>
    <t>Sañé, E (corresponding author), CSIC, Inst Ciencias Mar, Passeig Maritim Barceloneta 37-49, E-08039 Barcelona, Spain.</t>
  </si>
  <si>
    <t>sane@icm.csic.es</t>
  </si>
  <si>
    <t>Barcena, María Angeles/D-5839-2011; sane, elisabet/AAT-4775-2020; Pruski, Audrey/X-9721-2019</t>
  </si>
  <si>
    <t>Barcena, María Angeles/0000-0001-8261-2286; Pruski, Audrey/0000-0003-4740-2528; Isla, Enrique/0000-0003-4959-6936; , elisabet/0000-0001-5719-5468</t>
  </si>
  <si>
    <t>0278-4343</t>
  </si>
  <si>
    <t>1873-6955</t>
  </si>
  <si>
    <t>CONT SHELF RES</t>
  </si>
  <si>
    <t>Cont. Shelf Res.</t>
  </si>
  <si>
    <t>10.1016/j.csr.2011.04.002</t>
  </si>
  <si>
    <t>787IE</t>
  </si>
  <si>
    <t>WOS:000292369000001</t>
  </si>
  <si>
    <t>Maloney, KT; Clarke, GL; Klepeis, KA; Fanning, CM; Wang, W</t>
  </si>
  <si>
    <t>Maloney, K. T.; Clarke, G. L.; Klepeis, K. A.; Fanning, C. M.; Wang, W.</t>
  </si>
  <si>
    <t>Crustal growth during back-arc closure: Cretaceous exhumation history of Cordillera Darwin, southern Patagonia</t>
  </si>
  <si>
    <t>JOURNAL OF METAMORPHIC GEOLOGY</t>
  </si>
  <si>
    <t>Cordillera Darwin; in situ monazite; pseudosection; THERMOCALC</t>
  </si>
  <si>
    <t>TIERRA-DEL-FUEGO; NORTH-SCOTIA-RIDGE; ZIRCON U-PB; METAMORPHIC CORE; T PATHS; METASEDIMENTARY ROCKS; STRATIGRAPHIC RECORD; CONTINENT COLLISION; ANTARCTIC PENINSULA; MINERAL EQUILIBRIA</t>
  </si>
  <si>
    <t>The Cordillera Darwin metamorphic complex is unique in the Andes in exposing kyanite-staurolite schist north of the Beagle Channel in southern Patagonia. Garnet in amphibolite facies pelitic schists from Bahia Pia has patchy textures whereby some grains consist of clear, grossular-rich garnet with fine-grained S1 inclusion trails truncated by regions of turbid spessartine-pyrope-rich garnet with biotite, muscovite, plagioclase and quartz inclusions. Micron-scale aqueous inclusions in turbid garnet are consistent with recrystallization facilitated by fluid ingress; S2 inclusion trails indicate this was broadly contemporary with the growth of kyanite and staurolite in the matrix. Pseudosection modelling in Na2O-CaO-K2O-FeO-MgO-Al2O3-SiO2-H2O-TiO2-Fe2O3 (NCKFMASHTO) is used to infer a P-T path dominated by decompression from 12 to 9 kbar at T approximate to 620 degrees C, coupled with garnet mode decreasing from similar to 5% to &lt;1%. U-Th-Pb in situ dating of S2 monazite indicates that staurolite and kyanite growth and thus exhumation was underway before 72.6 +/- 1.1 Ma. Contact aureoles developed adjacent to late granite intrusions include sillimanite-bearing migmatites formed at P approximate to 6 kbar after 72 Ma. Metamorphism of southern Cordillera Darwin induced by continental underthrusting beneath the arc, related to closure of the Rocas Verdes back-arc basin, was terminated by thrusting-controlled exhumation, with the rocks at P approximate to 9 kbar by c. 73 Ma and 6 kbar by c. 70 Ma.</t>
  </si>
  <si>
    <t>[Maloney, K. T.; Clarke, G. L.; Wang, W.] Univ Sydney, Sch Geosci, Sydney, NSW 2006, Australia; [Klepeis, K. A.] Univ Vermont, Dept Geol, Burlington, VT USA; [Fanning, C. M.] Australian Natl Univ, Res Sch Earth Sci, Canberra, ACT, Australia</t>
  </si>
  <si>
    <t>University of Sydney; University of Vermont; Australian National University</t>
  </si>
  <si>
    <t>Maloney, KT (corresponding author), Univ Sydney, Sch Geosci, Sydney, NSW 2006, Australia.</t>
  </si>
  <si>
    <t>kayla.maloney@sydney.edu.au</t>
  </si>
  <si>
    <t>Clarke, Geoffrey L/I-9514-2012; Clarke, Geoffrey/O-9307-2019; Fanning, Christopher Mark/I-6449-2016</t>
  </si>
  <si>
    <t>Clarke, Geoffrey/0000-0001-6909-6643; Maloney, Kayla/0000-0001-6247-3944; Fanning, Christopher Mark/0000-0003-3331-3145</t>
  </si>
  <si>
    <t>Australian Government; National Science Foundation [EAR-0635940]; Australian Academy of Sciences; School of Geosciences at the University of Sydney</t>
  </si>
  <si>
    <t>Australian Government(Australian Government); National Science Foundation(National Science Foundation (NSF)); Australian Academy of Sciences; School of Geosciences at the University of Sydney</t>
  </si>
  <si>
    <t>KTM and WW are supported by Australian Government Endeavour International Postgraduate Research Scholarships. We thank DIFROL (Direccion Nacional de Fronteras y Limites del Estado) and the Chilean Navy for permission to visit and sample localities along the Beagle Channel. Logistic and analytical expenses were met with funding provided by the National Science Foundation (EAR-0635940 to KAK), an Australian Academy of Sciences Travel Grant (GLC) and the School of Geosciences at the University of Sydney. We thank M. De Paoli for help with the microprobe work, and L. Carter for help with Raman analysis. We are greatly indebted to J. Alvarez and F. Poblete, (Universidad de Chile), P. Betka (University of Texas), and S. Thomson (University of Arizona) for help in the field. We also thank captains C. Porter on Ocean Tramp, and K. Pashuk and G. Landreth on Northanger, for safe passage. Careful reviews by R. Moraes and S. Duchene, and careful editorial work by D. Whitney, substantially improved the manuscript.</t>
  </si>
  <si>
    <t>0263-4929</t>
  </si>
  <si>
    <t>1525-1314</t>
  </si>
  <si>
    <t>J METAMORPH GEOL</t>
  </si>
  <si>
    <t>J. Metamorph. Geol.</t>
  </si>
  <si>
    <t>10.1111/j.1525-1314.2011.00934.x</t>
  </si>
  <si>
    <t>786LF</t>
  </si>
  <si>
    <t>WOS:000292309100003</t>
  </si>
  <si>
    <t>Grange, LJ; Peck, LS; Tyler, PA</t>
  </si>
  <si>
    <t>Grange, Laura J.; Peck, Lloyd S.; Tyler, Paul A.</t>
  </si>
  <si>
    <t>Reproductive ecology of the circumpolar Antarctic nemertean Parborlasia corrugatus: No evidence for inter-annual variation</t>
  </si>
  <si>
    <t>JOURNAL OF EXPERIMENTAL MARINE BIOLOGY AND ECOLOGY</t>
  </si>
  <si>
    <t>Antarctica; Environmental change; Gametogenesis; Predator; Reproductive condition; Seasonality</t>
  </si>
  <si>
    <t>SCALLOP ADAMUSSIUM-COLBECKI; STAR ODONTASTER-VALIDUS; URCHIN STERECHINUS-NEUMAYERI; BENTHIC MARINE-INVERTEBRATES; BRACHIOPOD LIOTHYRELLA-UVA; GAMETOGENIC ECOLOGY; PELAGIC LARVAE; CLIMATE-CHANGE; OPHIONOTUS-VICTORIAE; LATERNULA-ELLIPTICA</t>
  </si>
  <si>
    <t>Waters around the Antarctic Peninsula are experiencing one of the fastest rates of warming seen anywhere on Earth in the sea in recent times. Species inhabiting nearshore seabed sites in Antarctica have a long history in near freezing temperatures and have poor physiological capacities to cope with change. Reproductive success is a vital characteristic in species survival and evaluation of how reproductive processes vary with time is key to identifying vulnerable species and evaluating the effects of ocean warming. The long-term gametogenic development of the nemertean Parborlasia corrugatus (McIntosh, 1876) was analysed from monthly samples collected between July 1997 and November 2000 from a shallow water site adjacent to the British Antarctic Survey Rothera Research Station (Western Antarctic Peninsula). Spermatogenesis, oocyte size and reproductive condition are described for each month using histological and image analysis techniques. Male and female reproductive condition varied seasonally, with a reduction in the proportion of large oocytes and mature sperm in the gonad during the late austral summer (December-March). We identify three key characteristics in the reproductive ecology of P. corrugatus (1) the timing of reproduction was consistent in the late austral summer of each year and synchronous between males and females (2) oogenesis progressed over a discrete 15-16 month period with a single generation of oocytes in the ovary during most stages of gametogenic development and (3) notable differences in reproductive condition were not apparent from year to year. The majority of long-term studies on reproductive ecology of marine invertebrates at high latitudes, with the exception of one or two species, revealed that 18-24 months are required for gametogenesis compared to 6-12 months in temperate species and there is extreme inter-annual variation in reproductive output. P. corrugatus differs from this in requiring only 15 months for gametogenesis, and has little or no variation between years. This may be because of its predatory lifestyle and that coupling between its gametogenic development and timing, and larval abundance and nutrition with phytoplankton productivity is much less than in the previously studied Antarctic marine herbivores and omnivores. However, the timing of larval settlement and peak juvenile abundance in P. corrugatus does suggest coupling with seasonal productivity through the nemertean's larval and juvenile ecology. (C) 2011 Elsevier B.V. All rights reserved.</t>
  </si>
  <si>
    <t>[Grange, Laura J.; Tyler, Paul A.] Univ Southampton, Natl Oceanog Ctr, Sch Ocean &amp; Earth Sci, Southampton SO14 3ZH, Hants, England; [Peck, Lloyd S.] British Antarctic Survey, Nat Environm Res Council, Cambridge CB3 0ET, England</t>
  </si>
  <si>
    <t>University of Southampton; NERC National Oceanography Centre; UK Research &amp; Innovation (UKRI); Natural Environment Research Council (NERC); NERC British Antarctic Survey</t>
  </si>
  <si>
    <t>Grange, LJ (corresponding author), Univ Hawaii Manoa, Oceanog Dept MSB620, 1000 Pope Rd, Honolulu, HI 96822 USA.</t>
  </si>
  <si>
    <t>grangel@hawaii.edu; lspe@bas.ac.uk; pat8@noc.soton.ac.uk</t>
  </si>
  <si>
    <t>Grange, Laura/E-8495-2014</t>
  </si>
  <si>
    <t>Grange, Laura/0000-0001-9222-6848</t>
  </si>
  <si>
    <t>NERC National Facility for Scientific Diving; Natural Environment Research Council [NER/S/A/2001/06366]; Natural Environment Research Council [dml011000, bas0100025] Funding Source: researchfish; NERC [bas0100025, dml011000] Funding Source: UKRI</t>
  </si>
  <si>
    <t>NERC National Facility for Scientific Diving;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</si>
  <si>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We wish to thank all the British Antarctic Survey Rothera SCUBA Diving Team for collecting animals used in this study and the marine assistants, A. Chapman, J. Beaumont and R. Piper for preserving specimens. Diving at the station is supported by the NERC National Facility for Scientific Diving. Special thanks go to R. Waller for her support and critique of the manuscript, and to J.S. Pearse, J. McClintock and two anonymous reviewers for their contributions of constructive comments. Thanks go to A. Clarke for providing the environmental data (RaTs), advice and support, Peter Fretwell for producing the map and images contained in Fig. 1 and B. Caswell for completing a portion of the required histology. We acknowledge a grant to L.J.G. from the Natural Environment Research Council (NER/S/A/2001/06366) and her CASE partner the British Antarctic Survey. [RH]</t>
  </si>
  <si>
    <t>0022-0981</t>
  </si>
  <si>
    <t>J EXP MAR BIOL ECOL</t>
  </si>
  <si>
    <t>J. Exp. Mar. Biol. Ecol.</t>
  </si>
  <si>
    <t>JUL 31</t>
  </si>
  <si>
    <t>10.1016/j.jembe.2011.04.011</t>
  </si>
  <si>
    <t>Ecology; Marine &amp; Freshwater Biology</t>
  </si>
  <si>
    <t>Environmental Sciences &amp; Ecology; Marine &amp; Freshwater Biology</t>
  </si>
  <si>
    <t>796KA</t>
  </si>
  <si>
    <t>WOS:000293049000013</t>
  </si>
  <si>
    <t>Cai, W; van Rensch, P; Borlace, S; Cowan, T</t>
  </si>
  <si>
    <t>Cai, W.; van Rensch, P.; Borlace, S.; Cowan, T.</t>
  </si>
  <si>
    <t>Does the Southern Annular Mode contribute to the persistence of the multidecade-long drought over southwest Western Australia?</t>
  </si>
  <si>
    <t>ANTARCTIC OSCILLATION; RAINFALL; CLIMATE; VARIABILITY; ASSOCIATION; ATMOSPHERE; FEEDBACK</t>
  </si>
  <si>
    <t>Record low austral winter rainfall totals over southwest Western Australia (SWWA) in 2010 saw a continuation of the multidecade-long winter drought plaguing the region. During this season, the highest recorded positive Southern Annular Mode (SAM) value was measured, adding weight to an association of a positive SAM with anomalously low SWWA winter rainfall (SWR), and vice-versa. However, such a SAM-SWR teleconnection has been recently questioned. Using observational data in the post-1979 satellite era, it is shown that such a SAM influence does exist. This coherence is confirmed with 1150 years of modelled 20th century SWR anomalies and SAM values from 23 climate models, showing that a nonlinear impact operates: the influence from a negative SAM is greater than that from a positive SAM. This explains why a small positive shift in the SAM can cause a large SWR reduction, as has been observed. A further test shows that models with a greater positive SAM trend systematically produce a greater future SWR reduction. As all climate models project an increase in the SAM these results suggest that as global warming continues unabated, SWWA winter droughts will be more persistent as atmospheric conditions become more unfavourable for drought-breaking rains. Citation: Cai, W., P. van Rensch, S. Borlace, and T. Cowan (2011), Does the Southern Annular Mode contribute to the persistence of the multidecade-long drought over southwest Western Australia?, Geophys. Res. Lett., 38, L14712, doi:10.1029/2011GL047943.</t>
  </si>
  <si>
    <t>[Cai, W.; van Rensch, P.; Borlace, S.; Cowan, T.] CSIRO Marine &amp; Atmospher Res, Aspendale, Vic 3195, Australia</t>
  </si>
  <si>
    <t>Commonwealth Scientific &amp; Industrial Research Organisation (CSIRO)</t>
  </si>
  <si>
    <t>Cai, W (corresponding author), CSIRO Marine &amp; Atmospher Res, PMB 1, Aspendale, Vic 3195, Australia.</t>
  </si>
  <si>
    <t>wenju.cai@csiro.au</t>
  </si>
  <si>
    <t>Cowan, Tim/A-5797-2013; Cai, Wenju/C-2864-2012; van Rensch, Peter/D-6122-2012; Cowan, Timothy D/AAA-7372-2019</t>
  </si>
  <si>
    <t>Cai, Wenju/0000-0001-6520-0829; Cowan, Timothy D/0000-0002-8376-4879; van Rensch, Peter/0000-0002-1377-1694</t>
  </si>
  <si>
    <t>Australian Climate Change Science Programme</t>
  </si>
  <si>
    <t>This study is supported by the Australian Climate Change Science Programme. We thank Harry Hendon, Pandora Hope, David Kent and the two anonymous reviewers for discussion and comments, which greatly benefited the paper.</t>
  </si>
  <si>
    <t>JUL 30</t>
  </si>
  <si>
    <t>L14712</t>
  </si>
  <si>
    <t>10.1029/2011GL047943</t>
  </si>
  <si>
    <t>800SK</t>
  </si>
  <si>
    <t>WOS:000293386900004</t>
  </si>
  <si>
    <t>Kim, H; Lessard, MR; Engebretson, MJ; Young, MA</t>
  </si>
  <si>
    <t>Kim, H.; Lessard, M. R.; Engebretson, M. J.; Young, M. A.</t>
  </si>
  <si>
    <t>Statistical study of Pc1-2 wave propagation characteristics in the high-latitude ionospheric waveguide</t>
  </si>
  <si>
    <t>ION-CYCLOTRON WAVES; PC 1 MICROPULSATIONS; VERY-LOW FREQUENCY; PROTON PRECIPITATION; HYDROMAGNETIC-WAVES; DUCT PROPAGATION; GEOMAGNETIC-PULSATIONS; MAGNETIC PULSATIONS; GROUND OBSERVATIONS; SOURCE REGIONS</t>
  </si>
  <si>
    <t>Propagation of ULF Pc1-2 geomagnetic pulsations in the ionospheric waveguide (duct), centered around the F-2 region altitude of maximum ionospheric electron density, is studied using the data obtained from a ground array of five search coil magnetometers in Antarctica distributed over a very extensive range of geomagnetic latitudes from subauroral to polar cap (-62 degrees to -87 degrees, spanning 2920 km geographically). A statistical study including a total of 138 Pc1-2 wave ducting events in 2007 presents wave power attenuation factors that vary between similar to 10 and 14 dB/1000 km and the change of polarization during the wave propagation under different ionospheric sunlight conditions. It is also shown that the frequency cutoff of the wave events in the waveguide is dependent on the ionospheric conductivity, and the wave power attenuation increases with increasing frequency. In addition, it appears that initial propagation direction is related to attenuation, which supports the idea that meridional propagation is most efficient as predicted in previous studies. The results show the observations of ducted waves over such an unprecedented latitudinal extent along a magnetic meridian, which have rarely been measured before, and thus provide very important information in regard to wave ducting under various ionospheric conditions.</t>
  </si>
  <si>
    <t>[Kim, H.; Lessard, M. R.; Young, M. A.] Univ New Hampshire, Ctr Space Sci, Durham, NH 03824 USA; [Engebretson, M. J.] Augsburg Coll, Dept Phys, Minneapolis, MN 55454 USA</t>
  </si>
  <si>
    <t>University System Of New Hampshire; University of New Hampshire; Augsburg University</t>
  </si>
  <si>
    <t>Kim, H (corresponding author), Virginia Polytech Inst &amp; State Univ, Ctr Space Sci &amp; Engn Res, Blacksburg, VA 24061 USA.</t>
  </si>
  <si>
    <t>hyomin.kim@vt.edu</t>
  </si>
  <si>
    <t>Young, Matthew/0000-0003-2124-7814</t>
  </si>
  <si>
    <t>NSF [ANT-0838910, ANT-0839938, ANT-0636874, ANT-0838917, ANT-0840133, ANT-0840158, ANT-0638587]; Office of Polar Programs (OPP); Directorate For Geosciences [0840133] Funding Source: National Science Foundation; Office of Polar Programs (OPP); Directorate For Geosciences [0839938, 0838910, 0838917] Funding Source: National Science Foundation</t>
  </si>
  <si>
    <t>NSF(National Science Foundation (NSF)); Office of Polar Programs (OPP); Directorate For Geosciences(National Science Foundation (NSF)NSF - Directorate for Geosciences (GEO)); Office of Polar Programs (OPP); Directorate For Geosciences(National Science Foundation (NSF)NSF - Directorate for Geosciences (GEO))</t>
  </si>
  <si>
    <t>This research was supported by NSF grants ANT-0838910, ANT-0839938, and ANT-0636874 to the University of New Hampshire and by NSF grants ANT-0838917 and ANT-0840133 to Augsburg College. The authors would like to thank Mike Rose and the engineering and logistics staff at the British Antarctic Survey for their deployment and operation of the Halley search coil instrument and the PENGUIn (Polar Experiment Network for Geospace Upper-atmosphere Investigations) team members for deploying/servicing the Antarctic search coil magnetometer array under NSF grants ANT-0840158 and ANT-0638587.</t>
  </si>
  <si>
    <t>JUL 29</t>
  </si>
  <si>
    <t>A07227</t>
  </si>
  <si>
    <t>10.1029/2010JA016355</t>
  </si>
  <si>
    <t>800ER</t>
  </si>
  <si>
    <t>WOS:000293343100001</t>
  </si>
  <si>
    <t>Golubev, Y</t>
  </si>
  <si>
    <t>Golubev, Yury</t>
  </si>
  <si>
    <t>Ocean-generated magnetic field study based on satellite geomagnetic measurements: 1. An error reduction technique for gridded data</t>
  </si>
  <si>
    <t>ANTARCTIC CIRCUMPOLAR CURRENT; ATLANTIC CIRCULATION MODELS; SEA; SIGNALS; EARTH; INVERSION; INDUCTION; TRANSPORT; VOLTAGES; FLOW</t>
  </si>
  <si>
    <t>A data set of approximately 28 months of geomagnetic measurements, made by the CHAMP mission, is planned to study the ocean-generated magnetic field. An obstacle for using these data is the large statistical error associated with data averaging in each grid point of the regular grid. The error is 10(2)-10(3) times larger than the magnitude of the ocean-generated signal. Here, a technique designed to reduce this error that is based on a solution of the Laplace (Helmholtz) equation, is proposed. The main idea behind the technique is that the magnetic potential in free space obeys the Laplace equation while, in general, the statistical error does not. The approach allows a reduction of the error in the gridded data over several orders of magnitude and makes the data useable for studying the ocean-generated magnetic field. As a preliminary result for using the data for inferring the ocean-generated magnetic field, the density function is introduced and computed. The function's plot demonstrates the presence of major large-scale ocean current systems within the midlatitudes.</t>
  </si>
  <si>
    <t>Adv Marine Syst Inc, Anaheim, CA 92807 USA</t>
  </si>
  <si>
    <t>Golubev, Y (corresponding author), Adv Marine Syst Inc, 209 N Kodiak St,Suite D, Anaheim, CA 92807 USA.</t>
  </si>
  <si>
    <t>yury_golubev@yahoo.com</t>
  </si>
  <si>
    <t>NASA [NNX09AF37G]; NASA [NNX09AF37G, 117649] Funding Source: Federal RePORTER</t>
  </si>
  <si>
    <t>NASA(National Aeronautics &amp; Space Administration (NASA)); NASA(National Aeronautics &amp; Space Administration (NASA))</t>
  </si>
  <si>
    <t>This work was supported by NASA (grant NNX09AF37G). I am deeply indebted to anonymous reviewers for useful comments. The author thanks the German Research Centre for Geosciences (GFZ) for CHAMP data.</t>
  </si>
  <si>
    <t>C07028</t>
  </si>
  <si>
    <t>10.1029/2011JC007152</t>
  </si>
  <si>
    <t>800DQ</t>
  </si>
  <si>
    <t>WOS:000293340400004</t>
  </si>
  <si>
    <t>Tamura, T; Ohshima, KI</t>
  </si>
  <si>
    <t>Tamura, Takeshi; Ohshima, Kay I.</t>
  </si>
  <si>
    <t>Mapping of sea ice production in the Arctic coastal polynyas</t>
  </si>
  <si>
    <t>NORTH WATER POLYNYA; PHYSICAL PROCESSES; BAFFIN-BAY; FRAZIL ICE; THICKNESS; OCEAN; STORFJORDEN; HALOCLINE; ALASKAN</t>
  </si>
  <si>
    <t>High ice production in coastal polynyas over the continental shelves in the Arctic Ocean is responsible for the formation of cold saline water, which contributes to the maintenance of the Arctic Ocean halocline. The accurate detection of coastal polynyas, including an estimate of thin ice thickness, is essential for the estimation of sea ice production. This paper presents an algorithm that estimates thin ice thickness using Special Sensor Microwave/Imager (SSM/I) data in the Arctic Ocean. Detection and estimation of sea ice thicknesses of &lt;0.15 m are based on the SSM/I 85 and 37 GHz polarization ratios (PR85 and PR37) through a comparison with sea ice thicknesses estimated from the advanced very high resolution radiometer (AVHRR) data in the three different Arctic coastal polynyas. Thus, for the entire Arctic Ocean, the algorithm can be used for the detection of coastal polynyas and for the estimation of sea ice production through combination with heat-flux calculation. This study provides the first circumpolar mapping of sea ice production in coastal polynyas over the entire Arctic Ocean. High ice production is confined to the major Arctic coastal polynyas, with the highest ice production rate being in the North Water Polynya. This study also presents the interannual variability of sea ice production in the 10 major coastal polynyas from 1992 to 2007. In general, interannual variability in sea ice production has good correlation with polynya extent rather than surface air temperature. The mapping also provides surface heat-and salt-flux conditions in the ice-covered region, which have not been well understood to date.</t>
  </si>
  <si>
    <t>[Tamura, Takeshi] Univ Tasmania, Antarctic Climate &amp; Ecosyst Cooperat Res Ctr, Hobart, Tas 7001, Australia; [Ohshima, Kay I.] Hokkaido Univ, Inst Low Temp Sci, Kita Ku, Sapporo, Hokkaido 0600819, Japan; [Tamura, Takeshi] Natl Inst Polar Res, Tachikawa, Tokyo, Japan</t>
  </si>
  <si>
    <t>Antarctic Climate &amp; Ecosystems Cooperative Research Centre (ACE CRC); University of Tasmania; Hokkaido University; Research Organization of Information &amp; Systems (ROIS); National Institute of Polar Research (NIPR) - Japan</t>
  </si>
  <si>
    <t>Tamura, T (corresponding author), Univ Tasmania, Antarctic Climate &amp; Ecosyst Cooperat Res Ctr, Private Bag 80, Hobart, Tas 7001, Australia.</t>
  </si>
  <si>
    <t>takeshi.tamura@utas.edu.au; oshima@lowtem.hokudai.ac.jp</t>
  </si>
  <si>
    <t>Ohshima, Kay I/D-6909-2012</t>
  </si>
  <si>
    <t>Core Research for Evolutional Science and Technology of Japan Science and Technology Agency; Japanese Ministry of Education, Culture, Sports, Science and Technology [20221001]; Australian government through the Antarctic Climate and Ecosystems Cooperative Research Centre; Japan Society for the Promotion of Science (JSPS); Grants-in-Aid for Scientific Research [20221001, 11J00007, 22106010] Funding Source: KAKEN</t>
  </si>
  <si>
    <t>Core Research for Evolutional Science and Technology of Japan Science and Technology Agency(Core Research for Evolutional Science and Technology (CREST)); Japanese Ministry of Education, Culture, Sports, Science and Technology(Ministry of Education, Culture, Sports, Science and Technology, Japan (MEXT)); Australian government through the Antarctic Climate and Ecosystems Cooperative Research Centre(Australian GovernmentDepartment of Industry, Innovation and ScienceCooperative Research Centres (CRC) Programme); Japan Society for the Promotion of Science (JSPS)(Ministry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</si>
  <si>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The SSM/I and AVHRR data were provided by the National Snow and Ice Data Center (NSIDC), University of Colorado. The ALOS PALSAR data were provided by JAXA (PI 322). We sincerely acknowledge Sohey Nihashi (Tomakomai National College of Technology), Katsushi Iwamoto (Institute of Low Temperature Science), Jan Lieser (ACE CRC), Rob Massom (Australian Antarctic Division and ACE CRC), and two anonymous reviewers for their instructive comments and useful information. This work was supported by the fund from Core Research for Evolutional Science and Technology of Japan Science and Technology Agency and from Grant-in-Aids for Scientific Research (20221001) of the Japanese Ministry of Education, Culture, Sports, Science and Technology and by the Australian government's Cooperative Research Centres Programme through the Antarctic Climate and Ecosystems Cooperative Research Centre. T. T. was supported by the Japan Society for the Promotion of Science (JSPS) Postdoctoral Fellowships for Research Abroad and the Research Fellowships of the JSPS for Young Scientists.</t>
  </si>
  <si>
    <t>C07030</t>
  </si>
  <si>
    <t>10.1029/2010JC006586</t>
  </si>
  <si>
    <t>WOS:000293340400001</t>
  </si>
  <si>
    <t>Colville, EJ; Carlson, AE; Beard, BL; Hatfield, RG; Stoner, JS; Reyes, AV; Ullman, DJ</t>
  </si>
  <si>
    <t>Colville, Elizabeth J.; Carlson, Anders E.; Beard, Brian L.; Hatfield, Robert G.; Stoner, Joseph S.; Reyes, Alberto V.; Ullman, David J.</t>
  </si>
  <si>
    <t>Sr-Nd-Pb Isotope Evidence for Ice-Sheet Presence on Southern Greenland During the Last Interglacial</t>
  </si>
  <si>
    <t>SCIENCE</t>
  </si>
  <si>
    <t>SEA-LEVEL RISE; GLACIAL MAXIMUM; CLIMATE; CYCLES; CONSTRAINTS; INSOLATION; SEDIMENTS; HOLOCENE; HISTORY; RETREAT</t>
  </si>
  <si>
    <t>To ascertain the response of the southern Greenland Ice Sheet (GIS) to a boreal summer climate warmer than at present, we explored whether southern Greenland was deglaciated during the Last Interglacial (LIG), using the Sr-Nd-Pb isotope ratios of silt-sized sediment discharged from southern Greenland. Our isotope data indicate that no single southern Greenland geologic terrane was completely deglaciated during the LIG, similar to the Holocene. Differences in sediment sources during the LIG relative to the early Holocene denote, however, greater southern GIS retreat during the LIG. These results allow the evaluation of a suite of GIS models and are consistent with a GIS contribution of 1.6 to 2.2 meters to the &gt;= 4-meter LIG sea-level highstand, requiring a significant sea-level contribution from the Antarctic Ice Sheet.</t>
  </si>
  <si>
    <t>[Colville, Elizabeth J.; Carlson, Anders E.; Beard, Brian L.; Reyes, Alberto V.; Ullman, David J.] Univ Wisconsin, Dept Geosci, Madison, WI 53706 USA; [Hatfield, Robert G.; Stoner, Joseph S.] Oregon State Univ, Coll Ocean &amp; Atmospher Sci, Corvallis, OR 97331 USA</t>
  </si>
  <si>
    <t>University of Wisconsin System; University of Wisconsin Madison; Oregon State University</t>
  </si>
  <si>
    <t>Carlson, AE (corresponding author), Univ Wisconsin, Dept Geosci, Madison, WI 53706 USA.</t>
  </si>
  <si>
    <t>acarlson@geology.wisc.edu</t>
  </si>
  <si>
    <t>Hatfield, Robert G/G-6854-2019</t>
  </si>
  <si>
    <t>Hatfield, Robert G/0000-0002-6372-0027; Reyes, Alberto/0000-0002-7838-4214</t>
  </si>
  <si>
    <t>Geological Society of America; American Association of Petroleum Geologists; University of Wisconsin-Madison; Arctic Natural Sciences Division of NSF [0902571, 0902751]; Directorate For Geosciences; Office of Polar Programs (OPP) [0902751] Funding Source: National Science Foundation; Office of Polar Programs (OPP); Directorate For Geosciences [0902571] Funding Source: National Science Foundation</t>
  </si>
  <si>
    <t>Geological Society of America; American Association of Petroleum Geologists; University of Wisconsin-Madison; Arctic Natural Sciences Division of NSF; Directorate For Geosciences; Office of Polar Programs (OPP)(National Science Foundation (NSF)NSF - Directorate for Geosciences (GEO)); Office of Polar Programs (OPP); Directorate For Geosciences(National Science Foundation (NSF)NSF - Directorate for Geosciences (GEO))</t>
  </si>
  <si>
    <t>J. Briner and the Greenland Institute of Natural Resources kindly provided several stream and iceberg silt samples. E. Obbink, K. Winsor, B. Welke, S. Strano, and A. Leaf provided assistance in the field and laboratory. D. Kelly and C. Hillaire-Marcel supplied comments on this research and manuscript. A. de Vernal provided her pollen records. This research was supported by the Geological Society of America and American Association of Petroleum Geologists (E. J. C.), University of Wisconsin-Madison startup funds (A. E. C.), and the Arctic Natural Sciences Division of NSF, Arctic Natural Sciences grants 0902571 (A.E.C. and B.L.B.) and 0902751 (J.S.S.).</t>
  </si>
  <si>
    <t>AMER ASSOC ADVANCEMENT SCIENCE</t>
  </si>
  <si>
    <t>1200 NEW YORK AVE, NW, WASHINGTON, DC 20005 USA</t>
  </si>
  <si>
    <t>0036-8075</t>
  </si>
  <si>
    <t>1095-9203</t>
  </si>
  <si>
    <t>Science</t>
  </si>
  <si>
    <t>10.1126/science.1204673</t>
  </si>
  <si>
    <t>798PI</t>
  </si>
  <si>
    <t>WOS:000293222400059</t>
  </si>
  <si>
    <t>Kawaguchi, Y; Tamura, T; Nishino, S; Kikuchi, T; Itoh, M; Mitsudera, H</t>
  </si>
  <si>
    <t>Kawaguchi, Yusuke; Tamura, Takeshi; Nishino, Shigeto; Kikuchi, Takashi; Itoh, Motoyo; Mitsudera, Humio</t>
  </si>
  <si>
    <t>Numerical study of winter water formation in the Chukchi Sea: Roles and impacts of coastal polynyas</t>
  </si>
  <si>
    <t>THIN ICE THICKNESS; ARCTIC-OCEAN; DENSE WATER; PACIFIC WATER; HALOCLINE; SHELF; VARIABILITY; ALASKAN; MODEL</t>
  </si>
  <si>
    <t>Winter water formation is examined in the Chukchi Sea for the winters of 1992-2006 using a primitive equation ocean model forced by NCEP wind and surface salinity flux derived from SSM/I thin ice thickness estimates. The model is also forced by an external inflow of 0.8 Sv through the Bering Strait. The model successfully reproduces the oceanic circulation on the Chukchi shelf, thus providing numerous insights into behaviors of salt-enriched water produced on the shelf. The experiments show that under northeasterly winds, northward throughflow across Barrow Canyon is reduced. This results in salinity buildup under freezing conditions and ultimately in greater enhancement of salinity of the waters carried into the Arctic Basin. The flow and salinity enhancement of the flow through Herald Canyon is less extreme but more steady than through Barrow Canyon. Together with moored salinity in the Bering Strait, the model results estimate the actual salinity to be 32.9 +/- 0.8 psu and 32.7 +/- 0.3 psu, respectively, for waters moving through the Barrow and Herald Canyons. Both estimates are less than 33.1 psu that is typically observed for the cold halostad layer in the Canada Basin, suggesting the importance of diapycnal mixing with saltier Atlantic origin water.</t>
  </si>
  <si>
    <t>[Kawaguchi, Yusuke; Nishino, Shigeto; Kikuchi, Takashi; Itoh, Motoyo] Japan Agcy Marine Earth Sci &amp; Technol, Yokosuka, Kanagawa 2370061, Japan; [Tamura, Takeshi] Univ Tasmania, Antarctic Climate &amp; Ecosyst Cooperat Res Ctr, Hobart, Tas 7001, Australia; [Tamura, Takeshi] Natl Inst Polar Res, Tachikawa, Tokyo, Japan; [Mitsudera, Humio] Hokkaido Univ, Inst Low Temp Sci, Sapporo, Hokkaido 0600819, Japan</t>
  </si>
  <si>
    <t>Japan Agency for Marine-Earth Science &amp; Technology (JAMSTEC); University of Tasmania; Antarctic Climate &amp; Ecosystems Cooperative Research Centre (ACE CRC); Research Organization of Information &amp; Systems (ROIS); National Institute of Polar Research (NIPR) - Japan; Hokkaido University</t>
  </si>
  <si>
    <t>Kawaguchi, Y (corresponding author), Japan Agcy Marine Earth Sci &amp; Technol, 2-15 Natsushima Cho, Yokosuka, Kanagawa 2370061, Japan.</t>
  </si>
  <si>
    <t>yusuke.kawaguchi@jamstec.go.jp</t>
  </si>
  <si>
    <t>; Mitsudera, Humio/E-3241-2012</t>
  </si>
  <si>
    <t>NISHINO, Shigeto/0000-0002-0560-241X; Mitsudera, Humio/0000-0001-9481-6921</t>
  </si>
  <si>
    <t>Japan Science and Technology Agency; Japanese Ministry of Education, Culture, Sports, Science and Technology [20221001]; Grants-in-Aid for Scientific Research [22106001, 11J00007, 22106010] Funding Source: KAKEN</t>
  </si>
  <si>
    <t>Japan Science and Technology Agency(Japan Science &amp; Technology Agency (JST)); Japanese Ministry of Education, Culture, Sports, Science and Technology(Ministry of Education, Culture, Sports, Science and Technology, Japan (MEXT)); Grants-in-Aid for Scientific Research(Ministry of Education, Culture, Sports, Science and Technology, Japan (MEXT)Japan Society for the Promotion of ScienceGrants-in-Aid for Scientific Research (KAKENHI))</t>
  </si>
  <si>
    <t>The authors thank K. Shimada of the Tokyo University for Marine Science for his instructive comments and helpful discussion. We also sincerely acknowledge the two anonymous reviewers and the Associate Editor for their valuable comments and suggestions. The SSM/I and AVHRR data were provided by the National Snow and Ice Data Center (NSIDC), University of Colorado. This work was supported by the fund from Core Research for Evolutional Science and Technology of Japan Science and Technology Agency and from grant-in-aids for scientific research (20221001) of the Japanese Ministry of Education, Culture, Sports, Science and Technology.</t>
  </si>
  <si>
    <t>JUL 28</t>
  </si>
  <si>
    <t>C07025</t>
  </si>
  <si>
    <t>10.1029/2010JC006606</t>
  </si>
  <si>
    <t>800DP</t>
  </si>
  <si>
    <t>WOS:000293340300002</t>
  </si>
  <si>
    <t>Hansen, JO; Shearer, KD; Overland, M; Storebakken, T</t>
  </si>
  <si>
    <t>Hansen, Jon Ovrum; Shearer, Karl Douglas; Overland, Margareth; Storebakken, Trond</t>
  </si>
  <si>
    <t>Dietary calcium supplementation reduces the bioavailability of fluoride from krill shell and NaF in rainbow trout (Oncorhynchus mykiss) reared in fresh water</t>
  </si>
  <si>
    <t>Fluoride bioavailability; Calcium fluoride; Antarctic krill; Euphausia superba; Rainbow trout</t>
  </si>
  <si>
    <t>SALMON SALMO-SALAR; ANTARCTIC KRILL; GASTRIC EVACUATION; FISH-MEAL; GAIRDNERI; RAT; PHARMACOKINETICS; PHOSPHORUS; METABOLISM; INCLUSION</t>
  </si>
  <si>
    <t>The use of Antarctic krill (Euphausia superba) in fish feeds may be limited by a high fluoride level. The aim of this experiment was to investigate the bioavailability of dietary fluoride from either krill shell or sodium fluoride (NaF) to rainbow trout (Oncorhynchus mykiss). The second aim was to investigate if the fluoride bioavailability was affected by adding calcium to the feed. Five experimental diets were produced; one control diet and four test diets containing 700 mg fluoride kg(-1) either from NaF or from krill shell, with or without added calcium chloride (15 g Ca kg(-1)). Triplicate groups of fish were given one meal in excess of appetite prior to sampling. Five fish from each replicate tank were terminally sampled for blood; 0, 1, 3, 6, 9, 12, 15, 18,24, and 36 h postprandial. Fluoride in blood plasma was used as an indicator of fluoride absorption. Fish fed NaF showed a clear peak in plasma fluoride of 1.17 mg l(-1) 3 h postprandial, followed by a rapid decline. The fish fed krill shell did not obtain a clear peak but had a maximum fluoride plasma concentration (C(max)) of 0.32 mg l(-1) 3 h postprandial. The addition of dietary calcium reduced the fluoride uptake in fish fed the NaF diet by nearly 100%, while adding calcium to the diets with krill shell reduced the uptake of fluoride to nearly the half. To conclude, fluoride from krill shell had a lower bioavailability than fluoride from NaF. Dietary calcium was an efficient way to reduce the fluoride uptake of rainbow trout reared in fresh water. (C) 2011 Elsevier B.V. All rights reserved.</t>
  </si>
  <si>
    <t>[Hansen, Jon Ovrum; Shearer, Karl Douglas; Overland, Margareth; Storebakken, Trond] Norwegian Univ Life Sci, Dept Anim &amp; Aquaculture Sci, CoE, Aquaculture Prot Ctr, NO-1432 As, Norway</t>
  </si>
  <si>
    <t>Norwegian University of Life Sciences</t>
  </si>
  <si>
    <t>Storebakken, T (corresponding author), Norwegian Univ Life Sci, Dept Anim &amp; Aquaculture Sci, CoE, Aquaculture Prot Ctr, POB 5003, NO-1432 As, Norway.</t>
  </si>
  <si>
    <t>trond.storebakken@umb.no</t>
  </si>
  <si>
    <t>storebakken, trond/E-8050-2011; Øverland, Margareth/G-3451-2012</t>
  </si>
  <si>
    <t>Krillsea Group AS, Alesund, Norway; Norwegian University of Life Sciences</t>
  </si>
  <si>
    <t>The research was supported by Krillsea Group AS, Alesund, Norway. Jon Ovrum Hansen was supported by a PhD grant from the Norwegian University of Life Sciences.</t>
  </si>
  <si>
    <t>JUL 27</t>
  </si>
  <si>
    <t>10.1016/j.aquaculture.2011.03.030</t>
  </si>
  <si>
    <t>790UV</t>
  </si>
  <si>
    <t>WOS:000292616000015</t>
  </si>
  <si>
    <t>Berg, GM; Mills, MM; Long, MC; Bellerby, R; Strass, V; Savoye, N; Röttgers, R; Croot, PL; Webb, A; Arrigo, KR</t>
  </si>
  <si>
    <t>Berg, Gry Mine; Mills, Matthew M.; Long, Matt C.; Bellerby, Richard; Strass, Volker; Savoye, Nicolas; Roettgers, Rudiger; Croot, Peter L.; Webb, Adrian; Arrigo, Kevin R.</t>
  </si>
  <si>
    <t>Variation in particulate C and N isotope composition following iron fertilization in two successive phytoplankton communities in the Southern Ocean</t>
  </si>
  <si>
    <t>GLOBAL BIOGEOCHEMICAL CYCLES</t>
  </si>
  <si>
    <t>EQUATORIAL PACIFIC-OCEAN; ALGA SELENASTRUM-MINUTUM; SUB-ARCTIC PACIFIC; POLAR FRONTAL ZONE; NITROGEN UPTAKE; CARBON-DIOXIDE; ORGANIC-MATTER; SURFACE-WATER; PHOSPHOENOLPYRUVATE CARBOXYLASE; ENRICHMENT EXPERIMENT</t>
  </si>
  <si>
    <t>Surface delta(15)N(PON) increased 3.92 +/- 0.48% over the course of 20 days following additions of iron (Fe) to an eddy in close proximity to the Antarctic Polar Front in the Atlantic sector of the Southern Ocean. The change in delta(15)N(PON) was associated with an increase in the &gt;20 mu m size fraction, leading to a maximal difference of 6.23% between the &gt;20 mu m and &lt;20 mu m size fractions. Surface delta(13)C(POC) increased 1.18 +/- 0.31% over the same period. After a decrease in particulate organic matter in the surface layer, a second phytoplankton community developed that accumulated less biomass, had a slower growth rate and was characterized by an offset of 1.56% in delta(13)C(POC) relative to the first community. During growth of the second community, surface delta(13)C(POC) further increased 0.83 +/- 0.13%. Here we speculate on ways that carboxylation, nitrogen assimilation, substrate pool enrichment and community composition may have contributed to the gradual increase in delta(13)C(POC) associated with phytoplankton biomass accumulation, as well as the systematic offset in delta(13)C(POC) between the two phytoplankton communities.</t>
  </si>
  <si>
    <t>[Berg, Gry Mine; Mills, Matthew M.; Long, Matt C.; Arrigo, Kevin R.] Stanford Univ, Stanford, CA 94305 USA; [Bellerby, Richard] Univ Bergen, Bjerknes Ctr Climate Res, N-5007 Bergen, Norway; [Strass, Volker] Alfred Wegener Inst Polar &amp; Marine Res, D-27515 Bremerhaven, Germany; [Webb, Adrian] Univ Cape Town, Dept Oceanog, ZA-7700 Rondebosch, South Africa; [Roettgers, Rudiger] Forschungszentrum Geesthacht, Inst Kustenforsch, D-21502 Geesthacht, Germany; [Savoye, Nicolas] Univ Bordeaux 1, CNRS, Stn Marine Arcachon, UMR EPOC 5805, F-33120 Arcachon, France; [Savoye, Nicolas] Vrije Univ Brussel, Dept Analyt &amp; Environm Chem, Brussels, Belgium; [Croot, Peter L.] Inst Meereskunde GEOMAR, Kiel, Germany</t>
  </si>
  <si>
    <t>Stanford University; University of Bergen; Bjerknes Centre for Climate Research; Helmholtz Association; Alfred Wegener Institute, Helmholtz Centre for Polar &amp; Marine Research; University of Cape Town; Helmholtz Association; Helmholtz-Zentrum Hereon; Centre National de la Recherche Scientifique (CNRS); CNRS - National Institute for Earth Sciences &amp; Astronomy (INSU); Universite de Bordeaux; Vrije Universiteit Brussel; Helmholtz Association; GEOMAR Helmholtz Center for Ocean Research Kiel</t>
  </si>
  <si>
    <t>Berg, GM (corresponding author), Stanford Univ, 397 Panama Mall, Stanford, CA 94305 USA.</t>
  </si>
  <si>
    <t>mine.berg@gmail.com</t>
  </si>
  <si>
    <t>Croot, Peter/U-5296-2019; Bellerby, Richard/ABD-6590-2021; Croot, Peter/C-8460-2009; Bellerby, Richard/B-5277-2012; Long, Matthew C/H-4632-2016</t>
  </si>
  <si>
    <t>Bellerby, Richard/0000-0003-3598-4006; Croot, Peter/0000-0003-1396-0601; Arrigo, Kevin/0000-0002-7364-876X; Strass, Volker/0000-0002-7539-1400; Long, Matthew/0000-0003-1273-2957</t>
  </si>
  <si>
    <t>German Research Foundation (DFG) [BE2634/1]; Bjerknes Centre of Climate Research; Norwegian Research Council [180328]; Belgian Science Policy Office BELCANTO network [EV/37/7C, EV/03/7A, SD/CA/03A]; Vrije Universiteit Brussel [GOA22]; Research Foundation Flanders [G.0021.04]; DFG [CR145/4-1, CR145/5-1]; NSF [ANT0732535]</t>
  </si>
  <si>
    <t>German Research Foundation (DFG)(German Research Foundation (DFG)); Bjerknes Centre of Climate Research; Norwegian Research Council(Research Council of Norway); Belgian Science Policy Office BELCANTO network; Vrije Universiteit Brussel; Research Foundation Flanders(FWO); DFG(German Research Foundation (DFG)); NSF(National Science Foundation (NSF))</t>
  </si>
  <si>
    <t>We thank Captain U. Pahl and the crew of R/V Polarstern and the other cruise participants for their support during the cruise. Special thanks to chief scientist V. Smetacek and to Scott Wankel, C. Neill, P. Assmy, B. Cisewski, I. Benner and I Voge for help with sampling and analyses. We thank two anonymous reviewers for their helpful comments on the manuscript. This research was funded by the German Research Foundation (DFG) grant BE2634/1 to G. M. B.; by a Bjerknes Centre of Climate Research Centre of Excellence Grant and the Norwegian Research Council Southern Ocean Biogeochemistry: Education and Research grant 180328 to R. B.; by Belgian Science Policy Office BELCANTO network contracts EV/37/7C, EV/03/7A, SD/CA/03A and the Vrije Universiteit Brussel grant GOA22, and the Research Foundation Flanders contract G.0021.04 to N.S.; by DFG grants CR145/4-1 and CR145/5-1 to P. L. C.; and by NSF grant ANT0732535 to K. R. A.</t>
  </si>
  <si>
    <t>0886-6236</t>
  </si>
  <si>
    <t>GLOBAL BIOGEOCHEM CY</t>
  </si>
  <si>
    <t>Glob. Biogeochem. Cycle</t>
  </si>
  <si>
    <t>GB3013</t>
  </si>
  <si>
    <t>10.1029/2010GB003824</t>
  </si>
  <si>
    <t>Environmental Sciences; Geosciences, Multidisciplinary; Meteorology &amp; Atmospheric Sciences</t>
  </si>
  <si>
    <t>Environmental Sciences &amp; Ecology; Geology; Meteorology &amp; Atmospheric Sciences</t>
  </si>
  <si>
    <t>800DM</t>
  </si>
  <si>
    <t>Bronze, Green Published</t>
  </si>
  <si>
    <t>WOS:000293340000001</t>
  </si>
  <si>
    <t>Moffat-Griffin, T; Hibbins, RE; Jarvis, MJ; Colwell, SR</t>
  </si>
  <si>
    <t>Moffat-Griffin, T.; Hibbins, R. E.; Jarvis, M. J.; Colwell, S. R.</t>
  </si>
  <si>
    <t>Seasonal variations of gravity wave activity in the lower stratosphere over an Antarctic Peninsula station</t>
  </si>
  <si>
    <t>MOMENTUM FLUX; MOUNTAIN WAVES; POLAR VORTEX; WIND; ATMOSPHERE; VARIANCE; CAMPAIGN; CLIMATE; MODELS</t>
  </si>
  <si>
    <t>An 8 year series of 965 high-resolution radiosonde soundings over Rothera (67 degrees S, 68 degrees W) on the Antarctic Peninsula are used to study gravity wave characteristics in the lower stratosphere. The gravity wave energy is shown to have a seasonal variation with peaks at the equinoxes; the largest peak is around the spring equinox. During the winter months and extending into the spring, there is both an enhancement in the downward propagating wave activity and a reduction in the amount of critical-level filtering of upward propagating mountain waves. The horizontal propagation directions of the gravity waves were determined using hodographs. It was found that there is a predisposition toward northward and westward propagating waves above Rothera. This is in agreement with previous observations of gravity wave momentum flux in the wintertime mesosphere over Rothera. These results are consistent with a scenario whereby the stratospheric gravity wavefield above Rothera is determined by a combination of wind flow over topography-generating waves from below, and sources such as the edge of the polar stratospheric vortex-generating waves from above, especially during winter and spring.</t>
  </si>
  <si>
    <t>[Moffat-Griffin, T.; Jarvis, M. J.; Colwell, S. R.] British Antarctic Survey, High Cross, Cambridge CB3 0ET, England</t>
  </si>
  <si>
    <t>Moffat-Griffin, T (corresponding author), British Antarctic Survey, High Cross, Madingley Rd, Cambridge CB3 0ET, England.</t>
  </si>
  <si>
    <t>tmof@bas.ac.uk</t>
  </si>
  <si>
    <t>Hibbins, Robert/0000-0002-6867-2255</t>
  </si>
  <si>
    <t>Natural Environment Research Council [bas0100023] Funding Source: researchfish; NERC [bas0100023] Funding Source: UKRI</t>
  </si>
  <si>
    <t>JUL 26</t>
  </si>
  <si>
    <t>D14111</t>
  </si>
  <si>
    <t>10.1029/2010JD015349</t>
  </si>
  <si>
    <t>800HO</t>
  </si>
  <si>
    <t>WOS:000293350600001</t>
  </si>
  <si>
    <t>Sim-Smith, C; Kelly, M</t>
  </si>
  <si>
    <t>Sim-Smith, Carina; Kelly, Michelle</t>
  </si>
  <si>
    <t>Two new genera in the family Podospongiidae (Demospongiae: Poecilosclerida) with eight new Western Pacific species</t>
  </si>
  <si>
    <t>ZOOTAXA</t>
  </si>
  <si>
    <t>Porifera; Podospongia; Neopodospongia gen. nov.; Diplopodospongia gen. nov.; new genus; new species; Macquarie Ridge; Campbell Plateau; Australian EEZ; New Zealand EEZ; Indonesian EEZ</t>
  </si>
  <si>
    <t>PORIFERA-DEMOSPONGIAE; SPONGE</t>
  </si>
  <si>
    <t>New material collected from the Western Pacific has necessitated a revision of family Podospongiidae and the establishment of two new genera, Neopodospongia gen. nov. and Diplopodospongia gen. nov. Neopodospongia gen. nov. was established for a group of sponges characterised by a leathery ectosome, strongyloxeas, aciculospinorhabds, and sigmoidal protospinorhabds. Diplopodospongia gen. nov., was established for a group of thinly encrusting deep-water sponges that have anisoxeas and dumbbell-shaped spinorhabds. Eight new species of Podospongiidae are described here: two species of Podospongia du Bocage, 1869; P. virga sp. nov., from northern New Zealand and P. colini sp. nov., from Indonesia, three species of Neopodospongia from New Zealand; N. pagei gen. nov. sp. nov., N. bergquistae gen. nov. sp. nov., and N. exilis gen. nov. sp. nov., and three species of Diplopodospongia; D. rara gen. nov. sp. nov. and D. teliformis gen. nov. sp. nov. from New Zealand, and D. macquariensis gen. nov. sp. nov. from the Australian Exclusive Economic Zone surrounding Macquarie Island in the Southern Ocean. In addition, the Irish encrusting sponge P. normani (Stephens 1915) has been reassigned to Neopodospongia gen. nov. An updated identification key to Podospongiidae genera is included.</t>
  </si>
  <si>
    <t>[Sim-Smith, Carina; Kelly, Michelle] Natl Inst Water &amp; Atmospher Res, Natl Ctr Aquat Biodivers &amp; Biosecur, Auckland 1149, New Zealand</t>
  </si>
  <si>
    <t>National Institute of Water &amp; Atmospheric Research (NIWA) - New Zealand</t>
  </si>
  <si>
    <t>Kelly, M (corresponding author), Natl Inst Water &amp; Atmospher Res, Natl Ctr Aquat Biodivers &amp; Biosecur, Private Bag 99940, Auckland 1149, New Zealand.</t>
  </si>
  <si>
    <t>c.simsmith@niwa.co.nz; m.kelly@niwa.co.nz</t>
  </si>
  <si>
    <t>New Zealand Foundation for Research, Science, and Technology (FRST) Technology [CO1X0028, CO1X0204, CO1X0508, C01X0219]; Deep sea vulnerable communities [CO1X0906]; Land Information and New Zealand, Ministry of Fisheries [ZBD2008-50]; New Zealand Foundation for Research, Science Technology [C01X0219]; Coral Reef Research Foundation [N01-CM-27704]</t>
  </si>
  <si>
    <t>New Zealand Foundation for Research, Science, and Technology (FRST) Technology(New Zealand Foundation for Research, Science and Technology); Deep sea vulnerable communities; Land Information and New Zealand, Ministry of Fisheries; New Zealand Foundation for Research, Science Technology(New Zealand Foundation for Research, Science and Technology); Coral Reef Research Foundation</t>
  </si>
  <si>
    <t>We thank Professor Jean Vacelet, Marine Station d'Endoume, Marseille, and Professor Dame Patricia R. Bergquist (deceased) for collections and provision of some of the specimens for this study. Specimens were supplied by the NIWA Invertebrate Collection (NIC), and we are particularly grateful to Sadie Mills and Kareen Schnabel for their diligent assistance with loans. These specimens were collected as part of the NIWA research programme Sea-mounts, their importance to fisheries and marine ecosystems, funded by the New Zealand Foundation for Research, Science, and Technology (FRST) Technology Contracts CO1X0028, CO1X0204, CO1X0508, Deep sea vulnerable communities Contract CO1X0906, and the Oceans 2020 programme (Land Information and New Zealand, Ministry of Fisheries) Project ZBD2008-50. This work was primarily supported by the New Zealand Foundation for Research, Science &amp; Technology Contracts C01X0219 (Biodiversity and Biosecurity) to NIWA. Several specimens of Diplopodospongia macquariensis gen. nov. sp. nov. were collected from within Australian EEZ waters around Macquarie Island on the TAN0803 voyage of RV Tangaroa. These specimens have been accessioned by the Queensland Museum and we thank Dr John Hooper and Merrick Ekins for facilitating this. The MacRidge 2 voyage (TAN0803) represented a collaboration between New Zealand and Australian scientists from NIWA and Geological Nuclear Sciences Institute (GNS) in New Zealand, and CSIRO Division of Marine and Atmospheric Research, the Antarctic Climate and Ecosystems Cooperative Research Centre (ACECRC), and the Research School of Earth Sciences, Australian National University (ANU) in Australia. We also thank Lori Bell and Dr Patrick Colin, Coral Reef Research Foundation, Palau, for provision of the Sulawesi Podospongia for this study. Collections by the Coral Reef Research Foundation were made under contract to the United States National Cancer Institute Contract no. N01-CM-27704. This work was primarily supported by the New Zealand Foundation for Research, Science &amp; Technology Contracts C01X0219 (Biodiversity and Biosecurity) to NIWA. We are grateful to John Rosser MA LTCL of Auckland for his assistance with the correct form of new species names. This paper includes a contribution from the Coral Reef Research Foundation.</t>
  </si>
  <si>
    <t>MAGNOLIA PRESS</t>
  </si>
  <si>
    <t>AUCKLAND</t>
  </si>
  <si>
    <t>PO BOX 41383, AUCKLAND, ST LUKES 1030, NEW ZEALAND</t>
  </si>
  <si>
    <t>1175-5326</t>
  </si>
  <si>
    <t>1175-5334</t>
  </si>
  <si>
    <t>Zootaxa</t>
  </si>
  <si>
    <t>10.11646/zootaxa.2976.1.3</t>
  </si>
  <si>
    <t>Zoology</t>
  </si>
  <si>
    <t>802MQ</t>
  </si>
  <si>
    <t>WOS:000293516100003</t>
  </si>
  <si>
    <t>Kelly, M; Vacelet, J</t>
  </si>
  <si>
    <t>Kelly, Michelle; Vacelet, Jean</t>
  </si>
  <si>
    <t>Three new remarkable carnivorous sponges (Porifera, Cladorhizidae) from deep New Zealand and Australian (Macquarie Island) waters</t>
  </si>
  <si>
    <t>Porifera; Abyssocladia; Asbestopluma; Cladorhizidae; carnivorous sponges; Kermadec Volcanic Arc; Hikurangi Plateau; Chatham Rise; Macquarie Ridge; New Zealand EEZ; Australia EEZ; deep water; new species</t>
  </si>
  <si>
    <t>POECILOSCLERIDA</t>
  </si>
  <si>
    <t>Most specimens of carnivorous sponges (Demospongiae, Poecilosclerida, Cladorhizidae) collected in the deep Pacific are usually found to be undescribed taxa. New Zealand's EEZ, containing Kermadec Trench and Volcanic Arc to the north, Chatham Rise to the southeast, and parts of Macquarie Ridge to the southwest of New Zealand, as well as parts of Australia's EEZ surrounding Macquarie Island, on Macquarie Ridge, have produced high numbers of new species and possibly new genera, and these are presently being described. In this work, we describe three new species of Cladorhizidae, each remarkable for the 'exceptions to the rule' that they represent. Abyssocladia carcharias sp. nov., from Monowai Seamount on the Kermadec Volcanic Arc, has the shape of a pedunculate disc with radiating filaments, and is characterized by three types of unique multidentate isochelae. Asbestopluma (Asbestopluma) anisoplacochela sp. nov., from the southern most end of the Three Kings Ridge, is erect and cylindrical with lateral expansions. In addition to the usual Asbestopluma microscleres, this species displays a new form of microsclere, termed 'anisoplacochelae'. These unprecedented microscleres bear a plate-like central tooth similar to that of the placochelae of Guitarridae, but the ends are dissimilar in shape and dimensions. Asbestopluma (Asbestopluma) desmophora sp. nov., from Cavalli Seamounts off the north east coast of New Zealand, Hikurangi Plateau to the east of the North Island, and the Chatham Rise extending east from the South Island (all New Zealand EEZ), and on Macquarie Ridge (Australia EEZ), is an erect dichotomously branching sponge, that has desma megascleres densely packed into the enlarged base of attachment. Implications for the phylogeny of these three unusual species are considered.</t>
  </si>
  <si>
    <t>[Vacelet, Jean] Aix Marseille Univ, Ctr Oceanol Marseille, CNRS UMR DIMAR 6540, Marine Endoume Stn, F-13007 Marseille, France; [Kelly, Michelle] Natl Inst Water &amp; Atmospher Res NIWA Ltd, Natl Ctr Aquat Biodivers &amp; Biosecur, Auckland 1149, New Zealand</t>
  </si>
  <si>
    <t>Aix-Marseille Universite; National Institute of Water &amp; Atmospheric Research (NIWA) - New Zealand</t>
  </si>
  <si>
    <t>Vacelet, J (corresponding author), Aix Marseille Univ, Ctr Oceanol Marseille, CNRS UMR DIMAR 6540, Marine Endoume Stn, F-13007 Marseille, France.</t>
  </si>
  <si>
    <t>m.kelly@niwa.co.nz; jean.vacelet@univmed.fr</t>
  </si>
  <si>
    <t>New Zealand Foundation for Research, Science, and Technology (FRST) Technology [CO1X0028, CO1X0204, CO1X0508]; Deep sea vulnerable communities [CO1X0906]; Land Information and New Zealand, Ministry of Fisheries [ZBD2008-50]; New Zealand Foundation for Research, Science Technology [C01X0219]</t>
  </si>
  <si>
    <t>New Zealand Foundation for Research, Science, and Technology (FRST) Technology(New Zealand Foundation for Research, Science and Technology); Deep sea vulnerable communities; Land Information and New Zealand, Ministry of Fisheries; New Zealand Foundation for Research, Science Technology(New Zealand Foundation for Research, Science and Technology)</t>
  </si>
  <si>
    <t>We gratefully acknowledge the assistance of Carina Sim-Smith, NIWA, Chantal Bezac and Christian Marschal, Centre d'Oceanologie de Marseille, for their technical help in the processing of the specimens. We thank Anne-Laure Verdier and Arne Pallentin of the Ocean Geology group at NIWA Wellington for producing Figure 1. Specimens were supplied by the NIWA Invertebrate Collection (NIC), and we are particularly grateful to Sadie Mills and Kareen Schnabel for their diligent assistance with loans. These specimens were collected as part of the NIWA research programme Seamounts, their importance to fisheries and marine ecosystems, funded by the New Zealand Foundation for Research, Science, and Technology (FRST) Technology Contracts CO1X0028, CO1X0204, CO1X0508, Deep sea vulnerable communities Contract CO1X0906, and the Oceans 2020 programme (Land Information and New Zealand, Ministry of Fisheries) Project ZBD2008-50. This work was primarily supported by the New Zealand Foundation for Research, Science &amp; Technology Contracts C01X0219 (Biodiversity and Biosecurity) to NIWA. Several specimens of the new species Asbestopluma (Asbestopluma) desmophora sp. nov. were collected from within Australian EEZ waters around Macquarie Island on the TAN0803 voyage of RV Tangaroa. These specimens have been accessioned by the Queensland Museum and we thank Dr John Hooper for facilitating this. The MacRidge 2 voyage (TAN0803) represented a collaboration between New Zealand and Australian scientists from NIWA and Geological Nuclear Sciences Institute (GNS) in New Zealand, and CSIRO Division of Marine and Atmospheric Research, the Antarctic Climate and Ecosystems Cooperative Research Centre (ACECRC), and the Research School of Earth Sciences, Australian National University (ANU) in Australia.</t>
  </si>
  <si>
    <t>WOS:000293516100004</t>
  </si>
  <si>
    <t>Li, J; Qi, PS; Ma, Y; Zhou, H</t>
  </si>
  <si>
    <t>Li, Jing; Qi, Peishi; Ma, Yun; Zhou, Hao</t>
  </si>
  <si>
    <t>Phytoplankton community characteristics of the icebound season and its relationship to the environmental variables in the Zhalong Wetland, China</t>
  </si>
  <si>
    <t>AFRICAN JOURNAL OF BIOTECHNOLOGY</t>
  </si>
  <si>
    <t>Phytoplankton; icebound season; canonical correspondence analysis (CCA); Zhalong Wetland</t>
  </si>
  <si>
    <t>BRANSFIELD STRAIT REGION; ANTARCTIC PENINSULA; NUTRIENT REGIMES; TREATMENT-PLANT; SOUTHERN-OCEAN; WATER-QUALITY; SNOW ALGAE; SUMMER; ICE; BIOMASS</t>
  </si>
  <si>
    <t>The taxonomic structure and spatial variability of phytoplankton abundance in the icebound season was obtained from the Zhalong Wetland. A total of 109 taxa were identified in all samples, 92 taxa occurring in at least two samples or the percentages over 1% in at least one sample were utilized in further study. The algal population of the Zhalong Wetland was extremely scarce under the ice-cover condition, with a mean density of 3.11x10(7) ind./L (ranged from 1.11x10(6) ind./L to 1.99x10(8)xind./L). Principle component analysis (PCA) displayed two major groups in environmental variables, that is, (1) ion and organic matters; (2) physical characters and non-organic matters. The relationship between phytoplankton community and environmental variables was analyzed from the inhalant and core region of the Zhalong Wetland. The detrended correspondence analysis (DCA) examined all sites positioned in the range of the DCA biplot and the largest gradient length (13.7 standard deviation units) evoked a strong unimodal response modal. Canonical correspondence analysis (CCA) with forward selection and a Monte Carlo permutation test revealed that nitrate (NO(3)-N) and TN mostly affected the distribution of algae.</t>
  </si>
  <si>
    <t>[Li, Jing; Qi, Peishi] Harbin Inst Technol, Sch Municipal &amp; Environm Engn, Harbin 150090, Peoples R China; [Li, Jing; Ma, Yun; Zhou, Hao] Heilongjiang Prov Res Inst Environm Sci, Harbin 150056, Peoples R China</t>
  </si>
  <si>
    <t>Harbin Institute of Technology</t>
  </si>
  <si>
    <t>Qi, PS (corresponding author), Harbin Inst Technol, Sch Municipal &amp; Environm Engn, Harbin 150090, Peoples R China.</t>
  </si>
  <si>
    <t>qipeishi@163.com</t>
  </si>
  <si>
    <t>Key Scientific and Technological Projects in Heilongjiang Province [GB07C20303]; National Water Pollution Control and Management Technology [2008ZX07207]</t>
  </si>
  <si>
    <t>Key Scientific and Technological Projects in Heilongjiang Province; National Water Pollution Control and Management Technology</t>
  </si>
  <si>
    <t>This research was supported by the Key Scientific and Technological Projects in Heilongjiang Province (GB07C20303) and the National Water Pollution Control and Management Technology Major Projects (2008ZX07207).</t>
  </si>
  <si>
    <t>ACADEMIC JOURNALS</t>
  </si>
  <si>
    <t>VICTORIA ISLAND</t>
  </si>
  <si>
    <t>P O BOX 5170-00200 NAIROBI, VICTORIA ISLAND, LAGOS 73023, NIGERIA</t>
  </si>
  <si>
    <t>1684-5315</t>
  </si>
  <si>
    <t>AFR J BIOTECHNOL</t>
  </si>
  <si>
    <t>Afr. J. Biotechnol.</t>
  </si>
  <si>
    <t>JUL 25</t>
  </si>
  <si>
    <t>Biotechnology &amp; Applied Microbiology</t>
  </si>
  <si>
    <t>817LN</t>
  </si>
  <si>
    <t>WOS:000294674600014</t>
  </si>
  <si>
    <t>Lu, P; Li, ZJ; Cheng, B; Leppäranta, M</t>
  </si>
  <si>
    <t>Lu, Peng; Li, Zhijun; Cheng, Bin; Lepparanta, Matti</t>
  </si>
  <si>
    <t>A parameterization of the ice-ocean drag coefficient</t>
  </si>
  <si>
    <t>1ST-YEAR SEA-ICE; BOUNDARY-LAYER; MOMENTUM EXCHANGE; SURFACE DRAG; WATER DRAG; STRESS; ROUGHNESS; RIDGE; DRIFT; FLOW</t>
  </si>
  <si>
    <t>A parameterization of the ice-ocean drag coefficient (C-w) was developed through partitioning the oceanic drag force into three components: (1) form drag on the floe edge, (2) form drag on the ridge keel, and (3) skin friction on the ice bottom. Through these quantities, C-w was expressed as a function of observable sea ice geometric parameters. Sensitivity studies were carried out to investigate the influence of varying sea ice conditions on C-w. The results revealed that C-w increases first and then decreases with increasing ice concentration (A), similar to the observations of the air-ice drag coefficient, and which is mainly attributed to the nonmonotonic variation of the form drag on the floe edge with ice concentration. Moreover, the form drag on the floe edge is always the dominant component, having a proportion of more than 60% in sea ice with a large aspect ratio (draft/length &gt;= 1/100), indicating the necessity of including this term in sea ice dynamic models, particularly for the marginal ice zone (MIZ). The form drag on the ridge keel becomes dominant only when the ridging intensity is extremely high (depth/spacing &gt;= 1/20). Additionally, a large value of C-w cannot be caused only by the inclusion of form drag terms but also by large skin friction over rough ice bottoms. Finally, for typical situations in the MIZ with moderate ridging intensity, the parameterization will underestimate C-w by approximately 30% for a rough ice bottom and by over 80% for a smooth ice bottom if no form drags are considered.</t>
  </si>
  <si>
    <t>[Lu, Peng; Li, Zhijun; Cheng, Bin; Lepparanta, Matti] Dalian Univ Technol, State Key Lab Coastal &amp; Offshore Engn, Dalian 116024, Liaoning, Peoples R China; [Cheng, Bin] Finnish Meteorol Inst, FIN-00101 Helsinki, Finland; [Lepparanta, Matti] Univ Helsinki, Dept Phys, Helsinki, Finland</t>
  </si>
  <si>
    <t>Dalian University of Technology; Finnish Meteorological Institute; University of Helsinki</t>
  </si>
  <si>
    <t>Lu, P (corresponding author), Dalian Univ Technol, State Key Lab Coastal &amp; Offshore Engn, Dalian 116024, Liaoning, Peoples R China.</t>
  </si>
  <si>
    <t>lupeng@dlut.edu.cn</t>
  </si>
  <si>
    <t>Cheng, Bin/D-4354-2013; Lu, Peng/HNR-4786-2023; Li, Zhijun/A-5299-2019; Lepparanta, Matti/M-7507-2017</t>
  </si>
  <si>
    <t>Cheng, Bin/0000-0001-8156-8412; Li, Zhijun/0000-0002-2897-0450; Lepparanta, Matti/0000-0002-4754-5564</t>
  </si>
  <si>
    <t>Nature Science Foundation of China (NSFC) [40806075, 40930848, 50879008, 50921001]; Norwegian Research Council [193592/S30]</t>
  </si>
  <si>
    <t>Nature Science Foundation of China (NSFC)(National Natural Science Foundation of China (NSFC)); Norwegian Research Council(Research Council of Norway)</t>
  </si>
  <si>
    <t>This study was supported by the National Nature Science Foundation of China (NSFC) (40806075 and 40930848), and Norwegian Research Council project AMORA (193592/S30). The authors Cheng and Lepparanta carried out the theoretical study in DUT as visiting scientists which was supported by the cooperation projects of NSFC-AF based on the NSFC projects (50879008 and 50921001). The authors Li and Cheng carried out the field data collection from Chinese Polar Expeditions organized by the Chinese Arctic and Antarctic Administration. We are very grateful to the anonymous reviewers whose constructive comments have led to significant improvements of the manuscript.</t>
  </si>
  <si>
    <t>JUL 23</t>
  </si>
  <si>
    <t>C07019</t>
  </si>
  <si>
    <t>10.1029/2010JC006878</t>
  </si>
  <si>
    <t>796YP</t>
  </si>
  <si>
    <t>WOS:000293089700001</t>
  </si>
  <si>
    <t>Rhodes, RH; Baker, JA; Millet, MA; Bertler, NAN</t>
  </si>
  <si>
    <t>Rhodes, Rachael H.; Baker, Joel A.; Millet, Marc-Alban; Bertler, Nancy A. N.</t>
  </si>
  <si>
    <t>Experimental investigation of the effects of mineral dust on the reproducibility and accuracy of ice core trace element analyses</t>
  </si>
  <si>
    <t>CHEMICAL GEOLOGY</t>
  </si>
  <si>
    <t>Ice core; ICP-MS; Trace elements; Enrichment factors; Mineral dust</t>
  </si>
  <si>
    <t>PLASMA-MASS-SPECTROMETRY; EAST ANTARCTICA ICE; RARE-EARTH-ELEMENTS; HEAVY-METALS; CLIMATIC CYCLES; SOUTH-AMERICA; COATS LAND; GRAM LEVEL; SNOW; SAMPLES</t>
  </si>
  <si>
    <t>Determination of trace element concentrations by inductively coupled plasma mass spectrometry (ICP-MS) can yield valuable information about paleoclimate from ice core records. Typically, ICP-MS analyses are performed on melted and acidified ice core samples which contain particulate material i.e., mineral dust. This particulate material is usually enriched in trace elements relative to ice core samples. Consequently, it is important to constrain the effect of acidification on mineral dust present in ice core samples and to assess the contribution of dust leaching to the trace element budget of ice cores. We have conducted a systematic experimental investigation designed to replicate the conditions of conventional ice core trace element analyses. Powdered rock standards of various lithologies were leached in 1 wt.% HNO3 and the leachates were sampled at regular time intervals. Oxides and sheet silicate minerals, in the ferromanganese nodule (Nod-P-1) and granite (JG-2) leachates respectively, released available trace elements into solution relatively quickly; trace element recovery reached 57% for Mg and 42% for Mn in the granite leachate and recoveries between 60 and 80% were reached for most elements in the ferromanganese nodule leachate after only 12 h of leaching. In contrast, mafic minerals in the basalt (BHVO-2) and dolerite (W-2) released trace elements slowly, achieving recoveries of &lt;20% for elements from Li to Mn after 12 h of leaching. The mafic minerals continued to release trace elements into solution over several weeks causing Al and Ti concentration increases to &gt;4000%. These results demonstrate that acidification of ice core samples containing mineral dust will cause time- and mineral-dependent leaching of trace elements. Leaching behaviour of trace elements remained constant with varying mineral dust concentration but freezing pre-acidified samples was found to promote leaching of some trace elements. Ideally, all ice core samples would be fully digested or filtered to eliminate the error introduced by partial dissolution of dust but this is time-consuming and impractical. We therefore recommend acidifying samples for as long as practical to reach a maximum leachable concentration. For datasets obtained by conventional methods, Al is identified as the most suitable element to use as a terrestrial tracer because it is leached to a uniform extent across all lithologies. Fundamental flaws are identified in the calculation of crustal enrichment factors which are likely to cause some elements to appear enriched as a result of incongruent leaching. Ratios of trace elements, in particular rare earth elements (REEs), leached from mineral dust will not reflect those of the dust and are not suitable as tracers of dust provenance. (C) 2011 Elsevier B.V. All rights reserved.</t>
  </si>
  <si>
    <t>[Rhodes, Rachael H.; Bertler, Nancy A. N.] Victoria Univ Wellington, Antarctic Res Ctr, Wellington 6140, New Zealand; [Rhodes, Rachael H.; Bertler, Nancy A. N.] GNS Sci, Lower Hutt 5040, New Zealand; [Baker, Joel A.; Millet, Marc-Alban] Victoria Univ Wellington, Sch Geog Environm &amp; Earth Sci, Wellington 6140, New Zealand</t>
  </si>
  <si>
    <t>Victoria University Wellington; GNS Science - New Zealand; Victoria University Wellington</t>
  </si>
  <si>
    <t>Rhodes, RH (corresponding author), Victoria Univ Wellington, Antarctic Res Ctr, POB 600, Wellington 6140, New Zealand.</t>
  </si>
  <si>
    <t>Rachael.Rhodes@vuw.ac.nz; Joel.Baker@vuw.ac.nz; Marc-Alban.Millet@vuw.ac.nz; Nancy.Bertler@vuw.ac.nz</t>
  </si>
  <si>
    <t>Baker, Joel A/A-3477-2008; Bertler, Nancy A N/F-3967-2011</t>
  </si>
  <si>
    <t>Bertler, Nancy/0000-0001-6028-4891; Millet, Marc-Alban/0000-0003-2710-5374; Rhodes, Rachael/0000-0001-7511-1969; Baker, Joel/0000-0001-6371-5060</t>
  </si>
  <si>
    <t>Victoria University of Wellington; GNS Science, Foundation for Research, Science, and Technology [VICX0704, CO5X0202]</t>
  </si>
  <si>
    <t>Victoria University of Wellington; GNS Science, Foundation for Research, Science, and Technology</t>
  </si>
  <si>
    <t>This project was funded by Victoria University of Wellington and GNS Science, Foundation for Research, Science, and Technology (grants VICX0704 and CO5X0202).</t>
  </si>
  <si>
    <t>0009-2541</t>
  </si>
  <si>
    <t>CHEM GEOL</t>
  </si>
  <si>
    <t>Chem. Geol.</t>
  </si>
  <si>
    <t>JUL 22</t>
  </si>
  <si>
    <t>10.1016/j.chemgeo.2011.05.006</t>
  </si>
  <si>
    <t>799WQ</t>
  </si>
  <si>
    <t>WOS:000293317300013</t>
  </si>
  <si>
    <t>Kerr, RA</t>
  </si>
  <si>
    <t>Kerr, Richard A.</t>
  </si>
  <si>
    <t>GLACIOLOGY Antarctic Ice's Future Still Mired in Its Murky Past</t>
  </si>
  <si>
    <t>News Item</t>
  </si>
  <si>
    <t>10.1126/science.333.6041.401</t>
  </si>
  <si>
    <t>795FR</t>
  </si>
  <si>
    <t>WOS:000292959600016</t>
  </si>
  <si>
    <t>Cairns, SD</t>
  </si>
  <si>
    <t>Cairns, Stephen D.</t>
  </si>
  <si>
    <t>Global Diversity of the Stylasteridae (Cnidaria: Hydrozoa: Athecatae)</t>
  </si>
  <si>
    <t>GENERIC REVISION; ALEUTIAN ISLANDS; WATER CORALS; COELENTERATA; ASSOCIATIONS</t>
  </si>
  <si>
    <t>The history and rate of discovery of the 247 valid Recent stylasterid species are discussed and graphed, with emphasis on five historical pulses of species descriptions. A table listing all genera, their species numbers, and their bathymetric ranges are presented. The number of species in 19 oceanographic regions is mapped, the southwestern temperate Pacific (region including New Zealand) having the most species; species are cosmopolitan from the Arctic Circle to the Antarctic at depths from 0 to 2789 m. The current phylogenetic classification of the genera is briefly discussed. An illustrated glossary of 53 morphological characters is presented. Biological and ecological information pertaining to reproduction, development, commensals, and distribution is discussed. Aspects of stylasterid mineralogy and taxa of commercial value are discussed, concluding with suggestions for future work.</t>
  </si>
  <si>
    <t>Smithsonian Inst, Natl Museum Nat Hist, Dept Invertebrate Zool, Washington, DC 20560 USA</t>
  </si>
  <si>
    <t>Smithsonian Institution; Smithsonian National Museum of Natural History</t>
  </si>
  <si>
    <t>Cairns, SD (corresponding author), Smithsonian Inst, Natl Museum Nat Hist, Dept Invertebrate Zool, Washington, DC 20560 USA.</t>
  </si>
  <si>
    <t>cairnss@si.edu</t>
  </si>
  <si>
    <t>e21670</t>
  </si>
  <si>
    <t>10.1371/journal.pone.0021670</t>
  </si>
  <si>
    <t>797BJ</t>
  </si>
  <si>
    <t>gold, Green Published, Green Submitted</t>
  </si>
  <si>
    <t>WOS:000293097300004</t>
  </si>
  <si>
    <t>Pasquini, AI; Depetris, PJ</t>
  </si>
  <si>
    <t>Pasquini, Andrea I.; Depetris, Pedro J.</t>
  </si>
  <si>
    <t>Southern Patagonia's Perito Moreno Glacier, Lake Argentino, and Santa Cruz River hydrological system: An overview</t>
  </si>
  <si>
    <t>JOURNAL OF HYDROLOGY</t>
  </si>
  <si>
    <t>Harmonic analysis; Kendall seasonal test; ENSO; AAO; Wavelets; Fourier coherence</t>
  </si>
  <si>
    <t>ICE ELEVATION; CLIMATE; VARIABILITY; TRENDS; TELECONNECTIONS; OSCILLATION; DYNAMICS; SIGNAL; TESTS; AREAL</t>
  </si>
  <si>
    <t>An overview of the hydrological data from Patagonia's Perito Moreno Glacier-Lake Argentino- and Santa Cruz River system reinforces our previous assertion that the El Nino Southern Oscillation (ENSO) and the Antarctic Oscillation (AAO) are teleconnected with the rupture sequence when the glacier's snout harmonically dams (during certain interannual periods) the Rico branch of Lake Argentino. It is clear, however, that the incidence of interannual climatic anomalies is not uniform in time and appears embedded in decadal or quasi bidecadal periods of relative damming inactivity. The use of nonparametric tests shows that there are no significant positive trends in the river's annual discharge with the only exception of the yearly snowmelt/ice melt periods (September-October), when riverine flow appears to increase with statistical significance. The question of the glacier's stability looks like a complex multivariate process, although we do not rule out the occasional role of ENSO/AAO. A longer hydrological data series (i.e., 100 years) would prove useful in casting some light on this intriguing process, surely accounting for the glacier's response time. (C) 2011 Elsevier B.V. All rights reserved.</t>
  </si>
  <si>
    <t>[Pasquini, Andrea I.] Univ Nacl Cordoba, CICTERRA, CONICET, RA-5000 Cordoba, Argentina</t>
  </si>
  <si>
    <t>Consejo Nacional de Investigaciones Cientificas y Tecnicas (CONICET); National University of Cordoba</t>
  </si>
  <si>
    <t>Pasquini, AI (corresponding author), Univ Nacl Cordoba, CICTERRA, CONICET, Ave Velez Sarsfield 1611,X5016GCA, RA-5000 Cordoba, Argentina.</t>
  </si>
  <si>
    <t>apasquini@com.uncor.edu; pdepetris@com.uncor.edu</t>
  </si>
  <si>
    <t>Argentina's national research council (CONICET); Universidad Nacional de Cordoba of Argentina</t>
  </si>
  <si>
    <t>Argentina's national research council (CONICET)(Consejo Nacional de Investigaciones Cientificas y Tecnicas (CONICET)); Universidad Nacional de Cordoba of Argentina</t>
  </si>
  <si>
    <t>The authors wish to acknowledge the financial assistance of Argentina's national research council (CONICET); both are members of CONICET's C.I.C.y T. The Universidad Nacional de Cordoba of Argentina supports facilities used in this research.</t>
  </si>
  <si>
    <t>0022-1694</t>
  </si>
  <si>
    <t>1879-2707</t>
  </si>
  <si>
    <t>J HYDROL</t>
  </si>
  <si>
    <t>J. Hydrol.</t>
  </si>
  <si>
    <t>JUL 21</t>
  </si>
  <si>
    <t>10.1016/j.jhydrol.2011.05.009</t>
  </si>
  <si>
    <t>Engineering, Civil; Geosciences, Multidisciplinary; Water Resources</t>
  </si>
  <si>
    <t>Engineering; Geology; Water Resources</t>
  </si>
  <si>
    <t>801HM</t>
  </si>
  <si>
    <t>WOS:000293429200005</t>
  </si>
  <si>
    <t>McKay, NP; Overpeck, JT; Otto-Bliesner, BL</t>
  </si>
  <si>
    <t>McKay, Nicholas P.; Overpeck, Jonathan T.; Otto-Bliesner, Bette L.</t>
  </si>
  <si>
    <t>The role of ocean thermal expansion in Last Interglacial sea level rise</t>
  </si>
  <si>
    <t>ICE-SHEET; CLIMATE</t>
  </si>
  <si>
    <t>A compilation of paleoceanographic data and a coupled atmosphere-ocean climate model were used to examine global ocean surface temperatures of the Last Interglacial (LIG) period, and to produce the first quantitative estimate of the role that ocean thermal expansion likely played in driving sea level rise above present day during the LIG. Our analysis of the paleoclimatic data suggests a peak LIG global sea surface temperature (SST) warming of 0.7 +/- 0.6 degrees C compared to the late Holocene. Our LIG climate model simulation suggests a slight cooling of global average SST relative to preindustrial conditions (Delta SST = -0.4 degrees C), with a reduction in atmospheric water vapor in the Southern Hemisphere driven by a northward shift of the Intertropical Convergence Zone, and substantially reduced seasonality in the Southern Hemisphere. Taken together, the model and paleoceanographic data imply a minimal contribution of ocean thermal expansion to LIG sea level rise above present day. Uncertainty remains, but it seems unlikely that thermosteric sea level rise exceeded 0.4 +/- 0.3 m during the LIG. This constraint, along with estimates of the sea level contributions from the Greenland Ice Sheet, glaciers and ice caps, implies that 4.1 to 5.8 m of sea level rise during the Last Interglacial period was derived from the Antarctic Ice Sheet. These results reemphasize the concern that both the Antarctic and Greenland Ice Sheets may be more sensitive to temperature than widely thought. Citation: McKay, N. P., J. T. Overpeck, and B. L. Otto-Bliesner (2011), The role of ocean thermal expansion in Last Interglacial sea level rise, Geophys. Res. Lett., 38, L14605, doi:10.1029/2011GL048280.</t>
  </si>
  <si>
    <t>[McKay, Nicholas P.; Overpeck, Jonathan T.] Univ Arizona, Dept Geosci, Tucson, AZ 85721 USA; [Otto-Bliesner, Bette L.] Natl Ctr Atmospher Res, Boulder, CO 80307 USA; [Overpeck, Jonathan T.] Univ Arizona, Inst Environm, Tucson, AZ 85721 USA; [Overpeck, Jonathan T.] Univ Arizona, Dept Atmospher Sci, Tucson, AZ 85721 USA</t>
  </si>
  <si>
    <t>University of Arizona; National Center Atmospheric Research (NCAR) - USA; University of Arizona; University of Arizona</t>
  </si>
  <si>
    <t>McKay, NP (corresponding author), Univ Arizona, Dept Geosci, Tucson, AZ 85721 USA.</t>
  </si>
  <si>
    <t>nmckay@email.arizona.edu</t>
  </si>
  <si>
    <t>Otto-Bliesner, Bette/AAY-7691-2020; McKay, Nicholas Paul/JYQ-5440-2024</t>
  </si>
  <si>
    <t>McKay, Nicholas/0000-0003-3598-5113</t>
  </si>
  <si>
    <t>NSF</t>
  </si>
  <si>
    <t>We thank Suz Tolwinski-Ward, Joellen Russell, John Fasullo, Toby Ault, and Sarah Truebe for insightful discussions on the work presented in this paper. Nan Rosenbloom provided the numbers for the model forcings. NCAR is funded by NSF. We also thank Mark Siddall and Michael Oppenheimer for helpful comments in review of this paper. Computing was done at NCAR as part of the Climate Simulation Laboratory.</t>
  </si>
  <si>
    <t>L14605</t>
  </si>
  <si>
    <t>10.1029/2011GL048280</t>
  </si>
  <si>
    <t>797MI</t>
  </si>
  <si>
    <t>WOS:000293131600005</t>
  </si>
  <si>
    <t>Clark, MP; Hendrikx, J; Slater, AG; Kavetski, D; Anderson, B; Cullen, NJ; Kerr, T; Hreinsson, EÖ; Woods, RA</t>
  </si>
  <si>
    <t>Clark, Martyn P.; Hendrikx, Jordy; Slater, Andrew G.; Kavetski, Dmitri; Anderson, Brian; Cullen, Nicolas J.; Kerr, Tim; Hreinsson, Einar Oern; Woods, Ross A.</t>
  </si>
  <si>
    <t>Representing spatial variability of snow water equivalent in hydrologic and land-surface models: A review</t>
  </si>
  <si>
    <t>WATER RESOURCES RESEARCH</t>
  </si>
  <si>
    <t>COVER DEPLETION; BLOWING-SNOW; ENERGY-BALANCE; BOREAL FOREST; ARCTIC ALASKA; MELT RATE; ACCUMULATION; DEPTH; SCALE; ABLATION</t>
  </si>
  <si>
    <t>This paper evaluates the use of field data on the spatial variability of snow water equivalent (SWE) to guide the design of distributed snow models. An extensive reanalysis of results from previous field studies in different snow environments around the world is presented, followed by an analysis of field data on spatial variability of snow collected in the headwaters of the Jollie River basin, a rugged mountain catchment in the Southern Alps of New Zealand. In addition, area-averaged simulations of SWE based on different types of spatial discretization are evaluated. Spatial variability of SWE is shaped by a range of different processes that occur across a hierarchy of spatial scales. Spatial variability at the watershed-scale is shaped by variability in near-surface meteorological fields (e.g., elevation gradients in temperature) and, provided suitable meteorological data is available, can be explicitly resolved by spatial interpolation/extrapolation. On the other hand, spatial variability of SWE at the hillslope-scale is governed by processes such as drifting, sloughing of snow off steep slopes, trapping of snow by shrubs, and the nonuniform unloading of snow by the forest canopy, which are more difficult to resolve explicitly. Subgrid probability distributions are often capable of representing the aggregate-impact of unresolved processes at the hillslope-scale, though they may not adequately capture the effects of elevation gradients. While the best modeling strategy is case-specific, the analysis in this paper provides guidance on both the suitability of several common snow modeling approaches and on the choice of parameter values in subgrid probability distributions.</t>
  </si>
  <si>
    <t>[Clark, Martyn P.] Natl Ctr Atmospher Res, Boulder, CO 80307 USA; [Hendrikx, Jordy] Montana State Univ, Dept Earth Sci, Bozeman, MT 59717 USA; [Slater, Andrew G.] Univ Colorado, Cooperat Inst Res Environm Sci, Boulder, CO 80309 USA; [Kavetski, Dmitri] Univ Newcastle, Callaghan, NSW 2308, Australia; [Anderson, Brian] Victoria Univ Wellington, Antarctic Res Ctr, Wellington 6140, New Zealand; [Cullen, Nicolas J.] Univ Otago, Dept Geog, Dunedin 9054, New Zealand; [Kerr, Tim; Hreinsson, Einar Oern; Woods, Ross A.] Natl Inst Water &amp; Atmospher Res, Christchurch 8011, New Zealand</t>
  </si>
  <si>
    <t>National Center Atmospheric Research (NCAR) - USA; Montana State University System; Montana State University Bozeman; University of Colorado System; University of Colorado Boulder; University of Newcastle; Victoria University Wellington; University of Otago; National Institute of Water &amp; Atmospheric Research (NIWA) - New Zealand</t>
  </si>
  <si>
    <t>Clark, MP (corresponding author), Natl Ctr Atmospher Res, POB 3000, Boulder, CO 80307 USA.</t>
  </si>
  <si>
    <t>mclark@ucar.edu</t>
  </si>
  <si>
    <t>Woods, Ross A/C-6696-2013; Woods, Ross/O-7401-2019; Slater, Andrew G/B-4666-2008; Clark, Martyn/AAH-9999-2020; Clark, Martyn/A-5560-2015</t>
  </si>
  <si>
    <t>Woods, Ross A/0000-0002-5732-5979; Woods, Ross/0000-0002-5732-5979; Clark, Martyn/0000-0002-2186-2625; Clark, Martyn/0000-0002-2186-2625; Cullen, Nicolas James/0000-0001-8877-1325; Hendrikx, Jordy/0000-0001-6194-3596; Slater, Andrew/0000-0003-0480-8560; Kerr, Tim/0000-0002-5505-3244; SLATER, ANDREW/0000-0002-4009-4844</t>
  </si>
  <si>
    <t>NOAA [NA06OAR4310065]; NASA [NNG06GH10G]</t>
  </si>
  <si>
    <t>NOAA(National Oceanic Atmospheric Admin (NOAA) - USA); NASA(National Aeronautics &amp; Space Administration (NASA))</t>
  </si>
  <si>
    <t>We thank Ethan Guttman, Jessica Lundquist, and (in particular) Matt Sturm for their constructive comments on an earlier version of this manuscript. We are also grateful to the following people for their help with the snow measurements: Gab Abramowitz, Yvonne Baeuerle, Euan Boyd, Craig Cardie, Ngaio Fletcher, Reece Geursen, Sarah Gillet, Penny Goddard, David Hood, Lawrence Kees, Gerrit Kopmann, Rasmus Kulseng, Mette Riger-Kusk, Ben Mason, Michael Orton, Shane Rodwell, Pascal Sirguey, Claire Sims, Ian Smith, Nita Smith, Amber Tate, and Sam Taylor. Portions of this research were supported by NOAA (NA06OAR4310065) and NASA (NNG06GH10G).</t>
  </si>
  <si>
    <t>0043-1397</t>
  </si>
  <si>
    <t>1944-7973</t>
  </si>
  <si>
    <t>WATER RESOUR RES</t>
  </si>
  <si>
    <t>Water Resour. Res.</t>
  </si>
  <si>
    <t>W07539</t>
  </si>
  <si>
    <t>10.1029/2011WR010745</t>
  </si>
  <si>
    <t>Environmental Sciences; Limnology; Water Resources</t>
  </si>
  <si>
    <t>Environmental Sciences &amp; Ecology; Marine &amp; Freshwater Biology; Water Resources</t>
  </si>
  <si>
    <t>796YQ</t>
  </si>
  <si>
    <t>WOS:000293089800002</t>
  </si>
  <si>
    <t>Kanao, M; Fujiwara, A; Miyamachi, H; Toda, S; Ito, K; Tomura, M; Ikawa, T</t>
  </si>
  <si>
    <t>Kanao, M.; Fujiwara, A.; Miyamachi, H.; Toda, S.; Ito, K.; Tomura, M.; Ikawa, T.</t>
  </si>
  <si>
    <t>SEAL Geotransect Grp</t>
  </si>
  <si>
    <t>Reflection imaging of the crust and the lithospheric mantle in the Lutzow-Holm complex, Eastern Dronning Maud Land, Antarctica, derived from the SEAL transects</t>
  </si>
  <si>
    <t>TECTONOPHYSICS</t>
  </si>
  <si>
    <t>Lithospheric structure; Continental evolution; East Antarctic shield; Deep seismic surveys; Gondwana formation</t>
  </si>
  <si>
    <t>SEISMIC-REFLECTION; GONDWANA; CANADA; EVOLUTION; WATER</t>
  </si>
  <si>
    <t>The deep structure and evolution of the crust and upper mantle in the Pan-African terrain of the Lutzow-Holm Complex (LHC), Dronning Maud Land, East Antarctica were investigated using Deep Seismic Surveys (DSS). The DSS were conducted on the continental ice sheet of the LHC in the austral summers of 2000 and 2002 by the Structure and Evolution of the East Antarctic Lithosphere (SEAL) program. Processing of the DSS has produced enhanced reflection images of the crust-mantle boundary and of the internal crustal structure. Laminated layering around the crust-mantle boundary is well imaged using coherency enhancement processing after NMO corrections applied to far offset data. The repetitive crust-mantle transition zone imaged by the SEAL-2002 profile suggests the presence of compression stress in a NE-SW orientation during the Pan-African, which occurred during the last stage of formation of a broad mobile belt between the East and West Gondwana super-terrains. Successive break-up processes of the super-continent in mid-Mesozoic could account for the formation of the stretched reflection structure above the Moho discontinuity beneath the LHC as imaged on in the SEAL-2000 profile. (C) 2010 Elsevier B.V. All rights reserved.</t>
  </si>
  <si>
    <t>[Kanao, M.] Natl Inst Polar Res, Itabashi Ku, Tokyo 1738515, Japan; [Fujiwara, A.; Tomura, M.; Ikawa, T.] GEOSYS Inc, Bunkyo Ku, Tokyo 1120012, Japan; [Miyamachi, H.] Kagoshima Univ, Grad Sch Sci &amp; Engn, Kagoshima 8900065, Japan; [Toda, S.] Aichi Univ Educ, Kariya, Aichi 4488542, Japan; [Ito, K.] Kyoto Univ, Disaster Prevent Res Inst, Kyoto 6110011, Japan</t>
  </si>
  <si>
    <t>Research Organization of Information &amp; Systems (ROIS); National Institute of Polar Research (NIPR) - Japan; Kagoshima University; Aichi University Education; Kyoto University</t>
  </si>
  <si>
    <t>Kanao, M (corresponding author), Natl Inst Polar Res, Itabashi Ku, 1-9-10 Kaga, Tokyo 1738515, Japan.</t>
  </si>
  <si>
    <t>kanao@nipr.ac.jp; fujiwara@geosys.co.jp; miya@sci.kagoshima-u.ac.jp; shigeru@auecc.aichi-edu.ac.jp; ito@recp.dpri.kyoto-u.ac.jp; tomura@geosys.co.jp; ikawa@geosys.co.jp</t>
  </si>
  <si>
    <t>0040-1951</t>
  </si>
  <si>
    <t>1879-3266</t>
  </si>
  <si>
    <t>Tectonophysics</t>
  </si>
  <si>
    <t>JUL 20</t>
  </si>
  <si>
    <t>1-4</t>
  </si>
  <si>
    <t>10.1016/j.tecto.2010.08.005</t>
  </si>
  <si>
    <t>820AG</t>
  </si>
  <si>
    <t>WOS:000294877300008</t>
  </si>
  <si>
    <t>Hauquier, F; Ingels, J; Gutt, J; Raes, M; Vanreusel, A</t>
  </si>
  <si>
    <t>Hauquier, Freija; Ingels, Jeroen; Gutt, Julian; Raes, Maarten; Vanreusel, Ann</t>
  </si>
  <si>
    <t>Characterisation of the Nematode Community of a Low-Activity Cold Seep in the Recently Ice-Shelf Free Larsen B Area, Eastern Antarctic Peninsula</t>
  </si>
  <si>
    <t>FREE-LIVING NEMATODES; MOSBY-MUD-VOLCANO; MEIOFAUNA COMMUNITIES; ORGANIC-MATTER; METAZOAN MEIOFAUNA; WEDDELL SEA; DIVERSITY; MEIOBENTHOS; VENT; BIODIVERSITY</t>
  </si>
  <si>
    <t>Background: Recent climate-induced ice-shelf disintegration in the Larsen A (1995) and B (2002) areas along the Eastern Antarctic Peninsula formed a unique opportunity to assess sub-ice-shelf benthic community structure and led to the discovery of unexplored habitats, including a low-activity methane seep beneath the former Larsen B ice shelf. Since both limited particle sedimentation under previously permanent ice coverage and reduced cold-seep activity are likely to influence benthic meiofauna communities, we characterised the nematode assemblage of this low-activity cold seep and compared it with other, now seasonally ice-free, Larsen A and B stations and other Antarctic shelf areas (Weddell Sea and Drake Passage), as well as cold-seep ecosystems world-wide. Principal Findings: The nematode community at the Larsen B seep site differed significantly from other Antarctic sites in terms of dominant genera, diversity and abundance. Densities in the seep samples were high (&gt;2000 individuals per 10 cm(2)) and showed below-surface maxima at a sediment depth of 2-3 cm in three out of four replicates. All samples were dominated by one species of the family Monhysteridae, which was identified as a Halomonhystera species that comprised between 80 and 86% of the total community. The combination of high densities, deeper density maxima and dominance of one species is shared by many cold-seep ecosystems world-wide and suggested a possible dependence upon a chemosynthetic food source. Yet stable C-13 isotopic signals (ranging between -21.97+/-0.86% and -24.85+/-1.89%) were indicative of a phytoplankton-derived food source. Conclusion: The recent ice-shelf collapse and enhanced food input from surface phytoplankton blooms were responsible for the shift from oligotrophic pre-collapse conditions to a phytodetritus-based community with high densities and low diversity. The parthenogenetic reproduction of the highly dominant Halomonhystera species is rather unusual for marine nematodes and may be responsible for the successful colonisation by this single species.</t>
  </si>
  <si>
    <t>[Hauquier, Freija; Ingels, Jeroen; Raes, Maarten; Vanreusel, Ann] Univ Ghent, Marine Biol Sect, B-9000 Ghent, Belgium; [Gutt, Julian] Alfred Wegener Inst Polar &amp; Marine Res, D-2850 Bremerhaven, Germany</t>
  </si>
  <si>
    <t>Ghent University; Helmholtz Association; Alfred Wegener Institute, Helmholtz Centre for Polar &amp; Marine Research</t>
  </si>
  <si>
    <t>Hauquier, F (corresponding author), Univ Ghent, Marine Biol Sect, B-9000 Ghent, Belgium.</t>
  </si>
  <si>
    <t>freija.hauquier@ugent.be</t>
  </si>
  <si>
    <t>Ingels, Jeroen/A-1691-2008</t>
  </si>
  <si>
    <t>Ingels, Jeroen/0000-0001-8342-2222; Gutt, Julian/0000-0003-3773-9370; Hauquier, Freija/0000-0002-6606-2162</t>
  </si>
  <si>
    <t>Belgian Science Policy (Scientific Research Program on Antarctica); FWO [G034607]</t>
  </si>
  <si>
    <t>Belgian Science Policy (Scientific Research Program on Antarctica)(Belgian Federal Science Policy Office); FWO(FWO)</t>
  </si>
  <si>
    <t>This study was supported by the BIANZO II project, financed by the Belgian Science Policy (Scientific Research Program on Antarctica) and the FWO project Cold Seeps nr.G034607. The funders had no role in study design, data collection and analysis, decision to publish, or preparation of the manuscript.</t>
  </si>
  <si>
    <t>e22240</t>
  </si>
  <si>
    <t>10.1371/journal.pone.0022240</t>
  </si>
  <si>
    <t>794WE</t>
  </si>
  <si>
    <t>WOS:000292931200036</t>
  </si>
  <si>
    <t>Vieregg, AG; Palladino, K; Allison, P; Baughman, BM; Beatty, JJ; Belov, K; Besson, DZ; Bevan, S; Binns, WR; Chen, C; Chen, P; Clem, JM; Connolly, A; Detrixhe, M; De Marco, D; Dowkontt, PF; DuVernois, M; Gorham, PW; Grashorn, EW; Hill, B; Hoover, S; Huang, M; Israel, MH; Javaid, A; Liewer, KM; Matsuno, S; Mercurio, BC; Miki, C; Mottram, M; Nam, J; Nichol, RJ; Romero-Wolf, A; Ruckman, L; Saltzberg, D; Seckel, D; Varner, GS; Wang, Y</t>
  </si>
  <si>
    <t>Vieregg, A. G.; Palladino, K.; Allison, P.; Baughman, B. M.; Beatty, J. J.; Belov, K.; Besson, D. Z.; Bevan, S.; Binns, W. R.; Chen, C.; Chen, P.; Clem, J. M.; Connolly, A.; Detrixhe, M.; De Marco, D.; Dowkontt, P. F.; DuVernois, M.; Gorham, P. W.; Grashorn, E. W.; Hill, B.; Hoover, S.; Huang, M.; Israel, M. H.; Javaid, A.; Liewer, K. M.; Matsuno, S.; Mercurio, B. C.; Miki, C.; Mottram, M.; Nam, J.; Nichol, R. J.; Romero-Wolf, A.; Ruckman, L.; Saltzberg, D.; Seckel, D.; Varner, G. S.; Wang, Y.</t>
  </si>
  <si>
    <t>THE FIRST LIMITS ON THE ULTRA-HIGH ENERGY NEUTRINO FLUENCE FROM GAMMA-RAY BURSTS</t>
  </si>
  <si>
    <t>ASTROPHYSICAL JOURNAL</t>
  </si>
  <si>
    <t>gamma-ray burst: general; neutrinos</t>
  </si>
  <si>
    <t>COSMIC-RAYS; AFTERGLOW; FIREBALLS</t>
  </si>
  <si>
    <t>We set the first limits on the ultra-high energy (UHE) neutrino fluence at energies greater than 10(9) GeV from gamma-ray bursts (GRBs) based on data from the second flight of the Antarctic Impulsive Transient Antenna (ANITA). During the 31 day flight of ANITA-II, 26 GRBs were recorded by Swift or Fermi. Of these, we analyzed the 12 GRBs which occurred during quiet periods when the payload was away from anthropogenic activity. In a blind analysis, we observe 0 events on a total background of 0.0044 events in the combined prompt window for all 12 low-background bursts. We also observe 0 events from the remaining 14 bursts. We place a 90% confidence level limit on the E-4 prompt neutrino fluence between 10(8) GeV &lt; E &lt; 10(12) GeV of E-4 Phi = 2.5 x 10(17) GeV3 cm(-2) from GRB090107A. This is the first reported limit on the UHE neutrino fluence from GRBs above 10(9) GeV, and the strongest limit above 10(8) GeV.</t>
  </si>
  <si>
    <t>[Palladino, K.; Allison, P.; Baughman, B. M.; Beatty, J. J.; Connolly, A.; Grashorn, E. W.; Mercurio, B. C.] Ohio State Univ, Dept Phys, Columbus, OH 43210 USA; [Besson, D. Z.; Detrixhe, M.] Univ Kansas, Dept Phys &amp; Astron, Lawrence, KS 66045 USA; [Bevan, S.; Mottram, M.; Nichol, R. J.] UCL, Dept Phys &amp; Astron, London, England; [Binns, W. R.; Dowkontt, P. F.; Israel, M. H.] Washington Univ, Dept Phys, St Louis, MO 63130 USA; [Chen, C.; Chen, P.; Huang, M.; Nam, J.; Wang, Y.] Natl Taiwan Univ, Dept Phys, Taipei, Taiwan; [Clem, J. M.; De Marco, D.; Javaid, A.; Seckel, D.] Univ Delaware, Dept Phys, Newark, DE 19716 USA; [DuVernois, M.; Gorham, P. W.; Hill, B.; Matsuno, S.; Miki, C.; Romero-Wolf, A.; Ruckman, L.; Varner, G. S.] Univ Hawaii Manoa, Dept Phys &amp; Astron, Honolulu, HI 96822 USA; [Liewer, K. M.] CALTECH, Jet Prop Lab, Pasadena, CA 91109 USA; [Vieregg, A. G.; Belov, K.; Hoover, S.; Saltzberg, D.] Univ Calif Los Angeles, Dept Phys &amp; Astron, Los Angeles, CA 90095 USA</t>
  </si>
  <si>
    <t>University System of Ohio; Ohio State University; University of Kansas; University of London; University College London; Washington University (WUSTL); National Taiwan University; University of Delaware; University of Hawaii System; University of Hawaii Manoa; National Aeronautics &amp; Space Administration (NASA); NASA Jet Propulsion Laboratory (JPL); California Institute of Technology; University of California System; University of California Los Angeles</t>
  </si>
  <si>
    <t>Vieregg, AG (corresponding author), Harvard Smithsonian Ctr Astrophys, 60 Garden St, Cambridge, MA 02138 USA.</t>
  </si>
  <si>
    <t>avieregg@cfa.harvard.edu</t>
  </si>
  <si>
    <t>Belov, Konstantin V/D-2520-2013; Chen, Pisin/IAO-8769-2023; Nichol, Ryan/C-1645-2008; Vieregg, Abigail/D-2287-2012; Beatty, James/D-9310-2011; Connolly, Amy Lynn/J-3958-2013</t>
  </si>
  <si>
    <t>Belov, Konstantin V/0000-0002-8861-110X; Chen, Pisin/0000-0001-5251-7210; Nichol, Ryan/0000-0003-0557-0443; Beatty, James/0000-0003-0481-4952; Allison, Patrick/0000-0001-8141-2653; Palladino, Kimberly/0000-0002-5175-5628; Gorham, Peter/0000-0002-0923-9363; Huang, Minghuey/0000-0002-8325-6233</t>
  </si>
  <si>
    <t>STFC [PP/E006876/1] Funding Source: UKRI; Science and Technology Facilities Council [PP/E006876/1] Funding Source: researchfish</t>
  </si>
  <si>
    <t>STFC(UK Research &amp; Innovation (UKRI)Science &amp; Technology Facilities Council (STFC)); Science and Technology Facilities Council(UK Research &amp; Innovation (UKRI)Science &amp; Technology Facilities Council (STFC))</t>
  </si>
  <si>
    <t>IOP PUBLISHING LTD</t>
  </si>
  <si>
    <t>BRISTOL</t>
  </si>
  <si>
    <t>TEMPLE CIRCUS, TEMPLE WAY, BRISTOL BS1 6BE, ENGLAND</t>
  </si>
  <si>
    <t>0004-637X</t>
  </si>
  <si>
    <t>ASTROPHYS J</t>
  </si>
  <si>
    <t>Astrophys. J.</t>
  </si>
  <si>
    <t>10.1088/0004-637X/736/1/50</t>
  </si>
  <si>
    <t>791EB</t>
  </si>
  <si>
    <t>WOS:000292645600050</t>
  </si>
  <si>
    <t>Guilford, T; Freeman, R; Boyle, D; Dean, B; Kirk, H; Phillips, R; Perrins, C</t>
  </si>
  <si>
    <t>Guilford, Tim; Freeman, Robin; Boyle, Dave; Dean, Ben; Kirk, Holly; Phillips, Richard; Perrins, Chris</t>
  </si>
  <si>
    <t>A Dispersive Migration in the Atlantic Puffin and Its Implications for Migratory Navigation</t>
  </si>
  <si>
    <t>SURVIVAL; ECOLOGY</t>
  </si>
  <si>
    <t>Navigational control of avian migration is understood, largely from the study of terrestrial birds, to depend on either genetically or culturally inherited information. By tracking the individual migrations of Atlantic Puffins, Fratercula arctica, in successive years using geolocators, we describe migratory behaviour in a pelagic seabird that is apparently incompatible with this view. Puffins do not migrate to a single overwintering area, but follow a dispersive pattern of movements changing through the non-breeding period, showing great variability in travel distances and directions. Despite this within-population variability, individuals show remarkable consistency in their own migratory routes among years. This combination of complex population dispersion and individual route fidelity cannot easily be accounted for in terms of genetic inheritance of compass instructions, or cultural inheritance of traditional routes. We suggest that a mechanism of individual exploration and acquired navigational memory may provide the dominant control over Puffin migration, and potentially some other pelagic seabirds, despite the apparently featureless nature of the ocean.</t>
  </si>
  <si>
    <t>[Guilford, Tim; Freeman, Robin; Dean, Ben; Kirk, Holly] Univ Oxford, Dept Zool, Oxford OX1 3PS, England; [Freeman, Robin] Microsoft Res Cambridge, Computat Ecol &amp; Environm Sci, Cambridge, England; [Boyle, Dave; Perrins, Chris] Univ Oxford, Edward Grey Inst Field Ornithol, Oxford, England; [Phillips, Richard] British Antarctic Survey, NERC, Cambridge CB3 0ET, England</t>
  </si>
  <si>
    <t>University of Oxford; Microsoft; University of Oxford; UK Research &amp; Innovation (UKRI); Natural Environment Research Council (NERC); NERC British Antarctic Survey</t>
  </si>
  <si>
    <t>Guilford, T (corresponding author), Univ Oxford, Dept Zool, S Parks Rd, Oxford OX1 3PS, England.</t>
  </si>
  <si>
    <t>tim.guilford@zoo.ox.ac.uk</t>
  </si>
  <si>
    <t>Freeman, Robin/JOZ-4393-2023; Kirk, Holly/HHC-6449-2022</t>
  </si>
  <si>
    <t>Freeman, Robin/0000-0002-0560-8942; Kirk, Holly/0000-0002-8724-3210</t>
  </si>
  <si>
    <t>Microsoft Research Cambridge; Oxford University; Natural Environment Research Council; NERC [bas0100025] Funding Source: UKRI; Natural Environment Research Council [bas0100025] Funding Source: researchfish</t>
  </si>
  <si>
    <t>Microsoft Research Cambridge(Microsoft); Oxford University;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</si>
  <si>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This work was funded with the help of Microsoft Research Cambridge, Oxford University, and a Natural Environment Research Council studentship (Ben Dean). The funders had no role in the study design, data collection and analysis, decision to publish, or preparation of the manuscript.</t>
  </si>
  <si>
    <t>e21336</t>
  </si>
  <si>
    <t>10.1371/journal.pone.0021336</t>
  </si>
  <si>
    <t>Green Published, Green Submitted, gold, Green Accepted</t>
  </si>
  <si>
    <t>WOS:000292931200007</t>
  </si>
  <si>
    <t>Morrison, AK; Hogg, AM; Ward, ML</t>
  </si>
  <si>
    <t>Morrison, Adele K.; Hogg, Andrew M.; Ward, Marshall L.</t>
  </si>
  <si>
    <t>Sensitivity of the Southern Ocean overturning circulation to surface buoyancy forcing</t>
  </si>
  <si>
    <t>ANTARCTIC CIRCUMPOLAR CURRENT; CLIMATE-CHANGE; ATMOSPHERIC CO2; EDDIES</t>
  </si>
  <si>
    <t>The sensitivity of the Southern Ocean overturning to altered surface buoyancy forcing is investigated in a series of eddy-permitting, idealised simulations. The modelled response indicates that heat and freshwater fluxes in the Southern Hemisphere mid-latitudes may play a significant role in setting the strength of the overturning circulation. Enhanced buoyancy fluxes act to increase the meridional overturning up to a limit approaching the wind-driven Ekman transport. The sensitivity of the overturning to surface buoyancy forcing is strongly dependent on the relative locations of the wind stress profile, buoyancy forcing and upwelling region. The numerical simulations provide support for the hypothesis that changes in upwelling during deglaciations may have been driven by changes in heat and freshwater fluxes, instead of, or in addition to, changes in wind stress. Citation: Morrison, A.K., A.M. Hogg, and M.L. Ward (2011), Sensitivity of the Southern Ocean overturning circulation to surface buoyancy forcing, Geophys. Res. Lett., 38, L14602, doi: 10.1029/2011GL048031.</t>
  </si>
  <si>
    <t>[Morrison, Adele K.; Hogg, Andrew M.; Ward, Marshall L.] Australian Natl Univ, Res Sch Earth Sci, Canberra, ACT 0200, Australia</t>
  </si>
  <si>
    <t>Australian National University</t>
  </si>
  <si>
    <t>Morrison, AK (corresponding author), Australian Natl Univ, Res Sch Earth Sci, Bldg 61,Mills Rd, Canberra, ACT 0200, Australia.</t>
  </si>
  <si>
    <t>adele.morrison@anu.edu.au</t>
  </si>
  <si>
    <t>Hogg, Andy McC./A-7553-2011; Hogg, Andy/AAZ-8733-2021; Morrison, Adele/C-1774-2012</t>
  </si>
  <si>
    <t>Hogg, Andy McC./0000-0001-5898-7635; Hogg, Andy/0000-0001-5898-7635; Morrison, Adele/0000-0002-9904-4980</t>
  </si>
  <si>
    <t>ARC [DP0877824]; Australian Research Council [DP0877824] Funding Source: Australian Research Council</t>
  </si>
  <si>
    <t>ARC(Australian Research Council); Australian Research Council(Australian Research Council)</t>
  </si>
  <si>
    <t>This work was supported by an ARC Discovery Project (DP0877824). Numerical computations were conducted using the National Facility of the Australian National Computational Infrastructure. We wish to thank Steve Rintoul for useful comments and Robert Hallberg, GFDL, for allowing access to GOLD.</t>
  </si>
  <si>
    <t>JUL 19</t>
  </si>
  <si>
    <t>L14602</t>
  </si>
  <si>
    <t>10.1029/2011GL048031</t>
  </si>
  <si>
    <t>797MF</t>
  </si>
  <si>
    <t>WOS:000293131300005</t>
  </si>
  <si>
    <t>Flögel, S; Wallmann, K; Kuhnt, W</t>
  </si>
  <si>
    <t>Floegel, S.; Wallmann, K.; Kuhnt, W.</t>
  </si>
  <si>
    <t>Cool episodes in the Cretaceous - Exploring the effects of physical forcings on Antarctic snow accumulation</t>
  </si>
  <si>
    <t>Cretaceous; greenhouse; orbital parameters; Antarctica; continental ice sheets</t>
  </si>
  <si>
    <t>ATMOSPHERIC CARBON-DIOXIDE; ICE-SHEET; SEA-LEVEL; TIME-SCALE; ISOTOPIC EVIDENCE; CLIMATE MODEL; GLACIATION; CO2; RECORD; CIRCULATION</t>
  </si>
  <si>
    <t>The question whether large scale glaciations on Antarctica were possible in a late Mesozoic greenhouse climate such as the Late Cretaceous is an intriguing one. The most recent years have provided an increasing number of studies investigating the growth and decay of paleo-continental ice sheets on Antarctica possibly large enough to affect sea level. Since the outcome of these studies doesn't provide a basis for a conclusive decision we have performed a number of model runs using an Atmospheric General Circulation Model (AGCM) to test whether large volumes of snow might have accumulated even under Late Cretaceous greenhouse conditions. By varying orbital parameters as well as topography, and atmospheric CO2 concentrations our models indicate the possibility of an Antarctic ice shield build-up large enough to drive sea level fluctuations on the order of tens of meters within similar to 20,000 years. This is supported under the assumption of pCO(2) levels &lt;800 ppm, low insolation, and elevated topography. The growth of a major Antarctic ice sheet would be possible on reasonable time scales. To accumulate about half the present day snow/ice volume which is required to explain the documented shifts in oxygen isotopes our model results suggest a time span between 20,000 and 80,000 years for these ice volumes to accumulate. (C) 2011 Elsevier B.V. All rights reserved.</t>
  </si>
  <si>
    <t>[Floegel, S.; Wallmann, K.] IFM GEOMAR Leibniz Inst Marine Sci, D-24148 Kiel, Germany; [Kuhnt, W.] Univ Kiel, Inst Geowissensch, D-24098 Kiel, Germany</t>
  </si>
  <si>
    <t>Helmholtz Association; GEOMAR Helmholtz Center for Ocean Research Kiel; University of Kiel</t>
  </si>
  <si>
    <t>Flögel, S (corresponding author), IFM GEOMAR Leibniz Inst Marine Sci, Wischhofstr 1-3, D-24148 Kiel, Germany.</t>
  </si>
  <si>
    <t>sfloegel@ifm-geomar.de</t>
  </si>
  <si>
    <t>Flögel, Sascha/AAC-7786-2022; Wallmann, Klaus/D-4380-2017</t>
  </si>
  <si>
    <t>Flögel, Sascha/0000-0002-2818-5532; Wallmann, Klaus/0000-0002-1795-376X</t>
  </si>
  <si>
    <t>German Science Foundation [SFB 754, A7]</t>
  </si>
  <si>
    <t>German Science Foundation(German Research Foundation (DFG))</t>
  </si>
  <si>
    <t>This work was supported by the German Science Foundation (SFB 754 sub-project A7). We also thank two anonymous reviewers for their truly constructive critiques. These strongly improved the quality of the manuscript.</t>
  </si>
  <si>
    <t>JUL 15</t>
  </si>
  <si>
    <t>10.1016/j.epsl.2011.04.024</t>
  </si>
  <si>
    <t>799BK</t>
  </si>
  <si>
    <t>WOS:000293258300005</t>
  </si>
  <si>
    <t>Austermann, J; Ben-Avraham, Z; Bird, P; Heidbach, O; Schubert, G; Stock, JM</t>
  </si>
  <si>
    <t>Austermann, Jacqueline; Ben-Avraham, Zvi; Bird, Peter; Heidbach, Oliver; Schubert, Gerald; Stock, Joann M.</t>
  </si>
  <si>
    <t>Quantifying the forces needed for the rapid change of Pacific plate motion at 6 Ma</t>
  </si>
  <si>
    <t>Pacific plate motion; plate driving forces; slab detachment; oceanic plateau collision; northern Melanesian arc</t>
  </si>
  <si>
    <t>ONTONG-JAVA PLATEAU; NORTH-AMERICA PLATE; GULF-OF-CALIFORNIA; SOLOMON-ISLANDS; TECTONIC EVOLUTION; NEW-ZEALAND; CENTRAL MALAITA; SW PACIFIC; INSIGHTS; RECONSTRUCTIONS</t>
  </si>
  <si>
    <t>Studies have documented several rapid changes along the Pacific-North American, Pacific-Antarctic and Pacific-Australian plate boundaries in latest Miocene to earliest Pliocene time consistent with a sudden clockwise rotation of Pacific plate velocity relative to hotspots during this period. We test the hypothesis that this change in plate motion was initiated by cessation of subduction along the northern Melanesian arc due to the collision between the arc and the Ontong Java plateau. This hypothesis has long been formulated but never tested quantitatively. We use a geomechanical model of the lithosphere to determine the changes in plate boundary forces that are necessary to obtain the observed change in the Pacific plate motion. Our model results show that the change in motion can be explained by a clockwise rotation of the slab-related (basal-strength) component of plate driving force. The change of slab-related force from a post-6 Ma to a pre-6 Ma setting is perpendicular to the arc and points towards the Australian plate. The force per unit length is in the range of currently accepted values for subduction zones. Since there have been no other relevant changes at subduction zones along the Pacific plate boundary during the latest Miocene, we relate this change in slab-related force to the former southward-dipping Pacific plate slab along the northern Melanesian arc system which is now detached. Our model results suggest that rapid changes in plate motion can be triggered by slab detachment, with consequences for plate boundary processes even at great distances from the event. (C) 2011 Elsevier B.V. All rights reserved.</t>
  </si>
  <si>
    <t>[Austermann, Jacqueline; Bird, Peter; Schubert, Gerald] Univ Calif Los Angeles, Dept Earth &amp; Space Sci, Los Angeles, CA 90095 USA; [Ben-Avraham, Zvi] Tel Aviv Univ, Dept Geophys &amp; Planetary Sci, Fac Exact Sci, IL-69978 Ramat Aviv, Israel; [Heidbach, Oliver] GFZ German Res Ctr Geosci, D-14473 Potsdam, Germany; [Stock, Joann M.] CALTECH, Div Geol &amp; Planetary Sci, Pasadena, CA 91125 USA</t>
  </si>
  <si>
    <t>University of California System; University of California Los Angeles; Tel Aviv University; Helmholtz Association; Helmholtz-Center Potsdam GFZ German Research Center for Geosciences; California Institute of Technology</t>
  </si>
  <si>
    <t>Austermann, J (corresponding author), Univ Munich, Dept Earth &amp; Environm Sci, Theresienstr 41, D-80333 Munich, Germany.</t>
  </si>
  <si>
    <t>jacqueline.austermann@geophysik.uni-muenchen.de; zviba@post.tau.ac.il; pbird@ess.ucla.edu; heidbach@gfz-potsdam.de; schubert@ucla.edu; jstock@gps.caltech.edu</t>
  </si>
  <si>
    <t>Heidbach, Oliver/AFQ-9333-2022; Stock, Joann Miriam/AAN-1526-2021</t>
  </si>
  <si>
    <t>Stock, Joann Miriam/0000-0003-4816-7865; Austermann, Jacqueline/0000-0003-3754-5082; Heidbach, Oliver/0000-0001-8009-5422</t>
  </si>
  <si>
    <t>Institute of Geophysics and Planetary Physics; Department of Earth and Space Sciences at UCLA; Foundation of German Business</t>
  </si>
  <si>
    <t>We thank Y. Ricard and three anonymous referees for their thoughtful reviews. This work was initiated during Zvi Ben-Avraham's sabbatical at UCLA. We thank the Institute of Geophysics and Planetary Physics and the Department of Earth and Space Sciences at UCLA for their support. We thank G. Iaffaldano for pointing out the link to the Hawaiian-Emperor seamount chain. Funding for Jacqueline Austermann was provided by the Klaus Murmann Fellowship of the Foundation of German Business. California Institute of Technology, Division of Geological and Planetary Sciences, contribution number 10054.</t>
  </si>
  <si>
    <t>10.1016/j.epsl.2011.04.043</t>
  </si>
  <si>
    <t>WOS:000293258300006</t>
  </si>
  <si>
    <t>van Acken, D; Brandon, AD; Humayun, M</t>
  </si>
  <si>
    <t>van Acken, David; Brandon, Alan D.; Humayun, Munir</t>
  </si>
  <si>
    <t>High-precision osmium isotopes in enstatite and Rumuruti chondrites</t>
  </si>
  <si>
    <t>GEOCHIMICA ET COSMOCHIMICA ACTA</t>
  </si>
  <si>
    <t>EARLY SOLAR-SYSTEM; SILICON-CARBIDE GRAINS; PLATINUM-GROUP ELEMENTS; R-PROCESS COMPONENTS; GIANT BRANCH STARS; S-PROCESS; CARBONACEOUS CHONDRITES; PRIMITIVE CHONDRITES; MURCHISON METEORITE; NEUTRON-CAPTURE</t>
  </si>
  <si>
    <t>Isotopic heterogeneity within the solar nebula has been a long-standing issue. Studies on primitive chondrites and chondrite components for Ba, Sm, Nd, Mo, Ru, Hf, Ti, and Os yielded conflicting results, with some studies suggesting large-scale heterogeneity. Low-grade enstatite and Rumuruti chondrites represent the most extreme ends of the chondrite meteorites in terms of oxidation state, and might thus also present extremes if there is significant isotopic heterogeneity across the region of chondrite formation. Osmium is an ideal tracer because of its multiple isotopes generated by a combination of p-, r-, and s-process and, as a refractory element; it records the earliest stages of condensation. Some grade 3-4 enstatite and Rumuruti chondrites show similar deficits of s-process components as revealed by high-precision Os isotope studies in some low-grade carbonaceous and ordinary chondrites. Enstatite chondrites of grades 5-6 have Os isotopic composition identical within error to terrestrial and solar composition. This supports the view of digestion-resistant presolar grains, most likely SiC, as the major carrier of these anomalies. Destruction of presolar grains during parent body processing, which all high-grade enstatite chondrites, but also some low-grade chondrites seemingly underwent, makes the isotopically anomalous Os accessible for analysis. The magnitude of the anomalies is consistent with the presence of a few ppm of presolar SiC with a highly unusual isotopic composition, produced in a different stellar environment like asymptotic giant branch stars (AGB) and injected into the solar nebula. The presence of similar Os isotopic anomalies throughout all major chondrite groups implies that carriers of Os isotopic anomalies were homogeneously distributed in the solar nebula, at least across the formation region of chondrites. (C) 2011 Elsevier Ltd. All rights reserved.</t>
  </si>
  <si>
    <t>[van Acken, David; Brandon, Alan D.] Univ Houston, Dept Earth &amp; Atmospher Sci, Houston, TX 77204 USA; [van Acken, David] NASA, Lyndon B Johnson Space Ctr, MS KR, Houston, TX 77058 USA; [Humayun, Munir] Florida State Univ, Natl High Magnet Field Lab, Tallahassee, FL 32310 USA; [Humayun, Munir] Florida State Univ, Dept Earth Ocean &amp; Atmospher Sci, Tallahassee, FL 32310 USA</t>
  </si>
  <si>
    <t>University of Houston System; University of Houston; National Aeronautics &amp; Space Administration (NASA); NASA Johnson Space Center; State University System of Florida; Florida State University; State University System of Florida; Florida State University</t>
  </si>
  <si>
    <t>van Acken, D (corresponding author), Univ Alberta, Dept Earth &amp; Atmospher Sci, 1-26 Earth Sci Bldg, Edmonton, AB T6G 2E3, Canada.</t>
  </si>
  <si>
    <t>vanacken@ualberta.ca</t>
  </si>
  <si>
    <t>Humayun, Munir/A-1247-2007</t>
  </si>
  <si>
    <t>Humayun, Munir/0000-0001-8516-9435</t>
  </si>
  <si>
    <t>ORAU NASA; NASA [NNX09AG87G, NNX10AI37G]; NASA [NNX10AI37G, 132812, NNX09AG87G, 115901] Funding Source: Federal RePORTER</t>
  </si>
  <si>
    <t>ORAU NASA; NASA(National Aeronautics &amp; Space Administration (NASA)); NASA(National Aeronautics &amp; Space Administration (NASA))</t>
  </si>
  <si>
    <t>Meteorite loans from the Meteorite Working Group at Johnson Space Center, Houston (Antarctic samples), Arizona State University, Tempe (Shallowater), Field Museum of Natural History, Chicago (Abee, Atlanta, Yilmia), American Museum of Natural History, New York (Daniel's Kuil, Khairpur), and National Museum of Natural History; Smithsonian Institution; Washington, DC (Indarch, St. Marks) are appreciated. Review comments by T. Yokoyama, L. Reisberg, and an anonymous reviewer improved the manuscript. S. Huang is thanked for editorial handling. D. v. A. was supported by an ORAU NASA postdoctoral fellowship. This work was supported by NASA Cosmochemistry awards to A. D. B. and M. H. (NNX09AG87G, NNX10AI37G). We thank T. J. Lapen, M. Righter, Y. Gao, and J. I. Simon for technical assistance.</t>
  </si>
  <si>
    <t>0016-7037</t>
  </si>
  <si>
    <t>GEOCHIM COSMOCHIM AC</t>
  </si>
  <si>
    <t>Geochim. Cosmochim. Acta</t>
  </si>
  <si>
    <t>10.1016/j.gca.2011.04.019</t>
  </si>
  <si>
    <t>796YT</t>
  </si>
  <si>
    <t>WOS:000293090100009</t>
  </si>
  <si>
    <t>Schaefer, H; Lourantou, A; Chappellaz, J; Lüthi, D; Bereiter, B; Barnola, JM</t>
  </si>
  <si>
    <t>Schaefer, Hinrich; Lourantou, Anna; Chappellaz, Jerome; Luethi, Dieter; Bereiter, Bernhard; Barnola, Jean-Marc</t>
  </si>
  <si>
    <t>On the suitability of partially clathrated ice for analysis of concentration and δ13C of palaeo-atmospheric CO2</t>
  </si>
  <si>
    <t>carbon dioxide; stable carbon isotope ratio; ice core; bubble clathrate transformation; EPICA Dome C; Berkner Island</t>
  </si>
  <si>
    <t>MIXED CARBON-DIOXIDE; POLAR ICE; MOLECULAR-DIFFUSION; KYR BP; AIR; CORE; RECORD; CONSTRAINTS; HYDRATE; METHANE</t>
  </si>
  <si>
    <t>The stable carbon isotopic signature of carbon dioxide (delta(CO2)-C-13) measured in the air occlusions of polar ice provides important constraints on the carbon cycle in past climates. In order to exploit this information for previous glacial periods, one must use deep, clathrated ice, where the occluded air is preserved not in bubbles but in the form of air hydrates. Therefore, it must be established whether the original atmospheric delta(CO2)-C-13 signature can be reconstructed from clathrated ice. We present a comparative study using coeval bubbly ice from Berkner Island and ice from the bubble-clathrate transformation zone (BCTZ) of EPICA Dome C (EDC). In the EDC samples the gas is partitioned into clathrates and remaining bubbles as shown by erroneously low and scattered CO2 concentration values, presenting a worst-case test for delta(CO2)-C-13 reconstructions. Even so, the reconstructed atmospheric delta(CO2)-C-13 values show only slightly larger scatter. The difference to data from coeval bubbly ice is statistically significant. However, the 0.16 parts per thousand magnitude of the offset is small for practical purposes, especially in light of uncertainty from non-uniform corrections for diffusion related fractionation that could contribute to the discrepancy. Our results are promising for palaeo-atmospheric studies of delta(CO2)-C-13 using a ball mill dry extraction technique below the BCTZ of ice cores, where gas is not subject to fractionation into microfractures and between clathrate and bubble reservoirs. (C) 2011 Elsevier B.V. All rights reserved.</t>
  </si>
  <si>
    <t>[Schaefer, Hinrich; Lourantou, Anna; Chappellaz, Jerome; Barnola, Jean-Marc] Ctr Natl Rech Sci, Lab Glaciol &amp; Geophys Environm, St Martin Dheres, France; [Schaefer, Hinrich; Lourantou, Anna; Chappellaz, Jerome; Barnola, Jean-Marc] Univ Grenoble 1, F-38402 St Martin Dheres, France; [Luethi, Dieter; Bereiter, Bernhard] Univ Bern, Inst Phys, CH-3012 Bern, Switzerland; [Luethi, Dieter; Bereiter, Bernhard] Univ Bern, Oeschger Ctr Climate Change Res, CH-3012 Bern, Switzerland</t>
  </si>
  <si>
    <t>Centre National de la Recherche Scientifique (CNRS); Communaute Universite Grenoble Alpes; Universite Grenoble Alpes (UGA); University of Bern; University of Bern</t>
  </si>
  <si>
    <t>Schaefer, H (corresponding author), Natl Inst Water &amp; Atmospher Res Ltd, 301 Evans Bay Parade, Wellington 6021, New Zealand.</t>
  </si>
  <si>
    <t>h.schaefer@niwa.co.nz</t>
  </si>
  <si>
    <t>Chappellaz, Jérôme A./A-4872-2011</t>
  </si>
  <si>
    <t>Schaefer, Hinrich/0000-0002-1163-2818</t>
  </si>
  <si>
    <t>European Union; British Antarctic Survey; Natural Environment Research Council of the UK; IPEV of France; QUEST-INSU project DESIRE; European Research Training and Mobility Network GREENCYCLES; French ANR Dome A [ANR-07-BLAN-0125]; European Commission [243908]; New Zealand Foundation for Research, Science and Technology [C01X0703]; Agence Nationale de la Recherche (ANR) [ANR-07-BLAN-0125] Funding Source: Agence Nationale de la Recherche (ANR); Natural Environment Research Council [NE/E007600/1] Funding Source: researchfish; NERC [NE/E007600/1] Funding Source: UKRI</t>
  </si>
  <si>
    <t>European Union(European Union (EU)); British Antarctic Survey; Natural Environment Research Council of the UK(UK Research &amp; Innovation (UKRI)Natural Environment Research Council (NERC)); IPEV of France; QUEST-INSU project DESIRE; European Research Training and Mobility Network GREENCYCLES; French ANR Dome A(Agence Nationale de la Recherche (ANR)); European Commission(European Union (EU)European Commission Joint Research Centre); New Zealand Foundation for Research, Science and Technology(New Zealand Foundation for Research, Science and Technology); Agence Nationale de la Recherche (ANR)(Agence Nationale de la Recherche (ANR)); Natural Environment Research Council(UK Research &amp; Innovation (UKRI)Natural Environment Research Council (NERC)); NERC(UK Research &amp; Innovation (UKRI)Natural Environment Research Council (NERC))</t>
  </si>
  <si>
    <t>This project could not have been conducted without the development work of J. Lavric, who set up the IRMS system at LGGE. We thank M. Le Floch for conducting the GC measurements at LGGE. We are grateful to M. Francis and G. Dreyfus for sharing nitrogen isotope information. We thank S. Mikaloff-Fletcher and J. Deslippe for their support with the statistical analysis. This work is a contribution to the European Project for Ice Coring in Antarctica (EPICA), a joint ESF (European Science Foundation)/European Comission scientific programme, funded by the European Union and by national contributions from Belgium, Denmark, France, Germany, Italy, the Netherlands, Norway, Sweden, Switzerland and the United Kingdom. The main logistic support was provided by the Institut Polaire Francais - Paul Emile Victor (IPEV) and PNRA (at Dome C). This is EPICA publication no 277. The Berkner Island project was financed by the British Antarctic Survey and Natural Environment Research Council of the UK, and IPEV of France. Additional funding was provided by the QUEST-INSU project DESIRE, the European Research Training and Mobility Network GREENCYCLES (A.L.) and the French ANR Dome A (ANR-07-BLAN-0125). This work was also supported by the Past4Future project from the European Commission's 7th Framework Programme under grant agreement no 243908 (J.C.), and is Past4Future contribution number 7. Additional support comes from New Zealand Foundation for Research, Science and Technology contract C01X0703 (H.S.). Long-term support for the mass spectrometry work at LGGE was provided by the Fondation de France and the Balzan Prize.</t>
  </si>
  <si>
    <t>10.1016/j.epsl.2011.05.007</t>
  </si>
  <si>
    <t>WOS:000293258300010</t>
  </si>
  <si>
    <t>Soyol-Erdene, TO; Huh, Y; Hong, S; Do Hur, S</t>
  </si>
  <si>
    <t>Soyol-Erdene, Tseren-Ochir; Huh, Youngsook; Hong, Sungmin; Do Hur, Soon</t>
  </si>
  <si>
    <t>A 50-Year Record of Platinum, Iridium, and Rhodium in Antarctic Snow: Volcanic and Anthropogenic Sources</t>
  </si>
  <si>
    <t>GROUP ELEMENTS; ROADSIDE SOILS; ICE; RH; FRACTIONATION; DEPOSITION; GREENLAND; ACCRETION; PALLADIUM; EMISSIONS</t>
  </si>
  <si>
    <t>Antarctic snow preserves an atmospheric archive that enables the study of global atmospheric changes and anthropogenic disturbances from the past. We report atmospheric deposition rates of platinum group elements (PGEs) in Antarctica during the last similar to 50 years based on determinations of Pt, Ir, and Rh in snow samples collected from Queen Maud Land, East Antarctica to evaluate changes in the global atmospheric budget of these noble metals. The 50-year average PGE concentrations in Antarctic snow were 17 fg g(-1) (4.7-76 fg g(-1)) for Pt, 0.12 fg g(-1) (&lt;0.05-0.34 fg g(-1)) for Ir, and 0.71 fg g(-1) (0.12-8.8 fg g(-1)) for Rh. The concentration peaks for Pt, Ir, and Rh were observed at depths corresponding to volcanic eruption periods, indicating that PGEs can be used as a good tracer of volcanic activity in the past. A significant increase in concentrations and crustal enrichment factors for Pt and a slight enhancement in enrichment factors for Rh were observed after the 1980s. This suggests that there has been large-scale atmospheric pollution for Pt and probably for Rh since the 1980s, which may be attributed to the increasing emissions of these metals from anthropogenic sources such as automobile catalysts and metal production processes.</t>
  </si>
  <si>
    <t>[Soyol-Erdene, Tseren-Ochir; Huh, Youngsook] Seoul Natl Univ, Sch Earth &amp; Environm Sci, Seoul 151747, South Korea; [Huh, Youngsook] Seoul Natl Univ, Res Inst Oceanog, Seoul 151747, South Korea; [Hong, Sungmin] Inha Univ, Dept Ocean Sci, Inchon 402751, South Korea; [Soyol-Erdene, Tseren-Ochir; Do Hur, Soon] Korea Polar Res Inst, Inchon 406840, South Korea</t>
  </si>
  <si>
    <t>Seoul National University (SNU); Seoul National University (SNU); Inha University; Korea Polar Research Institute (KOPRI); Korea Institute of Ocean Science &amp; Technology (KIOST)</t>
  </si>
  <si>
    <t>Huh, Y (corresponding author), Seoul Natl Univ, Sch Earth &amp; Environm Sci, 599 Gwanak Ro, Seoul 151747, South Korea.</t>
  </si>
  <si>
    <t>yhuh@snu.ac.kr</t>
  </si>
  <si>
    <t>Huh, Youngsook/C-3379-2014; Tseren-Ochir, Soyol-Erdene/P-9364-2015</t>
  </si>
  <si>
    <t>Tseren-Ochir, Soyol-Erdene/0000-0002-6356-1361</t>
  </si>
  <si>
    <t>Korea government (MEST) [2010-0027586]; KOPRI [PE11090]; Inha University [INHA-40890-01]; Brain Korea 21 Graduate Student Fellowship</t>
  </si>
  <si>
    <t>Korea government (MEST)(Ministry of Education, Science &amp; Technology (MEST), Republic of KoreaKorean Government); KOPRI(Korea Polar Research Institute of Marine Research Placement (KOPRI)); Inha University; Brain Korea 21 Graduate Student Fellowship(Ministry of Education &amp; Human Resources Development (MOEHRD), Republic of Korea)</t>
  </si>
  <si>
    <t>This work was performed as part of the ITASE project; we thank all field personnel for sampling during the Japanese-Swedish IPY Antarctic expedition. Financial support was provided by the National Research Foundation of Korea (NRF) grant funded by the Korea government (MEST) (NO. 2010-0027586), a KOPRI research grant (PE11090) and an Inha University research grant (INHA-40890-01). A Brain Korea 21 Graduate Student Fellowship supported T.-O. Soyol-Erdene.</t>
  </si>
  <si>
    <t>1520-5851</t>
  </si>
  <si>
    <t>10.1021/es2005732</t>
  </si>
  <si>
    <t>793UU</t>
  </si>
  <si>
    <t>WOS:000292850200004</t>
  </si>
  <si>
    <t>Simanonok, MP; Anderson, CB; Pastur, GM; Lencinas, MV; Kennedy, JH</t>
  </si>
  <si>
    <t>Simanonok, Michael P.; Anderson, Christopher B.; Martinez Pastur, Guillermo; Vanessa Lencinas, Maria; Kennedy, James H.</t>
  </si>
  <si>
    <t>A comparison of impacts from silviculture practices and North American beaver invasion on stream benthic macroinvertebrate community structure and function in Nothofagus forests of Tierra del Fuego</t>
  </si>
  <si>
    <t>FOREST ECOLOGY AND MANAGEMENT</t>
  </si>
  <si>
    <t>Benthos; Castor canadensis; Ecosystem engineer; Variable retention; Shelterwood cuts; Tierra del Fuego</t>
  </si>
  <si>
    <t>PUMILIO FORESTS; CASTOR-CANADENSIS; ARGENTINA; CONSERVATION; PATAGONIA; ASSEMBLAGES; CHILE</t>
  </si>
  <si>
    <t>The sub-Antarctic biome of South America is the world's southernmost forested ecosystem and one of the last remaining wilderness areas on the planet. Nonetheless, the region confronts various anthropogenic environmental impacts, such as the invasive North American beaver (Castor canadensis) and timber harvesting, particularly in stands of Nothofagus pumilio. Both of these disturbances can affect terrestrial and aquatic systems. To understand the influence and relative importance of these disturbances on sub-Antarctic watersheds, we characterized in-stream and riparian habitat conditions (pH, dissolved oxygen, conductivity, temperature, stream size, distance to riparian forest, bank slope, substrate heterogeneity, benthic organic matter) and benthic macroinvertebrate community structure (density, richness, diversity, evenness) and function (biomass, functional feeding group percent) in 19 streams on Tierra del Fuego Island. To explain the effects of beaver invasion and timber harvesting, we compared these physical and biotic variables among four habitat types: (a) beaver meadows, (b) shelterwood cut harvested areas without forested riparian zones, (c) variable retention harvested areas with riparian buffers, and (d) unmanaged old-growth primary forests. Most habitat variables were similar at all sites, except for dissolved oxygen (significantly higher in streams from old-growth primary forests). Benthic communities in beaver meadows had significantly lower diversity, compared to streams of unmanaged old-growth primary forests, and managed sites presented intermediate values between the two. Functionally, the benthic community in beaver meadows displayed a reduction of all functional feeding groups except collector-gatherers; again variable retention harvested areas with riparian buffers were similar to unmanaged old-growth primary forest streams, while shelterwood cut harvested areas occupied an intermediate position. These results indicated that current forestry practices that include both variable retention and legally mandated riparian forested buffers may be effective in mitigating impacts on stream benthic communities. Finally, these data demonstrated that C. canadensis invasion was a relatively larger impact on these streams than well-managed forestry practices. (C) 2011 Elsevier B.V. All rights reserved.</t>
  </si>
  <si>
    <t>[Simanonok, Michael P.] Univ N Texas, Dept Biol Sci, Sub Antarctic Biocultural Conservat Program, Denton, TX 76203 USA; [Simanonok, Michael P.; Anderson, Christopher B.; Kennedy, James H.] Univ Magallanes, Sub Antarctic Biocultural Conservat Program, Punta Arenas, Chile; [Anderson, Christopher B.] Univ Magallanes, Puerto Williams, Chile; [Anderson, Christopher B.] Inst Ecol &amp; Biodivers, Puerto Williams, Chile; [Martinez Pastur, Guillermo; Vanessa Lencinas, Maria] Consejo Nacl Invest Cient &amp; Tecn, Ctr Austral Invest Cient, Ushuaia, Tierra Fuego, Argentina</t>
  </si>
  <si>
    <t>University of North Texas System; University of North Texas Denton; Universidad de Magallanes; Universidad de Magallanes; Consejo Nacional de Investigaciones Cientificas y Tecnicas (CONICET)</t>
  </si>
  <si>
    <t>Simanonok, MP (corresponding author), Univ N Texas, Dept Biol Sci, Sub Antarctic Biocultural Conservat Program, Denton, TX 76203 USA.</t>
  </si>
  <si>
    <t>michaelsimanonok@my.unt.edu</t>
  </si>
  <si>
    <t>Martínez Pastur, Guillermo J./H-8188-2014; Anderson, Christopher/V-4882-2019; Lencinas, Maria Vanessa/K-6208-2019</t>
  </si>
  <si>
    <t>Martínez Pastur, Guillermo J./0000-0003-2614-5403; Anderson, Christopher/0000-0001-8120-5689; Lencinas, Maria Vanessa/0000-0002-2123-3976; Martinez Pastur, Guillermo/0000-0002-7369-0423</t>
  </si>
  <si>
    <t>NSF [OISE 0854350]; University of North Texas &amp; Universidad de Magallanes; Ecological Society of America; Institute of Ecology and Biodiversity [P05-02, PFB-23]</t>
  </si>
  <si>
    <t>NSF(National Science Foundation (NSF)); University of North Texas &amp; Universidad de Magallanes; Ecological Society of America; Institute of Ecology and Biodiversity</t>
  </si>
  <si>
    <t>Thanks to lab and identification assistance from Charlie Braman (University of Georgia), as well as identification advice from Tamara Contador (University of North Texas), and Patricio De los Rios [Hyalella] (Universidad Catolica de Temuco). This research was supported by an NSF International Research Experience for Students Grant (OISE 0854350) to integrate ecological sciences and environmental ethics for biocultural conservation, awarded to the Sub-Antarctic Biocultural Conservation Program, University of North Texas &amp; Universidad de Magallanes, in association with the Ecological Society of America SEEDS Program and the Institute of Ecology and Biodiversity (P05-02, PFB-23) (www.chile.unt.edu).</t>
  </si>
  <si>
    <t>0378-1127</t>
  </si>
  <si>
    <t>FOREST ECOL MANAG</t>
  </si>
  <si>
    <t>For. Ecol. Manage.</t>
  </si>
  <si>
    <t>10.1016/j.foreco.2011.03.031</t>
  </si>
  <si>
    <t>Forestry</t>
  </si>
  <si>
    <t>785NE</t>
  </si>
  <si>
    <t>WOS:000292234900026</t>
  </si>
  <si>
    <t>Cossa, D; Heimbürger, LE; Lannuzel, D; Rintoul, SR; Butler, ECV; Bowie, AR; Averty, B; Watson, RJ; Remenyi, T</t>
  </si>
  <si>
    <t>Cossa, Daniel; Heimbuerger, Lars-Eric; Lannuzel, Delphine; Rintoul, Stephen R.; Butler, Edward C. V.; Bowie, Andrew R.; Averty, Bernard; Watson, Roslyn J.; Remenyi, Tomas</t>
  </si>
  <si>
    <t>Mercury in the Southern Ocean</t>
  </si>
  <si>
    <t>GASEOUS MERCURY; SEA-ICE; SPRINGTIME DEPLETION; SURFACE WATERS; ATLANTIC-OCEAN; POLAR; IRON; SPECIATION; PROFILES; DISTRIBUTIONS</t>
  </si>
  <si>
    <t>We present here the first mercury speciation study in the water column of the Southern Ocean, using a high-resolution south-to-north section (27 stations from 65.50 degrees S to 44.00 degrees S) with up to 15 depths (0-4440 m) between Antarctica and Tasmania (Australia) along the 140 degrees E meridian. In addition, in order to explore the role of sea ice in Hg cycling, a study of mercury speciation in the snow-sea ice-seawater continuum was conducted at a coastal site, near the Australian Casey station (66.40 degrees S; 101.14 degrees E). In the open ocean waters, total Hg (Hg-T) concentrations varied from 0.63 to 2.76 pmol L-1 with transient-type vertical profiles and a latitudinal distribution suggesting an atmospheric mercury source south of the Southern Polar Front (SPF) and a surface removal north of the Subantartic Front (SAF). Slightly higher mean Hg-T concentrations (1.35 +/- 0.39 pmol L-1) were measured in Antarctic Bottom Water (AABW) compared to Antarctic Intermediate water (AAIW) (1.15 +/- 0.22 pmol L-1). Labile Hg (Hg-R) concentrations varied from 0.01 to 2.28 pmol L-1, with a distribution showing that the Hg-T enrichment south of the SPF consisted mainly of Hg-R (67 +/- 23%), whereas, in contrast, the percentage was half that in surface waters north of PFZ (33 +/- 23%). Methylated mercury species (MeHgT) concentrations ranged from 0.02 to 0.86 pmol L-1. All vertical MeHgT profiles exhibited roughly the same pattern, with low concentrations observed in the surface layer and increasing concentrations with depth up to an intermediate depth maximum. As for Hg-T, low mean MeHgT concentrations were associated with AAIW, and higher ones with AABW. The maximum of MeHgT concentration at each station was systematically observed within the oxygen minimum zone, with a statistically significant MeHgT vs Apparent Oxygen Utilization (AOU) relationship (p &lt; 0.001). The proportion of Hg-T as methylated species was lower than 5% in the surface waters, around 50% in deep waters below 1000 m, reaching a maximum of 78% south of the SPF. At Casey coastal station Hg-T and Hg-R concentrations found in the snow-sea ice-seawater continuum were one order of magnitude higher than those measured in open ocean waters. The distribution of Hg-T there suggests an atmospheric Hg deposition with snow and a fractionation process during sea ice formation, which excludes Hg from the ice with a parallel Hg enrichment of brine, probably concurring with the Hg enrichment of AABW observed in the open ocean waters. Contrastingly, MeHgT concentrations in the sea ice environment were in the same range as in the open ocean waters, remaining below 0.45 pmol L-1. The MeHgT vertical profile through the continuum suggests different sources, including atmosphere, seawater and methylation in basal ice. Whereas Hg-T concentrations in the water samples collected between the Antarctic continent and Tasmania are comparable to recent measurements made in the other parts of the World Ocean (e. g., Soerensen et al., 2010), the Hg species distribution suggests distinct features in the Southern Ocean Hg cycle: (i) a net atmospheric Hg deposition on surface water near the ice edge, (ii) the Hg enrichment in brine during sea ice formation, and (iii) a net methylation of Hg south of the SPF. (C) 2011 Elsevier Ltd. All rights resrved.</t>
  </si>
  <si>
    <t>[Cossa, Daniel; Heimbuerger, Lars-Eric] IFREMER, Ctr Mediterranean Sea, F-83507 La Seyne Sur Mer, France; [Lannuzel, Delphine; Rintoul, Stephen R.; Butler, Edward C. V.; Bowie, Andrew R.; Remenyi, Tomas] Antarctic Climate &amp; Ecosyst Cooperat Res Ctr, Hobart, Tas 7001, Australia; [Lannuzel, Delphine] Inst Marine &amp; Antarctic Studies, Hobart, Tas 7001, Australia; [Rintoul, Stephen R.; Butler, Edward C. V.; Watson, Roslyn J.] Ctr Australian Weather &amp; Climate Res, Hobart, Tas 7000, Australia; [Rintoul, Stephen R.; Butler, Edward C. V.] CSIRO Marine &amp; Atmospher Res, Wealth Oceans Natl Res Flagship, Hobart, Tas 7001, Australia; [Averty, Bernard] IFREMER, Nantes Ctr, F-44311 Nantes 03, France</t>
  </si>
  <si>
    <t>Ifremer; Antarctic Climate &amp; Ecosystems Cooperative Research Centre (ACE CRC); University of Tasmania; Commonwealth Scientific &amp; Industrial Research Organisation (CSIRO); Commonwealth Scientific &amp; Industrial Research Organisation (CSIRO); Ifremer</t>
  </si>
  <si>
    <t>Cossa, D (corresponding author), IFREMER, Ctr Mediterranean Sea, BP 330, F-83507 La Seyne Sur Mer, France.</t>
  </si>
  <si>
    <t>dcossa@ifremer.fr</t>
  </si>
  <si>
    <t>Heimbürger-Boavida, Lars-Eric/AAF-6856-2021; Rintoul, Stephen R/A-1471-2012; Watson, Roslyn J./JVN-9055-2024; Heimbürger, Lars-Eric/A-4658-2012; lannuzel, delphine/J-7937-2014; Bowie, Andrew/C-8677-2013</t>
  </si>
  <si>
    <t>Heimbürger-Boavida, Lars-Eric/0000-0003-0632-5183; Rintoul, Stephen R/0000-0002-7055-9876; Butler, Edward/0000-0002-6660-3985; Remenyi, Tomas/0000-0002-4145-9323; lannuzel, delphine/0000-0001-6154-1837; Bowie, Andrew/0000-0002-5144-7799</t>
  </si>
  <si>
    <t>Australian Antarctic Science projects [2793, 2900]; Australian Antarctic Division, the Australian Government (ACE CRC); IFREMER International Division</t>
  </si>
  <si>
    <t>Australian Antarctic Science projects; Australian Antarctic Division, the Australian Government (ACE CRC)(Australian GovernmentDepartment of Industry, Innovation and ScienceCooperative Research Centres (CRC) Programme); IFREMER International Division</t>
  </si>
  <si>
    <t>Thanks are due to Mark Rosenberg and Alicia Navidad, Mark Rayner, Carrie Bloomfield and Laura Herraiz Borreguero for hydrochemistry analyses and data quality control. This research has been supported by the Australian Antarctic Science projects 2793 and 2900, the Australian Antarctic Division, the Australian Government (ACE CRC) and IFREMER International Division. This work contributes to the Australian Climate Change Science Program and the International Polar Year (CASO and GEOTRACES). We thank the captain and crew of R/SV Aurora Australis. Thanks are also due to NIWA for use of the non-contaminating rosette and Niskin bottles.</t>
  </si>
  <si>
    <t>1872-9533</t>
  </si>
  <si>
    <t>10.1016/j.gca.2011.05.001</t>
  </si>
  <si>
    <t>WOS:000293090100010</t>
  </si>
  <si>
    <t>Obermüller, BE; Morley, SA; Clark, MS; Barnes, DKA; Peck, LS</t>
  </si>
  <si>
    <t>Obermueller, Birgit E.; Morley, Simon A.; Clark, Melody S.; Barnes, David K. A.; Peck, Lloyd S.</t>
  </si>
  <si>
    <t>Antarctic intertidal limpet ecophysiology: A winter-summer comparison</t>
  </si>
  <si>
    <t>Antarctic intertidal; Feeding; Metabolic activity; Nacella concinna; Seasonal comparison; Thermal limits</t>
  </si>
  <si>
    <t>NACELLA-CONCINNA STREBEL; HEAT-SHOCK RESPONSE; SEASONAL PHYSIOLOGY; MYTILUS-TROSSULUS; MUCUS PRODUCTION; AERIAL EXPOSURE; THERMAL HISTORY; TEMPERATURE; MARINE; ICE</t>
  </si>
  <si>
    <t>The Antarctic intertidal zone is one of the world's most extreme marine environments. As well as having a typically high annual temperature variation (similar to 30 degrees C), it is affected by frequent ice scouring in summer and ice encasement in winter, as well as substantial salinity fluctuations during tidal cycles. For many years the Antarctic intertidal was believed to host only migratory species during summer, however, recent studies have found several permanently resident macrofaunal species, including the limpet Nacella concinna. Here we present results of the first seasonal comparison of different ecophysiological parameters in this species collected from the intertidal in both winter (August and September) and summer (January and February) on Adelaide Island (West Antarctic Peninsula). There was clear evidence of seasonal acclimatisation with a shift in thermal window between winter and summer limpets. The seasonal change in metabolic rate did not show increased costs in winter (cf metabolic cold adaptation) and the seasonal increase in oxygen consumption was within the range expected due to the physical effects of temperature alone. O:N ratios indicated that the animals were using the same metabolic substrate (mainly protein) all year round. There was no significant difference in condition factor between winter and early summer individuals. However comparisons with subtidal N. concinna showed that those from the intertidal had a lower condition factor than those permanently immersed. Whilst remaining in the ice-encased intertidal during winter may give access to ice-algae and microphytobenthos in the shallows and provide a feeding advantage early in the season, there are clearly extra costs to living in the intertidal per se. Hence N. concinna may not derive any obvious fitness advantage but may simply be occupying an available niche and surviving the physical challenges in the shallows. (C) 2011 Elsevier B.V. All rights reserved.</t>
  </si>
  <si>
    <t>[Obermueller, Birgit E.; Morley, Simon A.; Clark, Melody S.; Barnes, David K. A.; Peck, Lloyd S.] British Antarctic Survey, Nat Environm Res Council, Cambridge CB3 0ET, England</t>
  </si>
  <si>
    <t>Morley, SA (corresponding author), British Antarctic Survey, Nat Environm Res Council, Madingley Rd, Cambridge CB3 0ET, England.</t>
  </si>
  <si>
    <t>smor@bas.ac.uk</t>
  </si>
  <si>
    <t>Clark, Melody/D-7371-2014</t>
  </si>
  <si>
    <t>Clark, Melody/0000-0002-3442-3824</t>
  </si>
  <si>
    <t>NERC [bas0100025, dml011000] Funding Source: UKRI; Natural Environment Research Council [dml011000, bas0100025] Funding Source: researchfish</t>
  </si>
  <si>
    <t>10.1016/j.jembe.2011.04.003</t>
  </si>
  <si>
    <t>779IF</t>
  </si>
  <si>
    <t>WOS:000291770600006</t>
  </si>
  <si>
    <t>de Laat, ATJ; van Weele, M</t>
  </si>
  <si>
    <t>de Laat, A. T. J.; van Weele, M.</t>
  </si>
  <si>
    <t>The 2010 Antarctic ozone hole: Observed reduction in ozone destruction by minor sudden stratospheric warmings</t>
  </si>
  <si>
    <t>SCIENTIFIC REPORTS</t>
  </si>
  <si>
    <t>DEPLETION; AURA; MLS</t>
  </si>
  <si>
    <t>Satellite observations show that the 2010 Antarctic ozone hole is characterized by anomalously small amounts of photochemical ozone destruction (40-60% less than the 2005-2009 average). Observations from the MLS instrument show that this is mainly related to reduced photochemical ozone destruction between 20-25 km altitude. Lower down between 15-20 km the atmospheric chemical composition and photochemical ozone destruction is unaffected. The modified chemical composition and chemistry between 20-25 km altitude in 2010 is related to the occurrence of a mid-winter minor Antarctic Sudden Stratospheric Warming (SSW). The measurements indicate that the changes in chemical composition are related to downward motion of air masses rather than horizontal mixing, and affect stratospheric chemistry for several months. Since 1979, years with similar anomalously small amounts of ozone destruction are all characterized by either minor or major SSWs, illustrating that their presence has been a necessary pre-condition for reduced Antarctic stratospheric ozone destruction.</t>
  </si>
  <si>
    <t>[de Laat, A. T. J.; van Weele, M.] Royal Netherlands Meteorol Inst, NL-3730 AE De Bilt, Netherlands</t>
  </si>
  <si>
    <t>Royal Netherlands Meteorological Institute</t>
  </si>
  <si>
    <t>de Laat, ATJ (corresponding author), Royal Netherlands Meteorol Inst, POB 201, NL-3730 AE De Bilt, Netherlands.</t>
  </si>
  <si>
    <t>laatdej@knmi.nl</t>
  </si>
  <si>
    <t>de Laat, Jos/0000-0003-1078-5334</t>
  </si>
  <si>
    <t>Netherlands Space Office</t>
  </si>
  <si>
    <t>The authors thank Marc Allaart (KNMI) for his contributions to the calculation of PSC formation temperatures, Holger Vomel at CIRES, University of Colorado (USA) for providing a webpage with a list of available water vapor saturation pressure formula (http://cires.colorado.edu/similar to voemel/vp.html), and Ronald van der A, Peter van Velthoven and Peter Siegmund (KNM) for their comments and suggestions. This work was partly financed by the Netherlands Space Office as part of the SCIAVISIE project.</t>
  </si>
  <si>
    <t>NATURE PORTFOLIO</t>
  </si>
  <si>
    <t>BERLIN</t>
  </si>
  <si>
    <t>HEIDELBERGER PLATZ 3, BERLIN, 14197, GERMANY</t>
  </si>
  <si>
    <t>2045-2322</t>
  </si>
  <si>
    <t>SCI REP-UK</t>
  </si>
  <si>
    <t>Sci Rep</t>
  </si>
  <si>
    <t>JUL 14</t>
  </si>
  <si>
    <t>10.1038/srep00038</t>
  </si>
  <si>
    <t>835PV</t>
  </si>
  <si>
    <t>WOS:000296049200002</t>
  </si>
  <si>
    <t>Nerem, RS; Wahr, J</t>
  </si>
  <si>
    <t>Nerem, R. S.; Wahr, J.</t>
  </si>
  <si>
    <t>Recent changes in the Earth's oblateness driven by Greenland and Antarctic ice mass loss</t>
  </si>
  <si>
    <t>DAY SECULAR VARIATIONS; TIME-VARIABLE GRAVITY; GRACE MEASUREMENTS; CLIMATE; HARMONICS; SURFACE; SYSTEM; FIELD</t>
  </si>
  <si>
    <t>We use temporal gravity variations from GRACE to investigate changes in a 34-year time series of Earth's oblateness (J(2)) observed by satellite laser ranging (SLR). We use 2002-2010 GRACE data to compute the effects of Greenland and Antarctic ice mass variations on J(2) (2.0 and 1.7 x 10(-11)/year respectively). Their combined effect on the J(2) trend during the GRACE mission is 3.7 x 10(-11)/year, which agrees well with the GIA-corrected SLR J(2) trend over the same time period. The results suggest that at least since 2002, ice loss from Greenland and Antarctica has been the dominant contributor to the current GIA-corrected J(2) trend, which apparently began sometime in the 1990s. Citation: Nerem, R. S., and J. Wahr (2011), Recent changes in the Earth's oblateness driven by Greenland and Antarctic ice mass loss, Geophys. Res. Lett., 38, L13501, doi:10.1029/2011GL047879.</t>
  </si>
  <si>
    <t>[Nerem, R. S.] Univ Colorado, Colorado Ctr Astrodynam Res, Boulder, CO 80309 USA; [Nerem, R. S.; Wahr, J.] Univ Colorado, Cooperat Inst Res Environm Sci, Boulder, CO 80309 USA; [Wahr, J.] Univ Colorado, Dept Phys, Boulder, CO 80309 USA</t>
  </si>
  <si>
    <t>University of Colorado System; University of Colorado Boulder; University of Colorado System; University of Colorado Boulder; University of Colorado System; University of Colorado Boulder</t>
  </si>
  <si>
    <t>Nerem, RS (corresponding author), Univ Colorado, Colorado Ctr Astrodynam Res, ECNT319,431UCB, Boulder, CO 80309 USA.</t>
  </si>
  <si>
    <t>nerem@colorado.edu</t>
  </si>
  <si>
    <t>NASA GRACE Science Team investigations; JPL GRACE MEASURES; Division Of Earth Sciences; Directorate For Geosciences [0836152] Funding Source: National Science Foundation</t>
  </si>
  <si>
    <t>NASA GRACE Science Team investigations; JPL GRACE MEASURES; Division Of Earth Sciences; Directorate For Geosciences(National Science Foundation (NSF)NSF - Directorate for Geosciences (GEO))</t>
  </si>
  <si>
    <t>We thank M. K. Cheng and J. R. Ries for making their J2 time series publicly available. This study was supported by two separate NASA GRACE Science Team investigations and a JPL GRACE MEASURES contract. In addition to Erik Ivins, we thank Frank Lemoine, Ernst Schrama, and two anonymous reviewers for their careful review of the paper.</t>
  </si>
  <si>
    <t>JUL 13</t>
  </si>
  <si>
    <t>L13501</t>
  </si>
  <si>
    <t>10.1029/2011GL047879</t>
  </si>
  <si>
    <t>793PB</t>
  </si>
  <si>
    <t>WOS:000292834500002</t>
  </si>
  <si>
    <t>Alexander, SP; Klekociuk, AR; Murphy, DJ</t>
  </si>
  <si>
    <t>Alexander, S. P.; Klekociuk, A. R.; Murphy, D. J.</t>
  </si>
  <si>
    <t>Rayleigh lidar observations of gravity wave activity in the winter upper stratosphere and lower mesosphere above Davis, Antarctica (69°S, 78°E)</t>
  </si>
  <si>
    <t>MIDDLE ATMOSPHERE; DOWNWARD CONTROL; SYOWA STATION; POLAR VORTEX; TEMPERATURE; CLIMATOLOGY; STRATOPAUSE; MOMENTUM; MOTIONS</t>
  </si>
  <si>
    <t>Gravity wave activity in the upper stratosphere and lower mesosphere (USLM) is investigated using temperature data retrieved from a Rayleigh lidar at Davis, Antarctica (69 degrees S, 78 degrees E) during the 2007 and 2008 winters. The temporal and height variabilities of waves with ground-based periods greater than 2 h and vertical wavelengths between 4 km and 20 km are analyzed. Stratospheric gravity wave potential energy per unit mass shows a weaker correlation with stratospheric winds at Davis than that reported in the Arctic. Gravity waves dissipate above 40 km during winter, while there is no dissipation in the autumn mesosphere. A separate analysis of gravity waves with ground-based periods of 2-6 h revealed lower dissipation in the winter mesosphere. The seasonal cycle of gravity wave activity is evident throughout the USLM, with peak activity observed during winter. The gravity wave potential energy and vertical wavenumber power spectral density at Davis are similar to that recorded at other high-latitude sites.</t>
  </si>
  <si>
    <t>[Alexander, S. P.; Klekociuk, A. R.; Murphy, D. J.] Australian Antarctic Div, Kingston, Tas 7050, Australia</t>
  </si>
  <si>
    <t>Australian Antarctic Division</t>
  </si>
  <si>
    <t>Alexander, SP (corresponding author), Australian Antarctic Div, 203 Channel Hwy, Kingston, Tas 7050, Australia.</t>
  </si>
  <si>
    <t>simon.alexander@aad.gov.au</t>
  </si>
  <si>
    <t>Klekociuk, Andrew/A-4498-2015</t>
  </si>
  <si>
    <t>Klekociuk, Andrew/0000-0003-3335-0034; Alexander, Simon/0000-0001-6823-8857</t>
  </si>
  <si>
    <t>D13109</t>
  </si>
  <si>
    <t>10.1029/2010JD015164</t>
  </si>
  <si>
    <t>793RE</t>
  </si>
  <si>
    <t>WOS:000292840000001</t>
  </si>
  <si>
    <t>Wang, C; Zhang, JJ; Tang, BB; Fu, SY</t>
  </si>
  <si>
    <t>Wang, C.; Zhang, J. J.; Tang, B. B.; Fu, S. Y.</t>
  </si>
  <si>
    <t>Comparison of equivalent current systems for the substorm event of 8 March 2008 derived from the global PPMLR-MHD model and the KRM algorithm</t>
  </si>
  <si>
    <t>FIELD-ALIGNED CURRENTS; DP 2 FLUCTUATIONS; PERTURBATIONS; SIMULATIONS; STORM</t>
  </si>
  <si>
    <t>Geomagnetic perturbation is an important aspect to determine the capability of a 3-D MHD model in predicting space weather. Taking the substorm event of 8 March 2008 as an example, we compare the equivalent current systems (ECS) in the ionosphere derived from the global PPMLR-MHD simulation model and the ground-based magnetic field observations using the KRM inversion algorithm. The evolution of ECS is utilized to give a global view of the temporal and spatial development of the magnetic fields on the ground. The PPMLR-MHD model has generally reproduced the main characters of the large-scale magnetic field variation on the ground. The magnetic latitude and local time distribution of the ECS is in reasonably agreement with the inversion results during the disturbed period. We hopefully consider the ECS to be a promising numerical forecast product of the global geomagnetic variation from an global 3-D MHD model in the future.</t>
  </si>
  <si>
    <t>[Wang, C.; Zhang, J. J.; Tang, B. B.] Chinese Acad Sci, State Key Lab Space Weather, Ctr Space Sci &amp; Appl Res, Beijing 100190, Peoples R China; [Zhang, J. J.; Tang, B. B.] Chinese Acad Sci, Grad Univ, Beijing 100190, Peoples R China; [Fu, S. Y.] Peking Univ, Dept Geophys, Beijing 100190, Peoples R China</t>
  </si>
  <si>
    <t>Chinese Academy of Sciences; Chinese Academy of Sciences; University of Chinese Academy of Sciences, CAS; Peking University</t>
  </si>
  <si>
    <t>Wang, C (corresponding author), Chinese Acad Sci, State Key Lab Space Weather, Ctr Space Sci &amp; Appl Res, 1 NanErTiao,POB 8701, Beijing 100190, Peoples R China.</t>
  </si>
  <si>
    <t>cw@spaceweather.ac.cn; jjzhang@spaceweather.ac.cn; bbtang@spaceweather.ac.cn</t>
  </si>
  <si>
    <t>Tang, Binbin/B-4207-2010; Fu, Suiyan/E-9178-2013</t>
  </si>
  <si>
    <t>Tang, BINBIN/0000-0002-9244-1828; Wang, Chi/0000-0001-6991-9398</t>
  </si>
  <si>
    <t>INTERMAGNET; NNSFC [40921063, 40831060, 40974106, 41031065]; Specialized Research Fund for State Key Laboratories of China</t>
  </si>
  <si>
    <t>INTERMAGNET; NNSFC(National Natural Science Foundation of China (NSFC)); Specialized Research Fund for State Key Laboratories of China</t>
  </si>
  <si>
    <t>The present work would have been impossible without the help of numerous persons and institutions. We wish to thank Gang Lu of the High Altitude Observatory, NCAR, and Aimin Du of the Institute of Geology and Geophysics, CAS, for their great help; we also thank Youqiu Hu, Joe Kan, and Hui Li for their useful discussions. The results presented in this paper rely on data collected at global magnetic observatories. We thank the INTERMAGNET and the national institutes that support it. We acknowledge V. Angelopoulos for use of data from the THEMIS Mission and specifically the scientists and institutes that support the ground-based observatories. Our acknowledgment also goes to Oleg A. Troshichev at Arctic and Antarctic Research Institute for providing magnetic data in Russia and K. Yumoto and T. Uozumi at STEL of Nagoya University for providing the 210 MM magnetic data. Some data come from Greenland Chain, and we thank them for their helpful work. This work was supported by grants NNSFC 40921063, 40831060, 40974106, and 41031065 and in part by the Specialized Research Fund for State Key Laboratories of China.</t>
  </si>
  <si>
    <t>JUL 12</t>
  </si>
  <si>
    <t>A07207</t>
  </si>
  <si>
    <t>10.1029/2011JA016497</t>
  </si>
  <si>
    <t>793QK</t>
  </si>
  <si>
    <t>WOS:000292838000002</t>
  </si>
  <si>
    <t>Yoshida, O; Inoue, HY; Watanabe, S; Suzuki, K; Noriki, S</t>
  </si>
  <si>
    <t>Yoshida, Osamu; Inoue, Hisayuki Y.; Watanabe, Shuichi; Suzuki, Koji; Noriki, Shinichiro</t>
  </si>
  <si>
    <t>Dissolved methane distribution in the South Pacific and the Southern Ocean in austral summer</t>
  </si>
  <si>
    <t>SEA; OXIDATION; REEVALUATION; HYDROGEN; TASMANIA; FLUXES; CARBON; WATER</t>
  </si>
  <si>
    <t>Oceanic methane (CH4) was examined in the South Pacific and the Southern Ocean from December 2001 to February 2002. From the oligotrophic South Pacific (10 degrees S) to the Subtropical Front (STF), we observed the maximum concentrations of CH4 in the subsurface layer which ranged from 2.7 to 3.9 nmol kg(-1). South of the STF, higher levels of CH4 were often detected in both the surface and the subsurface layers. Elevated surface CH4 concentrations (3.4-6.1 nmol kg(-1)) south of the STF tended to be higher than those north of the STF. Higher CH4 were often concomitant with an increase in chlorophyll a levels in the Seasonal Ice Zone (SIZ). Considering that phytoplankton does not generate methane directly, the high CH4 production probably resulted from the grazing processes of Antarctic krill and/or zooplankton fed on phytoplankton and the subsequent microbial methanogenesis in addition to the aerobic CH4 production in the water column. Present results showed a good relation between surface CH4 data (&lt;50 m) and sigma(theta) between 10 degrees S and the Polar Front (PF), which allow us to provide interpolation/extrapolation schemes for CH4 concentration and sea-air CH4 flux in the wide area ([CH4] = 0.15 sigma(theta) - 0.98 (RMS = 0.21 nmol kg(-1), r = 0.68, n = 49, p &lt; 0.001). The sea-air fluxes estimated during our survey were from 2.4 to 4.9 mol CH4 km(-2) d(-1) between 10 degrees S and the PF (54 degrees S), and from 0.8 to 2.3 mol CH4 km(-2) d(-1) south of the PF, where the sea-air CH4 flux was largely affected by the wind speed.</t>
  </si>
  <si>
    <t>[Yoshida, Osamu] Hokkaido Univ, Grad Sch Environm Earth Sci, Kita Ku, Sapporo, Hokkaido 0600810, Japan; [Yoshida, Osamu] Rakuno Gakuen Univ, Dept Biosphere &amp; Environm Sci, Lab Environm Geochem, Ebetsu, Hokkaido 0698501, Japan; [Watanabe, Shuichi] Japan Agcy Marine Earth Sci &amp; Technol, Mutsu Inst Oceanog, Mutsu, Aomori 0350022, Japan</t>
  </si>
  <si>
    <t>Hokkaido University; Rakuno Gakuen University; Japan Agency for Marine-Earth Science &amp; Technology (JAMSTEC)</t>
  </si>
  <si>
    <t>Yoshida, O (corresponding author), Hokkaido Univ, Grad Sch Environm Earth Sci, Kita Ku, Kita 10,Nishi 5, Sapporo, Hokkaido 0600810, Japan.</t>
  </si>
  <si>
    <t>yoshida@rakuno.ac.jp</t>
  </si>
  <si>
    <t>Suzuki, Koji/A-4349-2013; Yoshikawa, Hisayuki/A-4056-2012; Suzuki, Koji/AAD-2630-2022; Suzuki, Koji/GVS-9807-2022</t>
  </si>
  <si>
    <t>Suzuki, Koji/0000-0001-5354-1044; Suzuki, Koji/0000-0001-5354-1044</t>
  </si>
  <si>
    <t>Grants-in-Aid for Scientific Research [23241002] Funding Source: KAKEN</t>
  </si>
  <si>
    <t>Grants-in-Aid for Scientific Research(Ministry of Education, Culture, Sports, Science and Technology, Japan (MEXT)Japan Society for the Promotion of ScienceGrants-in-Aid for Scientific Research (KAKENHI))</t>
  </si>
  <si>
    <t>C07008</t>
  </si>
  <si>
    <t>10.1029/2009JC006089</t>
  </si>
  <si>
    <t>793PS</t>
  </si>
  <si>
    <t>WOS:000292836200001</t>
  </si>
  <si>
    <t>Anderson, JB; Warny, S; Askin, RA; Wellner, JS; Bohaty, SM; Kirshner, AE; Livsey, DN; Simms, AR; Smith, TR; Ehrmann, W; Lawver, LA; Barbeau, D; Wise, SW; Kulhanek, DK; Weaver, FM; Majewski, W</t>
  </si>
  <si>
    <t>Anderson, John B.; Warny, Sophie; Askin, Rosemary A.; Wellner, Julia S.; Bohaty, Steven M.; Kirshner, Alexandra E.; Livsey, Daniel N.; Simms, Alexander R.; Smith, Tyler R.; Ehrmann, Werner; Lawver, Lawrence A.; Barbeau, David; Wise, Sherwood W.; Kulhanek, Denise K.; Weaver, Fred M.; Majewski, Wojciech</t>
  </si>
  <si>
    <t>Progressive Cenozoic cooling and the demise of Antarctica's last refugium</t>
  </si>
  <si>
    <t>PROCEEDINGS OF THE NATIONAL ACADEMY OF SCIENCES OF THE UNITED STATES OF AMERICA</t>
  </si>
  <si>
    <t>cryosphere; paleoclimate; plant evolution; polar biota; climate change</t>
  </si>
  <si>
    <t>ICE-SHEET; ISLAND; MIOCENE; GLACIATION; CRYOSPHERE; RECORD; MA</t>
  </si>
  <si>
    <t>The Antarctic Peninsula is considered to be the last region of Antarctica to have been fully glaciated as a result of Cenozoic climatic cooling. As such, it was likely the last refugium for plants and animals that had inhabited the continent since it separated from the Gondwana supercontinent. Drill cores and seismic data acquired during two cruises (SHALDRIL I and II) in the northernmost Peninsula region yield a record that, when combined with existing data, indicates progressive cooling and associated changes in terrestrial vegetation over the course of the past 37 million years. Mountain glaciation began in the latest Eocene (approximately 37-34 Ma), contemporaneous with glaciation elsewhere on the continent and a reduction in atmospheric CO2 concentrations. This climate cooling was accompanied by a decrease in diversity of the angiosperm-dominated vegetation that inhabited the northern peninsula during the Eocene. A mosaic of southern beech and conifer-dominated woodlands and tundra continued to occupy the region during the Oligocene (approximately 34-23 Ma). By the middle Miocene (approximately 16-11.6 Ma), localized pockets of limited tundra still existed at least until 12.8 Ma. The transition from temperate, alpine glaciation to a dynamic, polythermal ice sheet took place during the middle Miocene. The northernmost Peninsula was overridden by an ice sheet in the early Pliocene (approximately 5.3-3.6 Ma). The long cooling history of the peninsula is consistent with the extended timescales of tectonic evolution of the Antarctic margin, involving the opening of ocean passageways and associated establishment of circumpolar circulation.</t>
  </si>
  <si>
    <t>[Anderson, John B.; Kirshner, Alexandra E.; Smith, Tyler R.; Weaver, Fred M.] Rice Univ, Dept Earth Sci, Houston, TX 77005 USA; [Warny, Sophie] Louisiana State Univ, Dept Geol &amp; Geophys, Baton Rouge, LA 70803 USA; [Wellner, Julia S.] Univ Houston, Dept Earth &amp; Atmospher Sci, Houston, TX 77204 USA; [Wellner, Julia S.] Univ Houston, Museum Nat Sci, Houston, TX 77204 USA; [Bohaty, Steven M.] Univ Southampton, Sch Ocean &amp; Earth Sci, Southampton SO14 3ZH, Hants, England; [Livsey, Daniel N.; Simms, Alexander R.] Univ Calif Santa Barbara, Dept Earth Sci, Santa Barbara, CA 93106 USA; [Ehrmann, Werner] Univ Leipzig, Inst Geol &amp; Geophys, D-04103 Leipzig, Germany; [Lawver, Lawrence A.] Univ Texas Austin, Inst Geophys, Austin, TX 78758 USA; [Barbeau, David] Univ S Carolina, Dept Earth &amp; Ocean Sci, Columbia, SC 29208 USA; [Wise, Sherwood W.; Kulhanek, Denise K.] Florida State Univ, Dept Earth Ocean &amp; Atmospher Sci, Tallahassee, FL 32306 USA; [Majewski, Wojciech] Polish Acad Sci, Inst Paleobiol, PL-00818 Warsaw, Poland; [Majewski, Wojciech] Polish Acad Sci, Museum Nat Sci, PL-00818 Warsaw, Poland</t>
  </si>
  <si>
    <t>Rice University; Louisiana State University System; Louisiana State University; University of Houston System; University of Houston; University of Houston System; University of Houston; University of Southampton; NERC National Oceanography Centre; University of California System; University of California Santa Barbara; Leipzig University; University of Texas System; University of Texas Austin; University of South Carolina System; University of South Carolina Columbia; State University System of Florida; Florida State University; Polish Academy of Sciences; Institute of Paleobiology of the Polish Academy of Sciences; Polish Academy of Sciences</t>
  </si>
  <si>
    <t>Anderson, JB (corresponding author), Rice Univ, Dept Earth Sci, Houston, TX 77005 USA.</t>
  </si>
  <si>
    <t>johna@rice.edu</t>
  </si>
  <si>
    <t>Warny, Sophie A/A-8226-2013; Simms, Alexander R/E-5609-2012; Kirshner, Alexandra E/E-5151-2011; Anderson, John/B-1011-2012; Lawver, Lawrence/A-1630-2009; Livsey, Daniel/AAI-9753-2021; Smith, Tyler/ITU-0015-2023; Majewski, Wojciech/D-9255-2017</t>
  </si>
  <si>
    <t>Livsey, Daniel/0000-0002-2028-6128; Simms, Alexander/0000-0001-5034-2189; Majewski, Wojciech/0000-0002-5407-1782; Warny, Sophie/0000-0002-3451-040X</t>
  </si>
  <si>
    <t>National Science Foundation-Office of Polar Programs [0125922, 0636747]; Directorate For Geosciences; Office of Polar Programs (OPP) [0125922] Funding Source: National Science Foundation; Division Of Polar Programs; Directorate For Geosciences [0636747] Funding Source: National Science Foundation; Office of Polar Programs (OPP); Directorate For Geosciences [1048343] Funding Source: National Science Foundation</t>
  </si>
  <si>
    <t>National Science Foundation-Office of Polar Programs(National Science Foundation (NSF)); Directorate For Geosciences; Office of Polar Programs (OPP)(National Science Foundation (NSF)NSF - Directorate for Geosciences (GEO)); Division Of Polar Programs; Directorate For Geosciences(National Science Foundation (NSF)NSF - Directorate for Geosciences (GEO)); Office of Polar Programs (OPP); Directorate For Geosciences(National Science Foundation (NSF)NSF - Directorate for Geosciences (GEO))</t>
  </si>
  <si>
    <t>Funding for this research was provided by grants from the National Science Foundation-Office of Polar Programs Grants 0125922 (J.B.A.) and 0636747 (S.W.).</t>
  </si>
  <si>
    <t>NATL ACAD SCIENCES</t>
  </si>
  <si>
    <t>2101 CONSTITUTION AVE NW, WASHINGTON, DC 20418 USA</t>
  </si>
  <si>
    <t>0027-8424</t>
  </si>
  <si>
    <t>P NATL ACAD SCI USA</t>
  </si>
  <si>
    <t>Proc. Natl. Acad. Sci. U. S. A.</t>
  </si>
  <si>
    <t>10.1073/pnas.1014885108</t>
  </si>
  <si>
    <t>791BO</t>
  </si>
  <si>
    <t>Green Published, Green Submitted</t>
  </si>
  <si>
    <t>WOS:000292635200019</t>
  </si>
  <si>
    <t>Di Iorio, O; Turienzo, P</t>
  </si>
  <si>
    <t>Di Iorio, Osvaldo; Turienzo, Paola</t>
  </si>
  <si>
    <t>Insects found in birds' nests from the Neotropical Region: addenda, corrections, and the Subantarctic Region of Argentina and adjacent countries</t>
  </si>
  <si>
    <t>Insects; birds' nests; Neotropical Region; addenda; Subantartic Region</t>
  </si>
  <si>
    <t>HEMIPTERA REDUVIIDAE TRIATOMINAE; PSAMMOLESTES-ARTHURI HEMIPTERA; PHILORNIS-DOWNSI DIPTERA; BUENOS-AIRES PROVINCE; PEARLY-EYED THRASHERS; GEOGRAPHICAL-DISTRIBUTION; CHAGAS-DISEASE; ORDER SIPHONAPTERA; HOST PREFERENCES; CERATOPHYLLUS CURTIS</t>
  </si>
  <si>
    <t>An addendum to the bibliographical review of the insects found in birds' nests is presented: first, to the Neotropical immigrants in the Nearctic Region; second, to the Neotropical Region, including Argentina; and third, a summarization of the data from the Subantarctic Region (Antarctic Dominion) of Argentina and adjacent countries. Localities, numbers of specimens, collections, and other details are provided, when they were stated, in original and later citations.</t>
  </si>
  <si>
    <t>[Di Iorio, Osvaldo; Turienzo, Paola] Univ Buenos Aires, Fac Ciencias Exactas &amp; Nat, Dept Biodiversidad &amp; Biol Expt, Buenos Aires, DF, Argentina</t>
  </si>
  <si>
    <t>University of Buenos Aires</t>
  </si>
  <si>
    <t>Di Iorio, O (corresponding author), Univ Buenos Aires, Fac Ciencias Exactas &amp; Nat, Dept Biodiversidad &amp; Biol Expt, 4 Piso,Pabellon 2,Ciudad Univ C1428EHA, Buenos Aires, DF, Argentina.</t>
  </si>
  <si>
    <t>megacyllene@yahoo.com.ar</t>
  </si>
  <si>
    <t>Turienzo, Paola/AAY-5817-2020</t>
  </si>
  <si>
    <t>JUL 8</t>
  </si>
  <si>
    <t>789GY</t>
  </si>
  <si>
    <t>WOS:000292504600001</t>
  </si>
  <si>
    <t>Priyadarshi, A; Dominguez, G; Savarino, J; Thiemens, M</t>
  </si>
  <si>
    <t>Priyadarshi, Antra; Dominguez, Gerardo; Savarino, Joel; Thiemens, Mark</t>
  </si>
  <si>
    <t>Cosmogenic 35S: A unique tracer to Antarctic atmospheric chemistry and the polar vortex</t>
  </si>
  <si>
    <t>COASTAL ANTARCTICA; DUMONT DURVILLE; BOUNDARY-LAYER; SURFACE AIR; NITROGEN; NITRATE; AEROSOLS; SULFUR; FLOW; OH</t>
  </si>
  <si>
    <t>The cosmogenic radionuclide S-35 (half life similar to 87 d) exists in both (SO2)-S-35 gas and (SO42-)-S-35 aerosol phase in the atmosphere. Cosmogenic S-35 fulfils a unique niche in that it has an ideal half-life for use as a tracer of atmospheric processes, possesses a gas phase precursor and undergoes gas to particle conversion, providing a chronometer that complements other measurements of radiogenic isotopes of different half lives and chemical properties. Based on radiogenic S-35 measurements and concomitant model calculations, we demonstrate that S-35 is a unique tracer to understand stratospheric tropospheric air mass transport dynamics and the atmospheric oxidation capacity on a short time scale. Reported are the first measurements of S-35 contained in SO42- aerosols (bulk and size aggregated) at Antarctica. (SO42-)-S-35 concentrations at Dome C and Dumont D'Urville exhibit summer maxima and winter minima with a secondary winter peak. Higher oxidative capacity of the atmosphere and long range transport of mid latitude air increases (SO42-)-S-35 activity in summer whereas a lack of air mass mixing coupledwith low oxidant concentration in winter significantly decreases (SO42-)-S-35 activity. A 3% contribution from stratospheric (SO42-)-S-35 into the free troposphere during stratosphere-troposphere air mass mixing accounts for the secondary winter (SO42-)-S-5 peak. In the future, this work will be extended to S-35 activity measurements of both gas and aerosol phases to further understand gas to particle conversion, vortex dynamics and trace polar stratospheric cloud sedimentation frequency. Citation: Priyadarshi, A., G. Dominguez, J. Savarino, and M. Thiemens (2011), Cosmogenic S-35: A unique tracer to Antarctic atmospheric chemistry and the polar vortex, Geophys. Res. Lett., 38, L13808, doi: 10.1029/ 2011GL047469.</t>
  </si>
  <si>
    <t>[Priyadarshi, Antra; Dominguez, Gerardo; Thiemens, Mark] Univ Calif San Diego, Dept Chem &amp; Biochem, La Jolla, CA 92093 USA; [Savarino, Joel] Univ Grenoble 1, Lab Glaciol &amp; Geophys Environm, CNRS, F-38402 St Martin Dheres, France</t>
  </si>
  <si>
    <t>University of California System; University of California San Diego; Centre National de la Recherche Scientifique (CNRS); Communaute Universite Grenoble Alpes; Universite Grenoble Alpes (UGA)</t>
  </si>
  <si>
    <t>Priyadarshi, A (corresponding author), Univ Calif San Diego, Dept Chem &amp; Biochem, 9500 Gilman Dr, La Jolla, CA 92093 USA.</t>
  </si>
  <si>
    <t>mthiemens@ucsd.edu</t>
  </si>
  <si>
    <t>Savarino, Joel/H-9730-2012</t>
  </si>
  <si>
    <t>Savarino, Joel/0000-0002-6708-9623</t>
  </si>
  <si>
    <t>JUL 7</t>
  </si>
  <si>
    <t>L13808</t>
  </si>
  <si>
    <t>10.1029/2011GL047469</t>
  </si>
  <si>
    <t>790SD</t>
  </si>
  <si>
    <t>WOS:000292608600001</t>
  </si>
  <si>
    <t>Kozlovsky, A; Shalimov, S; Koustov, AV; Lukianova, R; Turunen, T</t>
  </si>
  <si>
    <t>Kozlovsky, A.; Shalimov, S.; Koustov, A. V.; Lukianova, R.; Turunen, T.</t>
  </si>
  <si>
    <t>Dependence of spectral width of ionospheric F region HF echoes on electric field</t>
  </si>
  <si>
    <t>PARTICLE-PRECIPITATION BOUNDARIES; COLLECTIVE WAVE SCATTERING; PLASMA CLOUDS; INTERCHANGE INSTABILITY; RADAR OBSERVATIONS; SUPERDARN; IRREGULARITIES; DEFORMATION; TURBULENCE; STRIATION</t>
  </si>
  <si>
    <t>The EISCAT Svalbard radar (ESR) monitors plasma parameters in the ionospheric region that is frequently located near the polar cap boundary. The SuperDARN radar at Hankasalmi, Finland, detects coherent echoes from this region, and these echoes typically show increased spectral width. We consider data of joint ESR and SuperDARN observations to show that the spectral width of HF echoes tends to increase with the ionospheric electric field. This relationship is explained in terms of nonlinear evolution of the E x B gradient drift instability with energy cascade from hundreds of meter wavelengths to meter wavelengths. We assume that decameter waves (seen by the Hankasalmi radar) with relatively large amplitude decay through a three-wave interaction with shorter wavelengths and estimate that the decay time of the decameter waves/irregularities is determined by the parameters of the shorter-wavelength structures. We associate the decameter wave decay time with the correlation time, and thus the spectral width, of HF echoes.</t>
  </si>
  <si>
    <t>[Kozlovsky, A.; Turunen, T.] Sodankyla Geophys Observ, FI-99600 Sodankyla, Finland; [Shalimov, S.] Inst Phys Earth, Moscow 123995, Russia; [Shalimov, S.; Lukianova, R.] Space Res Inst, Moscow, Russia; [Koustov, A. V.] Univ Saskatchewan, Dept Phys &amp; Engn Phys, Saskatoon, SK S7N 5E2, Canada; [Lukianova, R.] Arctic &amp; Antarctic Res Inst, St Petersburg 199397, Russia</t>
  </si>
  <si>
    <t>Russian Academy of Sciences; Schmidt Institute of Physics of the Earth of the Russian Academy of Sciences; Russian Academy of Sciences; Space Research Institute of the Russian Academy of Sciences; University of Saskatchewan; Arctic &amp; Antarctic Research Institute</t>
  </si>
  <si>
    <t>Kozlovsky, A (corresponding author), Sodankyla Geophys Observ, FI-99600 Sodankyla, Finland.</t>
  </si>
  <si>
    <t>alexander.kozlovsky@oulu.fi</t>
  </si>
  <si>
    <t>Lukianova, Renata/K-3293-2012</t>
  </si>
  <si>
    <t>Lukianova, Renata/0000-0003-2343-9174; Kozlovsky, Alexander/0000-0003-1468-7600</t>
  </si>
  <si>
    <t>China (CRIRP); Finland (SA); France (CNRS); Germany (DFG); Japan (NIPR); Japan (STEL); Norway (NFR); Sweden (VR); United Kingdom (STFC); Academy of Finland [115920, 134283, 132441, 138289]; NSERC; Science and Technology Facilities Council [PP/E007929/1] Funding Source: researchfish; Academy of Finland (AKA) [115920, 138289, 132441, 134283] Funding Source: Academy of Finland (AKA); STFC [PP/E007929/1] Funding Source: UKRI</t>
  </si>
  <si>
    <t>China (CRIRP); Finland (SA); France (CNRS)(Centre National de la Recherche Scientifique (CNRS)); Germany (DFG)(German Research Foundation (DFG)); Japan (NIPR); Japan (STEL); Norway (NFR)(Research Council of Norway); Sweden (VR)(Swedish Research Council); United Kingdom (STFC)(UK Research &amp; Innovation (UKRI)Science &amp; Technology Facilities Council (STFC)); Academy of Finland(Research Council of Finland); NSERC(Natural Sciences and Engineering Research Council of Canada (NSERC)); Science and Technology Facilities Council(UK Research &amp; Innovation (UKRI)Science &amp; Technology Facilities Council (STFC)); Academy of Finland (AKA)(Research Council of Finland); STFC(UK Research &amp; Innovation (UKRI)Science &amp; Technology Facilities Council (STFC))</t>
  </si>
  <si>
    <t>We are indebted to the director and staff of EISCAT for operating the facility and supplying the data. EISCAT is an international association supported by research organizations in China (CRIRP), Finland (SA), France (CNRS, until end of 2006), Germany (DFG), Japan (NIPR and STEL), Norway (NFR), Sweden (VR), and the United Kingdom (STFC). We thank all participants of the SuperDARN project who collected data used in this study. We thank P. V. Ponomarenko for useful discussions. The study was supported by the Academy of Finland projects 115920 (A. K. and T. T.), 134283 (S. S.), 132441 and 138289 (R. L.), and an NSERC grant to A. V. K.</t>
  </si>
  <si>
    <t>A07302</t>
  </si>
  <si>
    <t>10.1029/2011JA016804</t>
  </si>
  <si>
    <t>790SO</t>
  </si>
  <si>
    <t>WOS:000292609700004</t>
  </si>
  <si>
    <t>Nuncio, M; Luis, AJ; Yuan, X</t>
  </si>
  <si>
    <t>Nuncio, M.; Luis, Alvarinho J.; Yuan, X.</t>
  </si>
  <si>
    <t>Topographic meandering of Antarctic Circumpolar Current and Antarctic Circumpolar Wave in the ice-ocean-atmosphere system</t>
  </si>
  <si>
    <t>SEA-ICE; EL-NINO; VARIABILITY; TEMPERATURE</t>
  </si>
  <si>
    <t>Topographic meandering of Antarctic Circumpolar Current (ACC) is found to be an impediment in the propagation of Antarctic Circumpolar Wave (ACW) in the Indian Ocean sector of Antarctica. Reasons for this are attributed to the southward advection of the ACW anomalies associated with the topographic meandering of the ACC. The southward meandering of ACC facilitates warming up of the region east of 20 degrees E by about 1 degrees C during winter, thereby reducing the sea ice; these processes interfere with the eastward propagating positive sea-ice anomalies, and reduce its strength. Warming of ocean induced by topographic meandering leads to upward vertical velocities between 40 degrees-60 degrees E, where the ocean surface velocities are weak and southward, and the vertical/meridional advection of temperature dominates the zonal advection in the atmosphere. This results in the decoupling of the ACW in the region east of 40 degrees E. In regions out side the Indian Ocean sector, vertical advection is minimum and zonal velocity of ACC becomes positive, which facilitates the ACW propagation in the Central Pacific, Ross and Weddell Seas. Citation: Nuncio, M., A. J. Luis, and X. Yuan (2011), Topographic meandering of Antarctic Circumpolar Current and Antarctic Circumpolar Wave in the iceocean- atmosphere system, Geophys. Res. Lett., 38, L13708, doi: 10.1029/2011GL046898.</t>
  </si>
  <si>
    <t>[Nuncio, M.; Luis, Alvarinho J.] Natl Ctr Antarctic &amp; Ocean Res, Vasco Da Gama 403804, Goa, India; [Yuan, X.] Lamont Doherty Earth Observ, Ocean &amp; Climate Phys Lab, Palisades, NY 10964 USA</t>
  </si>
  <si>
    <t>Ministry of Earth Sciences (MoES) - India; National Centre for Polar and Ocean Research (NCPOR); Columbia University</t>
  </si>
  <si>
    <t>Nuncio, M (corresponding author), Natl Ctr Antarctic &amp; Ocean Res, Vasco Da Gama 403804, Goa, India.</t>
  </si>
  <si>
    <t>nuncio@ncaor.org</t>
  </si>
  <si>
    <t>Luis, Dr Alvarinho J./0000-0002-3425-8048</t>
  </si>
  <si>
    <t>US NSF [ANT07-39509]; Office of Polar Programs (OPP); Directorate For Geosciences [0739509] Funding Source: National Science Foundation</t>
  </si>
  <si>
    <t>US NSF(National Science Foundation (NSF)); Office of Polar Programs (OPP); Directorate For Geosciences(National Science Foundation (NSF)NSF - Directorate for Geosciences (GEO))</t>
  </si>
  <si>
    <t>The authors thank Director NCAOR for his keen interest and encouragement for this study. This work was carried out under the project Delineation of sea ice Boundary from India Bay to Larsemann Hills, Antarctica Using High Resolution Satellite Imagery and a fellowship awarded by Scientific Committee on Antarctic Research (SCAR). Yuan is supported by US NSF OPP grant ANT07-39509. NCEP reanalysis data was provided by the NOAA/OAR/ESRL PSD, Boulder, Colorado, USA, from their web site http://ww.esrl.noaa.gov.psd/.Hydrographic data was downloaded from Met Office Hadley Centre website http://hadobs.metoffice.com/en3/data/EN3_v2a/download_EN3_v2a.html. SST and ice data were obtained from Met Office Hadley Centre web site http://hadobs. metoffice. com/hadisst/data/download.html. M. Nuncio thanks Dina and Ramola Antao for carefully going through the manuscript for grammar and style. This is NCAOR contribution 07/2011 and Lamont contribution 7463.</t>
  </si>
  <si>
    <t>JUL 6</t>
  </si>
  <si>
    <t>L13708</t>
  </si>
  <si>
    <t>10.1029/2011GL046898</t>
  </si>
  <si>
    <t>790SB</t>
  </si>
  <si>
    <t>WOS:000292608400001</t>
  </si>
  <si>
    <t>Screen, JA</t>
  </si>
  <si>
    <t>Screen, J. A.</t>
  </si>
  <si>
    <t>Sudden increase in Antarctic sea ice: Fact or artifact?</t>
  </si>
  <si>
    <t>TEMPERATURE</t>
  </si>
  <si>
    <t>Three sea ice data sets commonly used for climate research display a large and abrupt increase in Antarctic sea ice area (SIA) in recent years. This unprecedented change of SIA is diagnosed to be primarily caused by an apparent sudden increase in sea ice concentrations within the ice pack, especially in the area of the most-concentrated ice (greater than 95% concentration). A series of alternative satellite-derived records do not display any abnormal sudden SIA changes, but do reveal substantial discrepancies between different satellite sensors and sea ice algorithms. Sea ice concentrations in the central ice pack and SIA values derived from the Advanced Microwave Scanning Radiometer for the Earth Observing System (AMSRE) are consistently greater than those derived from the Special Sensor Microwave Imager (SSMI). A switch in source data from the SSMI to AMSRE in mid-2009 explains most of the SIA increase in all three affected data sets. If uncorrected for, the discontinuity artificially exaggerates the winter Antarctic SIA increase (1979-2010) by more than a factor of 2 and the spring trend by almost a factor of 4. The discontinuity has a weaker influence on the summer and autumn SIA trends, on calculations of Antarctic sea ice extent, and in the Arctic. Citation: Screen, J. A. (2011), Sudden increase in Antarctic sea ice: Fact or artifact?, Geophys. Res. Lett., 38, L13702, doi:10.1029/2011GL047553.</t>
  </si>
  <si>
    <t>Univ Melbourne, Dept Earth Sci, Melbourne, Vic 3010, Australia</t>
  </si>
  <si>
    <t>University of Melbourne; Melbourne Bioinformatics</t>
  </si>
  <si>
    <t>Screen, JA (corresponding author), Univ Melbourne, Dept Earth Sci, Melbourne, Vic 3010, Australia.</t>
  </si>
  <si>
    <t>screenj@unimelb.edu.au</t>
  </si>
  <si>
    <t>Screen, James A/D-7588-2013</t>
  </si>
  <si>
    <t>Screen, James/0000-0003-1728-783X</t>
  </si>
  <si>
    <t>Nick Rayner and Robert Grumbine are thanked for helpful discussions and, along with Ian Simmonds, for commenting on an earlier version of the manuscript. The author is grateful to the institutes that provided data, and to the numerous individuals that contributed to development and maintenance of these data sets. Parts of this research was funded by the Australian Research Council.</t>
  </si>
  <si>
    <t>JUL 2</t>
  </si>
  <si>
    <t>L13702</t>
  </si>
  <si>
    <t>10.1029/2011GL047553</t>
  </si>
  <si>
    <t>787NC</t>
  </si>
  <si>
    <t>WOS:000292382500002</t>
  </si>
  <si>
    <t>Cnossen, I; Lu, H</t>
  </si>
  <si>
    <t>Cnossen, Ingrid; Lu, Hua</t>
  </si>
  <si>
    <t>The vertical connection of the quasi-biennial oscillation-modulated 11 year solar cycle signature in geopotential height and planetary waves during Northern Hemisphere early winter</t>
  </si>
  <si>
    <t>STRATOSPHERIC SUDDEN WARMINGS; MIDLATITUDE ATMOSPHERIC VARIABILITY; EQUATORIAL UPPER-STRATOSPHERE; TROPOSPHERIC RESPONSE; MIDDLE ATMOSPHERE; INTERANNUAL VARIABILITY; DYNAMICAL RESPONSE; ERA-40 REANALYSIS; SUNS ROTATION; POLAR-REGION</t>
  </si>
  <si>
    <t>We analyzed observational geopotential height data to provide some new insights on the 11 year solar cycle signal in the Northern Hemisphere early winter and its modulation by the quasi-biennial oscillation (QBO). The signals are strongest in the upper stratosphere. When the QBO is in its easterly phase (QBOe), it appears to move gradually eastward and poleward, resulting in a predominantly positive signal over the pole, with a weaker vertically connected negative signal over the Icelandic Low. When the QBO is in its westerly phase (QBOw), the polar stratospheric signal is mainly negative and appears connected to a negative anomaly in the troposphere over the Aleutian Low. A spectral analysis of the stratospheric response in planetary waves showed a reduction of wave number 2 power under QBOe and an enhancement of wave number 3 under QBOw. These responses are characterized by an overall increase/decrease in wave activity at middle to high latitudes rather than a latitudinal shift of wave activity. There is no clear stratosphere-troposphere connection under QBOe, but under QBOw, there is a vertically coherent increase in wave power at wave numbers 1-3 with a period of 5.6-6.9 days. We suggest that the differences in response under QBOe and QBOw can be explained through differences in initial vortex strength, resulting in either a stronger influence from the low-latitude upper stratosphere (QBOe) or from the troposphere (QBOw) on the polar stratosphere.</t>
  </si>
  <si>
    <t>[Cnossen, Ingrid; Lu, Hua] British Antarctic Survey, Cambridge CB3 0ET, England</t>
  </si>
  <si>
    <t>Cnossen, I (corresponding author), Natl Ctr Atmospher Res, 3080 Ctr Green Dr, Boulder, CO 80301 USA.</t>
  </si>
  <si>
    <t>icnossen@ucar.edu</t>
  </si>
  <si>
    <t>Lu, Hua/GXA-0276-2022; Cnossen, Ingrid/E-5809-2010</t>
  </si>
  <si>
    <t>Lu, Hua/0000-0001-9485-5082; Cnossen, Ingrid/0000-0001-6469-7861</t>
  </si>
  <si>
    <t>NERC [bas0100023] Funding Source: UKRI; Natural Environment Research Council [bas0100023] Funding Source: researchfish</t>
  </si>
  <si>
    <t>D13101</t>
  </si>
  <si>
    <t>10.1029/2010JD015427</t>
  </si>
  <si>
    <t>787MO</t>
  </si>
  <si>
    <t>WOS:000292380900005</t>
  </si>
  <si>
    <t>Nam, E; Ahn, J</t>
  </si>
  <si>
    <t>Nam, EunSook; Ahn, JongKun</t>
  </si>
  <si>
    <t>ANTARCTIC MARINE BACTERIUM PSEUDOALTEROMONAS SP KNOUC808 AS A SOURCE OF COLD-ADAPTED LACTOSE HYDROLYZING ENZYME</t>
  </si>
  <si>
    <t>BRAZILIAN JOURNAL OF MICROBIOLOGY</t>
  </si>
  <si>
    <t>antarctic marine bacterium; Pseudoalteromonas sp.; cold adapted lactose hydrolyzing enzyme</t>
  </si>
  <si>
    <t>BETA-GALACTOSIDASE; DIVERSITY</t>
  </si>
  <si>
    <t>Psychrophilic bacteria, which grow on lactose as a carbon source, were isolated from Antarctic polar sea water. Among the psychrophilic bacteria isolated, strain KNOUC808 was able to grow on lactose at below 5 degrees C, and showed 0.867 unit of o-nitrophenyl beta-D-galactopyranoside(ONPG) hydrolyzing activity at 4 degrees C. The isolate was gram-negative, rod, aerobic, catalase positive and oxidase positive. Optimum growth was done at 20 degrees C, pH 6.8-7.2. The composition of major fatty acids in cell of KNOUC801 was C-12:0 (5.48%), C-12:0 (3OH) (9.21%), C-16:0 (41.83%), C-17:0 (omega)8 (7.24%) and C-18:1 (omega)7 (7.04%). All these results together suggest that it is affiliated with Pseudoalteromonas genus. The 16S rDNA sequence corroborate the phenotypic tests and the novel strain was designated as Pseudoalteromonas sp. KNOUC808. The optimum temperature and pH for lactose hydrolyzing enzyme was 20 degrees C and 7.8, respectively. The enzyme was stable at 4 degrees C for 7 days, but its activity decreased to about 50% of initial activity at 37 degrees C in 7 days.</t>
  </si>
  <si>
    <t>[Ahn, JongKun] Korea Natl Open Univ, Dept Agr Sci, Seoul 110791, South Korea; [Nam, EunSook] Sogang Univ, Seoul 121742, South Korea</t>
  </si>
  <si>
    <t>Korea National Open University; Sogang University</t>
  </si>
  <si>
    <t>Ahn, J (corresponding author), Korea Natl Open Univ, Dept Agr Sci, Seoul 110791, South Korea.</t>
  </si>
  <si>
    <t>ajk@knou.ac.kr</t>
  </si>
  <si>
    <t>Korea Institute of Planning and Evaluation for Technology of Food, Agriculture and Fishery; Korea Polar Research Institute [PE100700]</t>
  </si>
  <si>
    <t>Korea Institute of Planning and Evaluation for Technology of Food, Agriculture and Fishery(Institute of Planning &amp; Evaluation for Technology in Food, Agriculture, Forestry, &amp; Fisheries (iPET), Republic of Korea); Korea Polar Research Institute(Korea Polar Research Institute of Marine Research Placement (KOPRI))</t>
  </si>
  <si>
    <t>This research was performed by the support of Korea Institute of Planning and Evaluation for Technology of Food, Agriculture and Fishery. We appreciate Korea Polar Research Institute (Grant No. PE100700) for samples of sea water from Antarctic polar sea.</t>
  </si>
  <si>
    <t>1517-8382</t>
  </si>
  <si>
    <t>1678-4405</t>
  </si>
  <si>
    <t>BRAZ J MICROBIOL</t>
  </si>
  <si>
    <t>Braz. J. Microbiol.</t>
  </si>
  <si>
    <t>JUL-SEP</t>
  </si>
  <si>
    <t>10.1590/S1517-83822011000300011</t>
  </si>
  <si>
    <t>857XB</t>
  </si>
  <si>
    <t>WOS:000297756800011</t>
  </si>
  <si>
    <t>Cáceres-Puig, JI; Huato-Soberanis, L; Melo-Barrera, FN; Saucedo, PE</t>
  </si>
  <si>
    <t>Ivan Caceres-Puig, Jorge; Huato-Soberanis, Leonardo; Neri Melo-Barrera, Felipe; Saucedo, Pedro E.</t>
  </si>
  <si>
    <t>Use of calcein to estimate and validate age in juveniles of the winged pearl oyster Pteria sterna</t>
  </si>
  <si>
    <t>AQUATIC LIVING RESOURCES</t>
  </si>
  <si>
    <t>Pearl oysters; Age estimation; Age validation; Fluorochrome calcein marker</t>
  </si>
  <si>
    <t>GULF-OF-CALIFORNIA; PINCTADA-MAXIMA JAMESON; MAZATLANICA HANLEY 1856; IN-SITU GROWTH; CERASTODERMA-EDULE; BAJA-CALIFORNIA; MICROGROWTH BANDS; ANTARCTIC SCALLOP; COMMON COCKLE; LA-PAZ</t>
  </si>
  <si>
    <t>Determining age is an important step when assessing growth, mortality, and yield of cultivated and wild populations, but studies linking shell growth marks in the pearl oyster Pteria sterna with the age of individuals are lacking. Thirty juveniles (20.0 +/- 1.2 mm shell height), collected from a winter spatfall, were marked with the fluorochrome calcein and kept in the field in culture containers. After day 16, the juveniles were cleaned and their shells cut along the sagittal axis to determine periodicity of micro growth bands formed in the inner shell layers and to estimate age. During this trial, fluorescent calcein marking succeeded in individuals larger than 20 mm shell height; these formed an average of 15 micro growth bands over the 16 days, representing 1 band per day. The marker created a wide fluorescent band containing three micro growth marks, suggesting that calcein was incorporated into the shell over the first three days. The use of calcein was found to be an accurate method for validating the micro growth band frequency of formation in P. sterna juveniles, which in turn can help to estimate age.</t>
  </si>
  <si>
    <t>[Ivan Caceres-Puig, Jorge; Huato-Soberanis, Leonardo; Saucedo, Pedro E.] CIBNOR, La Paz 23096, Bcs, Mexico; [Neri Melo-Barrera, Felipe] IPN, CICIMAR, La Paz 23096, Bcs, Mexico</t>
  </si>
  <si>
    <t>CIBNOR - Centro de Investigaciones Biologicas del Noroeste; Instituto Politecnico Nacional - Mexico</t>
  </si>
  <si>
    <t>Huato-Soberanis, L (corresponding author), CIBNOR, Mar Bermejo 195, La Paz 23096, Bcs, Mexico.</t>
  </si>
  <si>
    <t>lhuato@cibnor.mx</t>
  </si>
  <si>
    <t>Saucedo, Pedro E./0000-0002-2155-9677</t>
  </si>
  <si>
    <t>EDP SCIENCES S A</t>
  </si>
  <si>
    <t>LES ULIS CEDEX A</t>
  </si>
  <si>
    <t>17, AVE DU HOGGAR, PA COURTABOEUF, BP 112, F-91944 LES ULIS CEDEX A, FRANCE</t>
  </si>
  <si>
    <t>0990-7440</t>
  </si>
  <si>
    <t>1765-2952</t>
  </si>
  <si>
    <t>AQUAT LIVING RESOUR</t>
  </si>
  <si>
    <t>Aquat. Living Resour.</t>
  </si>
  <si>
    <t>JUL</t>
  </si>
  <si>
    <t>10.1051/alr/2011139</t>
  </si>
  <si>
    <t>842FA</t>
  </si>
  <si>
    <t>WOS:000296576800011</t>
  </si>
  <si>
    <t>Ivanchina, NV; Malyarenko, TV; Kicha, AA; Kalinovsky, AI; Dmitrenok, PS; Ermakova, SP</t>
  </si>
  <si>
    <t>Ivanchina, N. V.; Malyarenko, T. V.; Kicha, A. A.; Kalinovsky, A. I.; Dmitrenok, P. S.; Ermakova, S. P.</t>
  </si>
  <si>
    <t>Structures and Cytotoxic Activities of Two New Asterosaponins from the Antarctic Starfish Diplasterias brucei</t>
  </si>
  <si>
    <t>RUSSIAN JOURNAL OF BIOORGANIC CHEMISTRY</t>
  </si>
  <si>
    <t>asterosaponins; Diplasterias brucei; cancer cell lines; cytotoxicity; ESI mass spectra; NMR; starfish</t>
  </si>
  <si>
    <t>OLIGOGLYCOSIDES; GLYCOSIDES</t>
  </si>
  <si>
    <t>Two new asterosaponins, diplasteriosides A and B, bearing the same beta-D-Fucp-(1 -&gt; 2)-beta-D-Galp-(1 -&gt; 4)-[beta-D-Quip-(1 -&gt; 2)]-beta-D-Quip-(1 -&gt; 3)-beta-D-Quip-(1 -&gt; oligosaccharide chains linked to the C6 atom of the known genins, 3-O-sulfates of thornasterols A and B, respectively, were isolated from the Antarctic Diplasterias brucei starfish along with the previously known asteriidoside A. The structures of the new compounds were elucidated by two-dimensional NMR spectroscopy and mass spectrometry. Cytotoxicities of the isolated asterosaponins against the human colon cancer HCT-116, human breast cancer T-47D cell line, and human melanoma cancer RPMI-7951 cell lines were studied.</t>
  </si>
  <si>
    <t>[Ivanchina, N. V.; Malyarenko, T. V.; Kicha, A. A.; Kalinovsky, A. I.; Dmitrenok, P. S.; Ermakova, S. P.] Russian Acad Sci, Pacific Inst Bioorgan Chem, Far E Branch, Vladivostok 690022, Russia</t>
  </si>
  <si>
    <t>Elyakov Pacific Institute of Bioorganic Chemistry; Russian Academy of Sciences</t>
  </si>
  <si>
    <t>Ivanchina, NV (corresponding author), Russian Acad Sci, Pacific Inst Bioorgan Chem, Far E Branch, Pr 100 Let Vladivostoku 159, Vladivostok 690022, Russia.</t>
  </si>
  <si>
    <t>ivanchina@piboc.dvo.ru</t>
  </si>
  <si>
    <t>Dmitrenok, Pavel S/N-3307-2013; Ivanchina, Natalia/M-8379-2013; Ermakova, Svetlana P/G-2766-2013; Malyarenko, Timofey/M-8837-2013; Kicha, Alla A/M-9920-2013</t>
  </si>
  <si>
    <t>Ivanchina, Natalia/0000-0001-9075-8584; Ermakova, Svetlana/0000-0002-5905-2046</t>
  </si>
  <si>
    <t>Presidium of Russian Academy of Sciences; Russian Foundation for Basic Research [08-04-00599-a]; program of support of leading scientific schools [NSh-3531.2010.4]</t>
  </si>
  <si>
    <t>Presidium of Russian Academy of Sciences(Russian Academy of Sciences); Russian Foundation for Basic Research(Russian Foundation for Basic Research (RFBR)Spanish Government); program of support of leading scientific schools(Leading Scientific Schools Program)</t>
  </si>
  <si>
    <t>The authors are grateful to Dr. Ernesto Mollo, Instituto di Chimica Biomolecolare, Consiglio Nazionale delle Ricerche, Naples, Italy, for the kind gift of starfish. The work was supported by the program Molecular and cell biology of the Presidium of Russian Academy of Sciences, Russian Foundation for Basic Research, project no. 08-04-00599-a, and the program of support of leading scientific schools, grant NSh-3531.2010.4.</t>
  </si>
  <si>
    <t>1068-1620</t>
  </si>
  <si>
    <t>RUSS J BIOORG CHEM+</t>
  </si>
  <si>
    <t>Russ. J. Bioorg. Chem.</t>
  </si>
  <si>
    <t>10.1134/S1068162011030083</t>
  </si>
  <si>
    <t>Biochemistry &amp; Molecular Biology; Chemistry, Organic</t>
  </si>
  <si>
    <t>Biochemistry &amp; Molecular Biology; Chemistry</t>
  </si>
  <si>
    <t>828VY</t>
  </si>
  <si>
    <t>WOS:000295533100014</t>
  </si>
  <si>
    <t>Ravikant, V; Dharwadkar, A; Golani, PR; Ravindra, R</t>
  </si>
  <si>
    <t>Ravikant, Vadlamani; Dharwadkar, A.; Golani, P. R.; Ravindra, R.</t>
  </si>
  <si>
    <t>Petrology and Geochemistry of the Grubergebirge Anorthosite and Marginal Rocks, Central Dronning Maud Land: Further Characterization of the Late Neoproterozoic Magmatic Event in East Antarctica</t>
  </si>
  <si>
    <t>Gruber anorthosite-ferrodiorite; Neoproterozoic magmatism; East Antarctica</t>
  </si>
  <si>
    <t>EVOLUTION; COMPLEX; BELT; AGE</t>
  </si>
  <si>
    <t>The Grubergebirge anorthosite, a Late Neoproterozoic massif-type anorthosite, was emplaced into Late Mesoproterozoic-aged metamorphosed orthogneisses and supracrustal rocks in the Wohlthat Mountains. Mineralogically and chemically, the marginal rocks to the anorthosite massif classify as ferromonzodiorite and ferromonzonite. Variations in trace and rare earth element abundances and normalized patterns between the anorthosite and associated marginal ferromonzodiorite (and minor ferromonzonite) and distinct differences between the ferromonzodiorite and ferromonzonite have been observed. Whereas the magmas from which the anorthosite crystallized have been slightly contaminated by incorporating crustal material (now occurring as enclaves), the marginal ferromonzodiorite represent rocks that originated due to mixing (hybridization) of injected primitive ferrodiorite magma(s) with preexisting crustal material, resulting in the hybrid ferromonzodiorite. These events at the margin of the massif anorthosite represent a widespread Late Neoproterozoic magmatic event with accompanying crustal mixing; all these rocks were thereafter metamorphosed under amphibolite- to granulitefacies conditions during the Early Cambrian Period. In contrast, unmetamorphosed dykes with a ferrodiorite mineralogy, of Late Cambro-Ordovician age, have been found that probably represent a part of the late magmatic suites of the south Petermannketten (Zwiesel).</t>
  </si>
  <si>
    <t>[Ravikant, Vadlamani] Geol Survey India, Geochronol &amp; Isotope Geol Div, Kolkata 700016, India; [Dharwadkar, A.] Geol Survey India, Antarctica Div, NIT, Faridabad 121001, India; [Golani, P. R.] Geol Survey India, WR, Jaipur, Rajasthan, India; [Ravindra, R.] Natl Ctr Antarctic &amp; Ocean Res, Vasco Da Gama 403004, Goa, India</t>
  </si>
  <si>
    <t>Geological Survey India; Geological Survey India; Geological Survey India; Ministry of Earth Sciences (MoES) - India; National Centre for Polar and Ocean Research (NCPOR)</t>
  </si>
  <si>
    <t>Ravikant, V (corresponding author), Indian Inst Sci Educ &amp; Res Kolkata, Mohanpur 741252, India.</t>
  </si>
  <si>
    <t>ravikant.vadlamani@gmail.com</t>
  </si>
  <si>
    <t>Dharwadkar, Amit/0000-0001-7870-8058</t>
  </si>
  <si>
    <t>National Centre for Antarctic and Ocean Research, Goa</t>
  </si>
  <si>
    <t>The National Centre for Antarctic and Ocean Research, Goa is thanked for providing all the support during the 23 Indian Antarctic Expedition. The Chemical Laboratories of the southern region, Hyderabad and the northern region of the Geological Survey of India, Faridabad, provided trace element concentration data and major and trace element concentration data, respectively. The EPMA facility staff, Amitava Kundu and Sonalika Joshi, in the Petrological Laboratory Northern Region, Geological Survey of India, Faridabad are thanked for their cooperation during the mineral chemical analyses. H.K. Kundu and S. Ghosh at the Geochronology facility of the Geological Survey of India, Kolkata, are thanked for their cooperation during the isotopic analyses. This is NCAOR contribution no. 17/2011.</t>
  </si>
  <si>
    <t>10.1007/s12594-011-0062-z</t>
  </si>
  <si>
    <t>823ZL</t>
  </si>
  <si>
    <t>WOS:000295167800002</t>
  </si>
  <si>
    <t>Thamban, M; Laluraj, CM; Naik, SS; Chaturvedi, A</t>
  </si>
  <si>
    <t>Thamban, Meloth; Laluraj, C. M.; Naik, Sushant S.; Chaturvedi, Arun</t>
  </si>
  <si>
    <t>Reconstruction of Antarctic Climate Change Using Ice Core Proxy Records from the Coastal Dronning Maud Land, East Antarctica</t>
  </si>
  <si>
    <t>Glaciochemistry; Stable isotope; Ice core; Solar activity; Dronning Maud Land; Antarctica</t>
  </si>
  <si>
    <t>SEA-SALT AEROSOL; SURFACE SNOW; POLAR ICE; ATMOSPHERIC CIRCULATION; SOLAR IRRADIANCE; VOLCANIC EVENTS; PLATEAU AREAS; FIRN CORE; VARIABILITY; CHEMISTRY</t>
  </si>
  <si>
    <t>Antarctic ice core records have provided unprecedented information on past climatic changes and forcing factors on decadal to millennial timescales. The glaciochemical and stable isotope records of a shallow ice core from the coastal Dronning Maud Land (East Antarctica) were used here to reconstruct the coastal Antarctic environmental variability during the past similar to 470 years. Sea salt ion data indicate a significant additional contribution of chloride ions compared to sea water values, possibly through atmospheric scavenging. The nitrate (NO3-) profile exhibit significant temporal shifts than that of the sulphate (SO42-), with a major shift around 1750 AD. The changes in NO3- record are synchronous with the proxy record of solar activity (Be-10 profile from a South Pole ice core), suggesting enhanced NO3- values during periods of reduced solar activity like the Dalton Minimum (similar to 1790-1830 AD) and Maunder Minimum (similar to 1640-1710 AD). The delta O-18 records reveal that the more negative delta O-18 values were coeval with several events of increased NO3- concentrations, suggesting enhanced preservation of NO3- during periods of reduced air temperatures. The delta O-18 and delta D records of the core also suggest significant short-term and long-tem variability with more negative values indicating relatively lower air temperatures prior to 1715 AD. The delta O-18 records also revealed a significant warming of 2.7 degrees C for the past 470 years, with a warming of similar to 0.6 degrees C per century.</t>
  </si>
  <si>
    <t>[Thamban, Meloth; Laluraj, C. M.; Naik, Sushant S.] Natl Ctr Antarctic &amp; Ocean Res Headland Sada, Vasco Da Gama 403004, Goa, India; [Naik, Sushant S.] Natl Inst Oceanog, Panaji 403004, Goa, India; [Chaturvedi, Arun] Geol Survey India, Antarctica Div, NIT, Faridabad 121001, India</t>
  </si>
  <si>
    <t>Ministry of Earth Sciences (MoES) - India; National Centre for Polar and Ocean Research (NCPOR); Council of Scientific &amp; Industrial Research (CSIR) - India; CSIR - National Institute of Oceanography (NIO); Geological Survey India</t>
  </si>
  <si>
    <t>Thamban, M (corresponding author), Natl Ctr Antarctic &amp; Ocean Res Headland Sada, Vasco Da Gama 403004, Goa, India.</t>
  </si>
  <si>
    <t>meloth@ncaor.org</t>
  </si>
  <si>
    <t>Thamban, Meloth/0000-0003-3379-8189</t>
  </si>
  <si>
    <t>Ministry of Earth Sciences (New Delhi)</t>
  </si>
  <si>
    <t>We thank the Ministry of Earth Sciences (New Delhi) for the financial support and the Director, NCAOR, for the encouragement. We also acknowledge the laboratory support by B.L. Redkar and K. Mahalinganathan. This is NCAOR contribution no. 12/2011.</t>
  </si>
  <si>
    <t>10.1007/s12594-011-0063-y</t>
  </si>
  <si>
    <t>WOS:000295167800003</t>
  </si>
  <si>
    <t>Govil, P; Mazumder, A; Tiwari, A; Kumar, S</t>
  </si>
  <si>
    <t>Govil, Pawan; Mazumder, Abhijit; Tiwari, Anoop; Kumar, Sandeep</t>
  </si>
  <si>
    <t>Holocene Climate Variability from Lake Sediment Core in Larsemann Hills, Antarctica</t>
  </si>
  <si>
    <t>Climate; Sediment core; Holocene; Larsemann hills</t>
  </si>
  <si>
    <t>KING GEORGE ISLAND; BIOGENIC SILICA; EAST ANTARCTICA; VESTFOLD HILLS; ICE-SHEET; DEGLACIATION; HISTORY; DISSOLUTION</t>
  </si>
  <si>
    <t>A sediment core (L2) from Larsemann Hills, Antarctica was analyzed for Biogenic Silica (BSi), Sand (%) and Total Organic Carbon (TOC). The 78 cm core length represents the time span of similar to 8.3 cal ka BP. The values of BSi from the core show prominent high productivity from similar to 8.3 to similar to 6 cal ka BP in comparison to less productivity in mid-late Holocene (similar to 6 cal ka BP to recent). Moreover, high sand (%) infers the glacio-fluvial deposition from similar to 8.3 to similar to 5 cal ka BP TOC shows little variation through out the core, except in the upper similar to 10 cm (similar to 4 cal ka BP) part wherein it is comparatively high. The increased TOC in the upper part of the core possibly indicates presence of algal mat due to exposure of the lake to the ice free (glacier free) conditions.</t>
  </si>
  <si>
    <t>[Govil, Pawan; Mazumder, Abhijit; Tiwari, Anoop] Natl Ctr Antarctic &amp; Ocean Res, Vasco Da Gama 403804, Goa, India; [Kumar, Sandeep] Banaras Hindu Univ, Dept Geol, Varanasi 221005, Uttar Pradesh, India</t>
  </si>
  <si>
    <t>Ministry of Earth Sciences (MoES) - India; National Centre for Polar and Ocean Research (NCPOR); Banaras Hindu University (BHU)</t>
  </si>
  <si>
    <t>Govil, P (corresponding author), Natl Ctr Antarctic &amp; Ocean Res, Vasco Da Gama 403804, Goa, India.</t>
  </si>
  <si>
    <t>pawan@ncaor.org</t>
  </si>
  <si>
    <t>Kumar, Sandeep/IUQ-2320-2023; kumar, sandeep/GMX-3097-2022; KUMAR, SANDEEP/GZA-7182-2022; Kumar, Sandeep/AAG-6866-2021</t>
  </si>
  <si>
    <t>Kumar, Sandeep/0000-0002-0848-632X; KUMAR, SANDEEP/0000-0001-7142-0852; Mazumder, Abhijit/0000-0001-9944-5306</t>
  </si>
  <si>
    <t>10.1007/s12594-011-0064-x</t>
  </si>
  <si>
    <t>WOS:000295167800004</t>
  </si>
  <si>
    <t>Mohan, R; Shukla, SK; Patil, SM; Shetye, SS; Kerkar, KK</t>
  </si>
  <si>
    <t>Mohan, Rahul; Shukla, Sunil Kumar; Patil, Shramik M.; Shetye, Suhas S.; Kerkar, Karima K.</t>
  </si>
  <si>
    <t>Diatoms from Surface Sediments of Enderby Basin of Indian Sector of Southern Ocean</t>
  </si>
  <si>
    <t>Diatom; Surface Sediment; Distribution and abundance; Physico-chemical parameter; Enderby Basin; Indian Sector; Southern Ocean</t>
  </si>
  <si>
    <t>ANTARCTIC CIRCUMPOLAR CURRENT; WATER-COLUMN ASSEMBLAGES; LARGE-SCALE CIRCULATION; WEDDELL SEA; ICE-EDGE; ROSS SEA; ATLANTIC SECTOR; IRON; PHYTOPLANKTON; KERGUELEN</t>
  </si>
  <si>
    <t>Diatoms from surface sediment samples collected from Enderby Basin of Indian Sector of Southern Ocean were analyzed to determine the relative abundance and distribution of seven key indicator diatom species viz. Sea ice related species Fragilariopsis rhombica, F. separanda, F. curta, F. ritscheri, Thalassiosira tumida and Actinocyclus actinochilus and Open Ocean species F. kerguelensis on the basis of modern physico-chemical parameters. The relative abundances of different species observed viz. F. rhombica - 6.25%; F. separanda - 12.5%; F. curta - 10.53-13.33%; F. ritscheri - 4.55-12.5%; F. kerguelensis - 6.25-63.64%; T. tumida - 3.13% and A. actinochilus - 9.38-13.33%. The increasing abundance of F. kerguelensis consecutively suggests the effect of Antarctic bottom water in the study area which is further substantiated by the presence and increasing abundance of F. ritscheri. The gradual decrease in abundance or absence of sea ice related species from the sampled stations indicates the summer and winter sea ice extent concentration in the study area. The nutrient concentration correlates with the distribution and abundances of diatom species.</t>
  </si>
  <si>
    <t>[Mohan, Rahul; Shukla, Sunil Kumar; Patil, Shramik M.; Shetye, Suhas S.; Kerkar, Karima K.] Natl Ctr Antarctic &amp; Ocean Res, Vasco Da Gama 403804, Goa, India</t>
  </si>
  <si>
    <t>Ministry of Earth Sciences (MoES) - India; National Centre for Polar and Ocean Research (NCPOR)</t>
  </si>
  <si>
    <t>Mohan, R (corresponding author), Natl Ctr Antarctic &amp; Ocean Res, Vasco Da Gama 403804, Goa, India.</t>
  </si>
  <si>
    <t>rahulmohangupta@gmail.com</t>
  </si>
  <si>
    <t>Shukla, Sunil/GLR-0323-2022</t>
  </si>
  <si>
    <t>Shukla, Sunil/0000-0002-7517-5564; Patil, Shramik/0000-0001-8937-1403</t>
  </si>
  <si>
    <t>Ministry of Earth Sciences; NCAOR</t>
  </si>
  <si>
    <t>We are thankful to the Secretary, Ministry of Earth Sciences and the Director, NCAOR for providing help and support for this study. Thanks are also due to Dr. S.M. Pednekar, Chief Scientist, Southern Ocean Expedition, 2009 for his help and support in data collection. Captain, Crew and all members of Southern Ocean Expedition are thankfully acknowledged for their help. This is NCAOR Contribution No. 12/2011</t>
  </si>
  <si>
    <t>10.1007/s12594-011-0065-9</t>
  </si>
  <si>
    <t>WOS:000295167800005</t>
  </si>
  <si>
    <t>Hughes, T</t>
  </si>
  <si>
    <t>Hughes, T.</t>
  </si>
  <si>
    <t>A simple holistic hypothesis for the self-destruction of ice sheets</t>
  </si>
  <si>
    <t>QUATERNARY SCIENCE REVIEWS</t>
  </si>
  <si>
    <t>Ice sheets; Ice-sheet modeling; Ice bed; Ice streams</t>
  </si>
  <si>
    <t>LAKE-MICHIGAN LOBE; FORCE-PERTURBATION ANALYSIS; WEST ANTARCTICA; STREAM-B; BASAL MECHANICS; GLACIER SURGE; FLOW; SHELF; DEFORMATION; SEDIMENT</t>
  </si>
  <si>
    <t>Ice sheets are the only components of Earth's climate system that can self-destruct. This paper presents the quantitative force balance for bottom-up modeling of ice sheets, as first presented qualitatively in this journal as a way to quantify ice-bed uncoupling leading to self-destruction of ice sheets (Hughes, 2009a). Rapid changes in sea level and climate can result if a large ice-sheet self-destructs quickly, as did the former Laurentide Ice Sheet of North America between 8100 and 7900 BP, thereby terminating the last cycle of Quaternary glaciation. Ice streams discharge up to 90 percent of ice from past and present ice sheets. A hypothesis is presented in which self-destruction of an ice sheet begins when ubiquitous ice-bed decoupling, quantified as a floating fraction of ice, proceeds along ice streams. This causes ice streams to surge and reduce thickness by some 90 percent, and height above sea level by up to 99 percent for floating ice, so the ice sheet undergoes gravitational collapse. Ice collapsing over marine embayments becomes floating ice shelves that may then disintegrate rapidly. This floods the world ocean with icebergs that reduce the ocean-to-atmosphere heat exchange, thereby triggering climate change. Calving bays migrate up low stagnating ice streams and carve out the accumulation zone of the collapsed ice sheet, which prevents its recovery, decreases Earth's albedo, and terminates the glaciation cycle. This sequence of events may coincide with a proposed life cycle of ice streams that drain the ice sheet. A first-order treatment of these life cycles is presented that depends on the longitudinal force balance along the flowbands of ice streams and gives a first approximation to ice-bed uncoupling at snapshots during gravitational collapse into ice shelves that disintegrate, thereby removing the ice sheet. The stability of the Antarctic Ice Sheet is assessed using this bottom-up approach. (C) 2011 Elsevier Ltd. All rights reserved.</t>
  </si>
  <si>
    <t>Univ Maine, Dept Earth Sci, Climate Change Inst, Orono, ME 04469 USA</t>
  </si>
  <si>
    <t>University of Maine System; University of Maine Orono</t>
  </si>
  <si>
    <t>Hughes, T (corresponding author), Univ Maine, Dept Earth Sci, Climate Change Inst, Orono, ME 04469 USA.</t>
  </si>
  <si>
    <t>terry.hughes@maine.edu</t>
  </si>
  <si>
    <t>The Center for Remote Sensing of Ice Sheets (CReSIS), University of Kansas; NSF; NASA</t>
  </si>
  <si>
    <t>The Center for Remote Sensing of Ice Sheets (CReSIS), University of Kansas; NSF(National Science Foundation (NSF)); NASA(National Aeronautics &amp; Space Administration (NASA))</t>
  </si>
  <si>
    <t>This work was supported by The Center for Remote Sensing of Ice Sheets (CReSIS), University of Kansas, with funding by NSF and NASA. Peter Clark, John Jenson, and an anonymous referee provided valuable insights regarding the geometrical/graphical appraoch. Aitbala Sargent contributed to the Appendix. Beverly Hughes prepared the manuscript. My gratitude to all.</t>
  </si>
  <si>
    <t>0277-3791</t>
  </si>
  <si>
    <t>QUATERNARY SCI REV</t>
  </si>
  <si>
    <t>Quat. Sci. Rev.</t>
  </si>
  <si>
    <t>15-16</t>
  </si>
  <si>
    <t>10.1016/j.quascirev.2011.04.004</t>
  </si>
  <si>
    <t>801KD</t>
  </si>
  <si>
    <t>WOS:000293436700004</t>
  </si>
  <si>
    <t>Sabatier, Y; Azpilicueta, MM; Marchelli, P; González-Peñalba, M; Lozano, L; García, L; Martinez, A; Gallo, LA; Umaña, F; Bran, D; Pastorino, MJ</t>
  </si>
  <si>
    <t>Sabatier, Yamila; Marta Azpilicueta, Maria; Marchelli, Paula; Gonzalez-Penalba, Marcelo; Lozano, Liliana; Garcia, Leandro; Martinez, Abel; Gallo, Leonardo A.; Umana, Fernando; Bran, Donaldo; Pastorino, Mario J.</t>
  </si>
  <si>
    <t>Natural distribution of Nothofagus alpina and Nothofagus obliqua (Nothofagaceae) in Argentina, two productively important tree species of the North Patagonian temperate forests</t>
  </si>
  <si>
    <t>BOLETIN DE LA SOCIEDAD ARGENTINA DE BOTANICA</t>
  </si>
  <si>
    <t>Spanish</t>
  </si>
  <si>
    <t>Rauli; Roble Pellin; distribution maps; conservation; Sub-Antarctic Forest</t>
  </si>
  <si>
    <t>HYBRIDIZATION</t>
  </si>
  <si>
    <t>Natural distribution of Nothofagus alpine and Nothofagus oblique (Nothofagaceae) in Argentina, two productively important tree species of the North Patagonian temperate forests. Knowing the natural range of any species is essential to plan its conservation or use. The South-American beeches Rauli [Nothofagus alpine (Poepp. &amp; Endl.) Oerst. = Nothofagus nervosa (Phil.) Dim. et Mil.] and Roble Pellin [Nothofagus oblique (Mirb.) Oerst. ssp. oblique] are two important forest tree species of the North Patagonian forests, and the object of a current domestication program. Natural distribution of both beeches in Argentina was mapped based on digital information of previous works which was verified by local qualified informants, ground control check and visual interpretation of images freely provided by Google Earth. Rauli is present over a surface of 79,636 ha, while 33,859 ha are occupied by forests with the presence of Roble Pellin. 97 % of the Rauli and 83 % of the Roble Pellin surfaces are under the protection of the National Park Administration. However, many forests of particular conservation relevance are under the Neuquen Province jurisdiction, what should be considered when planning a conservation strategy for both species.</t>
  </si>
  <si>
    <t>[Marta Azpilicueta, Maria; Marchelli, Paula; Martinez, Abel; Gallo, Leonardo A.; Pastorino, Mario J.] INTA EEA Bariloche, Unidad Genet Ecol &amp; Mejoramiento Forestal, RA-8400 San Carlos De Bariloche, Argentina; [Sabatier, Yamila; Umana, Fernando; Bran, Donaldo] INTA EEA Bariloche, Lab Teledetecc SIG, RA-8400 San Carlos De Bariloche, Argentina; [Gonzalez-Penalba, Marcelo; Lozano, Liliana; Garcia, Leandro] Parque Nacl Lanin, Area Forestal Tecn, Dept Conservac &amp; Manejo, Havana, Cuba</t>
  </si>
  <si>
    <t>Instituto Nacional de Tecnologia Agropecuaria (INTA); Instituto Nacional de Tecnologia Agropecuaria (INTA)</t>
  </si>
  <si>
    <t>Pastorino, MJ (corresponding author), INTA EEA Bariloche, Unidad Genet Ecol &amp; Mejoramiento Forestal, CC 277, RA-8400 San Carlos De Bariloche, Argentina.</t>
  </si>
  <si>
    <t>mpastorino@bariloche.inta.gov.ar</t>
  </si>
  <si>
    <t>Pastorino, Mario Juan/AAI-9725-2020; Marchelli, Paula/T-3533-2019</t>
  </si>
  <si>
    <t>Pastorino, Mario Juan/0000-0003-0120-7727; Marchelli, Paula/0000-0002-6949-0656; bran, donaldo/0000-0001-7749-2726</t>
  </si>
  <si>
    <t>SOC ARGENTINA BOTANICA</t>
  </si>
  <si>
    <t>CORDOBA</t>
  </si>
  <si>
    <t>INST MULTIDISCIPLINARIO BIOLOGIA VEGETAL, CASILLA DE CORREO 495, CORDOBA, 5000, ARGENTINA</t>
  </si>
  <si>
    <t>1851-2372</t>
  </si>
  <si>
    <t>B SOC ARGENT BOT</t>
  </si>
  <si>
    <t>Bol. Soc. Argent. Bot.</t>
  </si>
  <si>
    <t>Plant Sciences</t>
  </si>
  <si>
    <t>805WY</t>
  </si>
  <si>
    <t>WOS:000293763000010</t>
  </si>
  <si>
    <t>Srinivas, TNR; Kumar, PA; Madhu, S; Sunil, B; Sharma, TVRS; Shivaji, S</t>
  </si>
  <si>
    <t>Srinivas, T. N. R.; Kumar, P. Anil; Madhu, S.; Sunil, B.; Sharma, T. V. R. S.; Shivaji, S.</t>
  </si>
  <si>
    <t>Cesiribacter andamanensis gen. nov., sp nov., isolated from a soil sample from a mud volcano</t>
  </si>
  <si>
    <t>1969 LEADBETTER 1974; COMB. NOV; GLIDING BACTERIUM; NOM. REV.; RECLASSIFICATION; MEMBER; IDENTIFICATION; SEQUENCES; SEDIMENT; TOOL</t>
  </si>
  <si>
    <t>A novel Gram-staining-negative, rod-shaped, non-motile bacterium, strain AMV16(T), was isolated from a soil sample collected from a mud volcano located in the Andaman Islands, India. The cell suspension was pale orange. Cells of strain AMV16(T) were positive for catalase, oxidase, lipase, ornithine decarboxylase and lysine decarboxylase and negative for gelatinase and urease. The fatty acids present were anteiso-C(11:0) (5.4%), anteiso-C(12:0) (4.1%), C(12:0) (7.0%), iso-C(15:0) (14.4%), anteiso-C(15:0) (3.4%), anteiso-C(16:0) (3.0%), C(16:0) (2.6%), anteiso-C(17:0) (3.7%), iso-C(19:0) (9.7%), C(13:1) (13.8%), iso-C(15:1) G (15.9%), iso-C(16:1) G (11.1%) and summed feature 5 (anteiso-C(18:0) and/or C(18:2)omega 6,9c; 5.9%). Strain AMV16(T) contained MK-4 as the major respiratory quinone and diphosphatidylglycerol and phosphatidylethanolamine made up the phospholipids. The G+C content of DNA of strain AMV16(T) was 50.9 mol%. BLAST sequence similarity searches based on the 16S rRNA gene sequence indicated that species of the genus Marivirga were the nearest phylogenetic neighbours, with pairwise sequence similarity ranging from 89.9 to 90.0%. Phylogenetic analyses indicated that strain AMV16(T) clustered with the type strains of Marivirga tractuosa and Marivirga sericea at a phylogenetic distance of 14.6% (85.4% similarity), distinct from clades representing other genera of the family 'Flammeovirgaceae'. Based on the above-mentioned phenotypic and phylogenetic characteristics, strain AMV16(T) is proposed as a representative of a new genus and novel species, Cesiribacter andamanensis gen. nov., sp. nov. The type strain of Cesiribacter andamanensis is AMV16(T) (=DSM 22818(T) =CCUG 58431(T)).</t>
  </si>
  <si>
    <t>[Srinivas, T. N. R.; Kumar, P. Anil; Madhu, S.; Sunil, B.; Shivaji, S.] Ctr Cellular &amp; Mol Biol, Hyderabad 500007, Andhra Pradesh, India; [Sharma, T. V. R. S.] Cent Agr Res Inst, Port Blair 744101, Andaman &amp; Nicob, India</t>
  </si>
  <si>
    <t>Council of Scientific &amp; Industrial Research (CSIR) - India; CSIR - Centre for Cellular &amp; Molecular Biology (CCMB); Indian Council of Agricultural Research (ICAR); ICAR - Central Island Agricultural Research Institute</t>
  </si>
  <si>
    <t>Shivaji, S (corresponding author), Ctr Cellular &amp; Mol Biol, Uppal Rd, Hyderabad 500007, Andhra Pradesh, India.</t>
  </si>
  <si>
    <t>shivas@ccmb.res.in</t>
  </si>
  <si>
    <t>Pinnaka, Anil Kumar/G-5063-2011; TANUKU, SRINIVAS N R/F-1029-2013</t>
  </si>
  <si>
    <t>shivaji, sisinthy/0000-0003-0376-4658</t>
  </si>
  <si>
    <t>National Centre for Antarctic and Ocean Research, Goa; Department of Biotechnology, New Delhi; CSIR; CSIR, Government of India</t>
  </si>
  <si>
    <t>National Centre for Antarctic and Ocean Research, Goa; Department of Biotechnology, New Delhi(Department of Biotechnology (DBT) India); CSIR(Council of Scientific &amp; Industrial Research (CSIR) - India); CSIR, Government of India(Council of Scientific &amp; Industrial Research (CSIR) - India)</t>
  </si>
  <si>
    <t>S. S. is thankful to the National Centre for Antarctic and Ocean Research, Goa, the Department of Biotechnology, New Delhi, and the CSIR Network Project on Biodiversity for funding. T. N. R. S. acknowledges the CSIR, Government of India, for the award of a Research Associateship.</t>
  </si>
  <si>
    <t>10.1099/ijs.0.025429-0</t>
  </si>
  <si>
    <t>800NF</t>
  </si>
  <si>
    <t>WOS:000293366900005</t>
  </si>
  <si>
    <t>Millan, RM</t>
  </si>
  <si>
    <t>Millan, R. M.</t>
  </si>
  <si>
    <t>BARREL Team</t>
  </si>
  <si>
    <t>Understanding relativistic electron losses with BARREL</t>
  </si>
  <si>
    <t>Radiation belts; Inner magnetosphere; Relativistic electrons; Precipitation; Wave-particle interactions</t>
  </si>
  <si>
    <t>OUTER RADIATION BELT; PITCH-ANGLE SCATTERING; X-RAYS; ENERGETIC ELECTRONS; PRECIPITATION; ACCELERATION; MICROBURSTS; DIFFUSION; TRANSPORT; TIME</t>
  </si>
  <si>
    <t>The primary scientific objective of the Balloon Array for RBSP Relativistic Electron Losses (BARREL) is to understand the processes responsible for scattering relativistic electrons into Earth's atmosphere. BARREL is the first Living with a Star Geospace Mission of Opportunity, and will consist of two Antarctic balloon campaigns conducted in the 2012 and 2013 Austral summer seasons. During each campaign, a total of 20 small (similar to 20 kg) balloon payloads will be launched, providing multi-point measurements of electron precipitation in conjunction with in situ measurements from the two RBSP spacecraft, scheduled to launch in May 2012. In this paper we outline the scientific objectives of BARREL, highlighting a few key science questions that will be addressed by BARREL in concert with other ILWS missions in order to understand loss processes in the radiation belts. A summary of observations from the 2008/2009 BARREL test flight is also presented. Electron precipitation was observed during a geomagnetic storm on February 14-18, 2009. This storm, though relatively weak (Dst=-36 nT), was remarkably effective in increasing the trapped electron population. (C) 2011 Elsevier Ltd. All rights reserved.</t>
  </si>
  <si>
    <t>[Millan, R. M.; BARREL Team] Dartmouth Coll, Dept Phys &amp; Astron, Hanover, NH 03755 USA</t>
  </si>
  <si>
    <t>Dartmouth College</t>
  </si>
  <si>
    <t>Millan, RM (corresponding author), Dartmouth Coll, Dept Phys &amp; Astron, Hanover, NH 03755 USA.</t>
  </si>
  <si>
    <t>Robyn.Millan@dartmouth.edu</t>
  </si>
  <si>
    <t>Collier, Andrew B/H-3752-2011</t>
  </si>
  <si>
    <t>NMSU/PSL Columbia Scientific Balloon Facility; NSF Office of Polar Programs; NASA [NNX08AM58G, NAS5-02099]; NSF [ATM-0457561]; South African National Antarctic Program; Churchill Northern Studies Center; German Ministry for Economy and Technology and the German Center for Aviation and Space (DLR) [50 OC 0302]</t>
  </si>
  <si>
    <t>NMSU/PSL Columbia Scientific Balloon Facility; NSF Office of Polar Programs(National Science Foundation (NSF)); NASA(National Aeronautics &amp; Space Administration (NASA)); NSF(National Science Foundation (NSF)); South African National Antarctic Program; Churchill Northern Studies Center; German Ministry for Economy and Technology and the German Center for Aviation and Space (DLR)(Helmholtz AssociationGerman Aerospace Centre (DLR))</t>
  </si>
  <si>
    <t>The BARREL team includes Co-I's Michael McCarthy at UW, David Smith at UCSC, Robert Lin at Berkeley, and Mary Hudson at Dartmouth. Associated scientists and students on the BARREL team are John Sample at Berkeley; Leslie Woodger, Jessica Hewitt, Karl Yando, Brett Anderson, Nicholas Knezek, and Julianna Scheiman at Dartmouth; Amanda Baker at UW; and Max Comess, Andrew Liang, and Warren Rexroad at UCSC. International Co-I's are Mark Clilverd from BAS, Andrew Collier of University of KwaZulu Natal in South Africa, and Mikhail Panasyuk of Skobeltsyn Institute at Moscow State University. Engineering and management support is provided by David McGaw at Dartmouth and Linda Thompson from Wallops Flight Facility. BARREL is managed by the NASA Balloon Program Office and support was provided by the NMSU/PSL Columbia Scientific Balloon Facility. The NSF Office of Polar Programs provided support for the BARREL test campaigns in 2008, 2009, and 2010 and will work with BAS and SANAP to coordinate the BARREL science campaigns. This work is supported by NASA grant NNX08AM58G and NSF ATM-0457561 at Dartmouth. BARREL is based on the MINIS balloon project which was supported by the National Science Foundation, the South African National Antarctic Program, and the Churchill Northern Studies Center. We acknowledge NASA contract NAS5-02099 and V. Angelopoulos for use of data from the THEMIS mission. Specifically, D. Larson and R.P. Lin for use of the SST data, C.W. Carlson and J.P. McFadden for use of the ESA data, K.H. Glassmeier, U. Auster and W. Baumjohann for the use of the FGM data provided under the lead of Technical University of Braunschweig and with financial support through the German Ministry for Economy and Technology and the German Center for Aviation and Space (DLR) under contract 50 OC 0302. We would also like to thank L. Kepko for his helpful suggestions.</t>
  </si>
  <si>
    <t>1879-1824</t>
  </si>
  <si>
    <t>11-12</t>
  </si>
  <si>
    <t>10.1016/j.jastp.2011.01.006</t>
  </si>
  <si>
    <t>809YV</t>
  </si>
  <si>
    <t>WOS:000294093500018</t>
  </si>
  <si>
    <t>Mazdygan, ER; Chavtur, VG</t>
  </si>
  <si>
    <t>Mazdygan, E. R.; Chavtur, V. G.</t>
  </si>
  <si>
    <t>The Composition and Distribution of Pelagic Ostracods (Ostracoda: Myodocopa) in Antarctic Waters Adjacent to the d'Urville Sea</t>
  </si>
  <si>
    <t>RUSSIAN JOURNAL OF MARINE BIOLOGY</t>
  </si>
  <si>
    <t>Ostracoda; Halocyprididae; Cypridinidae; latitudinal and vertical distribution; d'Urville Sea; Antarctic</t>
  </si>
  <si>
    <t>The faunistic composition of pelagic ostracods of regions situated to the north and northwest of the d'Urville Sea (60 degrees-65 degrees S, 148 degrees-136 degrees and 136 degrees-113 degrees E) is largely similar to that of the area adjacent to the Somov Sea at the same latitudes. Alacia hettacra is the most abundant species here; Austrinoecia isocheira, Boroecia antipoda, and Obtusoecia antarctica are common species. The maximum abundance of pelagic ostracods is observed in the 100-200 m depth range; the largest contribution to it is contributed by A. hettacra. The number of species increases with increasing depth. The 64 degrees-65 degrees S region between 148 and 113 E is regarded as the northern boundary of the Polar Antarctic zone.</t>
  </si>
  <si>
    <t>[Mazdygan, E. R.; Chavtur, V. G.] Russian Acad Sci, Far E Branch, Inst Marine Biol, Vladivostok 690041, Russia; [Chavtur, V. G.] Far Eastern Fed Univ, Vladivostok 690050, Russia; [Chavtur, V. G.] Far Eastern State Tech Univ Fisheries, Vladivostok 690087, Russia</t>
  </si>
  <si>
    <t>Russian Academy of Sciences; National Scientific Center of Marine Biology, Far East Branch of the Russian Academy of Sciences; Far Eastern Federal University</t>
  </si>
  <si>
    <t>Mazdygan, ER (corresponding author), Russian Acad Sci, Far E Branch, Inst Marine Biol, Vladivostok 690041, Russia.</t>
  </si>
  <si>
    <t>vchavtur@gmail.com</t>
  </si>
  <si>
    <t>Chavtur, Vladimir Grigoryevich/AAG-2457-2019</t>
  </si>
  <si>
    <t>1063-0740</t>
  </si>
  <si>
    <t>1608-3377</t>
  </si>
  <si>
    <t>RUSS J MAR BIOL+</t>
  </si>
  <si>
    <t>Russ. J. Mar. Biol.</t>
  </si>
  <si>
    <t>10.1134/S1063074011040092</t>
  </si>
  <si>
    <t>809OO</t>
  </si>
  <si>
    <t>WOS:000294066800003</t>
  </si>
  <si>
    <t>Collins, KT; McGreevy, PD; Wheatley, KE; Harcourt, RG</t>
  </si>
  <si>
    <t>Collins, Kym T.; McGreevy, Paul D.; Wheatley, Kathryn E.; Harcourt, Robert G.</t>
  </si>
  <si>
    <t>The influence of behavioural context on Weddell seal (Leptonychotes weddellii) airborne mother-pup vocalisation</t>
  </si>
  <si>
    <t>BEHAVIOURAL PROCESSES</t>
  </si>
  <si>
    <t>Mother-offspring communication; Vocalisation; Acoustic characteristics; Arousal</t>
  </si>
  <si>
    <t>PARENT-OFFSPRING CONFLICT; SHREWS TUPAIA-BELANGERI; DISTURBANCE CALLS; ACOUSTIC FEATURES; MCMURDO SOUND; AROUSAL; NEED; ANTARCTICA; PINNIPEDIA; REUNIONS</t>
  </si>
  <si>
    <t>Previous mammalian studies have demonstrated that varying levels of signaller arousal are frequently expressed through vocal behaviour. The potential for callers to convey their motivational state may ensure that recipient responses are appropriate to their needs. The current study investigated the influence of behavioural context on Weddell seal mother-pup vocalisation. Mother and pup call rates were calculated within five and seven behavioural contexts, respectively, and the acoustic characteristics of 69 pup calls were measured within four contexts (total calls = 276). Context significantly influenced the temporal patterning of calls, with reuniting mothers and pups and lone active pups emitting more calls than during mother-pup contact periods. Reuniting and lone pup calls were also characterised by longer durations, higher fundamental frequencies, and increased energy in upper harmonics. Results suggest that reunion events and lone pup searching are characterised by calls reflective of heightened arousal, compared with mother-pup contact periods. (C) 2011 Elsevier B.V. All rights reserved.</t>
  </si>
  <si>
    <t>[Collins, Kym T.; McGreevy, Paul D.] Univ Sydney, Fac Vet Sci B19, Sydney, NSW 2006, Australia; [Wheatley, Kathryn E.] Univ Tasmania, Inst Marine &amp; Antarctic Studies, Marine Predator Unit, Hobart, Tas 7001, Australia; [Wheatley, Kathryn E.] Deakin Univ, Sch Life &amp; Environm Sci, Melbourne, Vic 3125, Australia; [Harcourt, Robert G.] Macquarie Univ, Marine Mammal Res Grp, Grad Sch Environm, N Ryde, NSW 2109, Australia</t>
  </si>
  <si>
    <t>University of Sydney; University of Tasmania; Deakin University; Macquarie University</t>
  </si>
  <si>
    <t>Collins, KT (corresponding author), Univ Sydney, Fac Vet Sci B19, Sydney, NSW 2006, Australia.</t>
  </si>
  <si>
    <t>kym_collins77@hotmail.com</t>
  </si>
  <si>
    <t>Harcourt, Robert/0000-0003-4666-2934; McGreevy, Paul/0000-0001-7220-8378</t>
  </si>
  <si>
    <t>Antarctica New Zealand; Seaworld Research and Rescue Foundation; Australian Research Council; Macquarie University; Aurora Expeditions; University of Sydney; PADI Aware Foundation; Ecological Society of Australia; Linnean Society of NSW; Sony Australia; TDK Australia; University of Otago</t>
  </si>
  <si>
    <t>Antarctica New Zealand; Seaworld Research and Rescue Foundation; Australian Research Council(Australian Research Council); Macquarie University; Aurora Expeditions; University of Sydney(University of Sydney); PADI Aware Foundation; Ecological Society of Australia; Linnean Society of NSW; Sony Australia; TDK Australia; University of Otago</t>
  </si>
  <si>
    <t>We thank Antarctica New Zealand, Seaworld Research and Rescue Foundation, Australian Research Council, Macquarie University, Aurora Expeditions, University of Sydney, PADI Aware Foundation, Ecological Society of Australia, Linnean Society of NSW, Sony Australia, and TDK Australia for providing logistical and financial support. The research was conducted under the auspices of Dr. Lloyd Davis, University of Otago with support from Ailsa Hall, Corey Bradshaw, Mark Hindell, Paul Brewin, Peter Isherwood, Sharon Mackie, Anna Harrison and volunteers from Scott Base. We also thank Tracey Rogers for the use of Australian Marine Mammal Research Centre equipment, Sophie Hall-Aspland and Brett Hill for help with equipment design, Dr. Peter Thomson for statistical assistance, Joy Tripovich for the helpful discussion of ideas, and John Terhune for his constructive manuscript comments.</t>
  </si>
  <si>
    <t>0376-6357</t>
  </si>
  <si>
    <t>BEHAV PROCESS</t>
  </si>
  <si>
    <t>Behav. Processes</t>
  </si>
  <si>
    <t>10.1016/j.beproc.2011.06.005</t>
  </si>
  <si>
    <t>Psychology, Biological; Behavioral Sciences; Zoology</t>
  </si>
  <si>
    <t>Psychology; Behavioral Sciences; Zoology</t>
  </si>
  <si>
    <t>807ZJ</t>
  </si>
  <si>
    <t>WOS:000293941300007</t>
  </si>
  <si>
    <t>Badyukov, DD; Ivanov, AV; Raitala, J; Khisina, NR</t>
  </si>
  <si>
    <t>Badyukov, D. D.; Ivanov, A. V.; Raitala, J.; Khisina, N. R.</t>
  </si>
  <si>
    <t>Spherules from the Tunguska Event Site: Could They Originate from the Tunguska Cosmic Body?</t>
  </si>
  <si>
    <t>GEOCHEMISTRY INTERNATIONAL</t>
  </si>
  <si>
    <t>micrometeorites; cosmic spherules; Tunguska cosmic body</t>
  </si>
  <si>
    <t>EXPLOSION SITE; ACCRETION RATE; ANTARCTIC ICE; MICROMETEORITES; DUST; COLLECTION; ABUNDANCES; ATMOSPHERE; PEAT; CAP</t>
  </si>
  <si>
    <t>Soil layers at the Tunguska event site may have accumulated infalling extraterrestrial matter derived from the Tunguska Cosmic Body (TCB). Using mineralogical, textural, and chemical criteria, a set of metal and silicate spherules of probably cosmic origin was identified in the collection of spherules and rounded particles recovered from sites with high concentrations of magnetic spherules on a terrace above the floodplain of the Chunya River. The metal spherules consist of Ni(Cr)-bearing wistite and magnetite with Ni-rich metal inclusions. The silicate spherules are glassy, cryptocrystalline, barred, and porphyritic melted micrometeorites, some of which contain metal droplets. The number of spherules counted in our samples is higher than the background level, indicating the possible presence of the TCB material.</t>
  </si>
  <si>
    <t>[Badyukov, D. D.; Ivanov, A. V.; Khisina, N. R.] Russian Acad Sci, Vernadsky Inst Geochem &amp; Analyt Chem, Moscow 119991, Russia; [Raitala, J.] Univ Oulu, Dept Phys Sci, Oulu, Finland</t>
  </si>
  <si>
    <t>Russian Academy of Sciences; Vernadsky Institute of Geochemistry &amp; Analytical Chemistry; University of Oulu</t>
  </si>
  <si>
    <t>Badyukov, DD (corresponding author), Russian Acad Sci, Vernadsky Inst Geochem &amp; Analyt Chem, Ul Kosygina 19, Moscow 119991, Russia.</t>
  </si>
  <si>
    <t>badyukov@geokhi.ru</t>
  </si>
  <si>
    <t>Badyukov, Dmitry/AAN-7296-2020</t>
  </si>
  <si>
    <t>Russian Foundation for Basic Research [09-05-00444a]; Earth Sciences Division, Russian Academy of Sciences [ONZ-5]</t>
  </si>
  <si>
    <t>Russian Foundation for Basic Research(Russian Foundation for Basic Research (RFBR)Spanish Government); Earth Sciences Division, Russian Academy of Sciences(Russian Academy of Sciences)</t>
  </si>
  <si>
    <t>This study was supported by the Russian Foundation for Basic Research (project no. 09-05-00444a) and Program ONZ-5 of the Earth Sciences Division, Russian Academy of Sciences.</t>
  </si>
  <si>
    <t>0016-7029</t>
  </si>
  <si>
    <t>GEOCHEM INT+</t>
  </si>
  <si>
    <t>Geochem. Int.</t>
  </si>
  <si>
    <t>10.1134/S0016702911070032</t>
  </si>
  <si>
    <t>802HZ</t>
  </si>
  <si>
    <t>WOS:000293501400001</t>
  </si>
  <si>
    <t>Zhang, Y; Xiong, JG; Wan, WX</t>
  </si>
  <si>
    <t>Zhang Yun; Xiong Jian-Gang; Wan Wei-Xing</t>
  </si>
  <si>
    <t>Analysis on the global morphology of middle atmospheric gravity waves</t>
  </si>
  <si>
    <t>Gravity wave; Middle atmosphere; SABER/TIMED; Temperature perturbation</t>
  </si>
  <si>
    <t>OCCULTATION DATA; STRATOSPHERE; VARIANCE</t>
  </si>
  <si>
    <t>Using the temperature profiles obtained by the SABER/TIMED experiment from January 2002 to December 2009, we have extracted mesoscale temperature perturbations with vertical wavelengths ranging from 2 to 10 km. Global distribution of middle atmospheric gravity wave activity is revealed by observing the temperature perturbations. Gravity wave fluctuations in summer and winter are stronger than those in spring and autumn. Comparing with the values in winter, the disturbances' intensity in summer is weaker below 70 km, but it becomes stronger above 70 km. The larger gravity waves appear in winter hemisphere and in the tropics between 25 degrees N and 25 degrees S. Meanwhile, the perturbation peak points in the tropics move northward as the altitudes become larger. Furthermore, the wave is slightly larger at the edge of the Antarctic polar vortex. They also appear to vary with longitude at tropical latitudes, which may be resulted from wind filtering, topography, planetary wave modulations and other factors together. Moreover, gravity wave disturbance intensity changes with height. It indicates a decrease at 25 similar to 30 km and an increase above 42 km. Comparing the average distribution of gravity waves of eight years at different heights, we can see that the strength of gravity waves is related to topography obviously at lower altitudes, but the relationship is not significant at higher altitudes. It indicates that the formation of gravity waves is closely correlated with topography, but in the process of propagation the distribution of gravity waves significantly changes with altitudes.</t>
  </si>
  <si>
    <t>[Zhang Yun; Xiong Jian-Gang; Wan Wei-Xing] Chinese Acad Sci, Inst Geol &amp; Geophys, Beijing 100029, Peoples R China; [Zhang Yun] Chinese Acad Sci, Grad Univ, Beijing 100049, Peoples R China</t>
  </si>
  <si>
    <t>Chinese Academy of Sciences; Institute of Geology &amp; Geophysics, CAS; Chinese Academy of Sciences; University of Chinese Academy of Sciences, CAS</t>
  </si>
  <si>
    <t>Zhang, Y (corresponding author), Chinese Acad Sci, Inst Geol &amp; Geophys, Beijing 100029, Peoples R China.</t>
  </si>
  <si>
    <t>zhangyun@mail.iggcas.ac.cn</t>
  </si>
  <si>
    <t>10.3969/j.issn.0001-5733.2011.07.003</t>
  </si>
  <si>
    <t>800NE</t>
  </si>
  <si>
    <t>WOS:000293366800003</t>
  </si>
  <si>
    <t>Arenz, BE; Held, BW; Jurgens, JA; Blanchette, RA</t>
  </si>
  <si>
    <t>Arenz, Brett E.; Held, Benjamin W.; Jurgens, Joel A.; Blanchette, Robert A.</t>
  </si>
  <si>
    <t>Fungal colonization of exotic substrates in Antarctica</t>
  </si>
  <si>
    <t>FUNGAL DIVERSITY</t>
  </si>
  <si>
    <t>Antarctica; Fungi; Wood; Exotic; Human-influence; Substrates; Soil</t>
  </si>
  <si>
    <t>HISTORIC EXPEDITION HUTS; ROSS ISLAND; SP-NOV; SOILS; DIVERSITY; WOOD; BIODIVERSITY; SURVIVAL; GRADIENT; YEAST</t>
  </si>
  <si>
    <t>Throughout the history of polar exploration and up to recent times, wood and other exotic materials have been brought to the Antarctic continent and left there. While the possible transportation of exotic fungal species on these materials is sometimes considered, the effects of these exotic substrates on indigenous fungal communities have not been previously evaluated. This study reports results from seven plots where organic materials were used in baiting studies to determine the fungal diversity present in soils. Four plots were on islands in the Palmer Archipelago on the Antarctic Peninsula and three at Ross Island, Antarctica. Samples of sterile wood and cellulose with and without nutrients added were buried in soil and left for either two or four years before being removed and evaluated for fungal colonization. There was a significant increase in fungal colony-forming units (CFU) from soil in direct contact with introduced, sterile wood and cellulose substrates compared to background soil levels. The type of substrate, 2 or 4 year incubation period in the field, or nutrient addition did not have a significant effect on culturable densities in soil. Fungal abundance on soil adhering to substrates was found to be similar to that found in non-polar soils indicating that lack of organic material may be the most significant limiting factor affecting densities of Antarctic fungal populations. Based on a high degree of colonization, these exotic substrates appear to have a significant effect on indigenous soil fungal abundance.</t>
  </si>
  <si>
    <t>[Arenz, Brett E.; Held, Benjamin W.; Jurgens, Joel A.; Blanchette, Robert A.] Univ Minnesota, Dept Plant Pathol, St Paul, MN 55108 USA</t>
  </si>
  <si>
    <t>University of Minnesota System; University of Minnesota Twin Cities</t>
  </si>
  <si>
    <t>Arenz, BE (corresponding author), Univ Minnesota, Dept Plant Pathol, 495 Borlaug Hall,1991 Upper Buford Circle, St Paul, MN 55108 USA.</t>
  </si>
  <si>
    <t>aren0058@umn.edu</t>
  </si>
  <si>
    <t>Blanchette, Robert A./0000-0003-2819-6511</t>
  </si>
  <si>
    <t>National Science Foundation [0537143]; Division Of Polar Programs; Directorate For Geosciences [0537143] Funding Source: National Science Foundation</t>
  </si>
  <si>
    <t>National Science Foundation(National Science Foundation (NSF)); Division Of Polar Programs; Directorate For Geosciences(National Science Foundation (NSF)NSF - Directorate for Geosciences (GEO))</t>
  </si>
  <si>
    <t>We thank Roberta Farrell and Shona Duncan of the University of Waikato and Stephen Pointing and Maggie Lau of the University of Hong Kong and Andrew Graves of the University of Minnesota for assistance with plot setup and sample retrieval. We also thank Melissa Rider and the crew of the R/V Lawrence M. Gould for facilitating travel to sites on the Antarctic Peninsula. We thank the support personnel of Scott Base and McMurdo Station for their assistance. Thanks also to Mark Holland of the University of Minnesota for assistance with statistical analysis. This research is based upon work supported by the National Science Foundation Grant No. 0537143.</t>
  </si>
  <si>
    <t>1560-2745</t>
  </si>
  <si>
    <t>FUNGAL DIVERS</t>
  </si>
  <si>
    <t>Fungal Divers.</t>
  </si>
  <si>
    <t>10.1007/s13225-010-0079-4</t>
  </si>
  <si>
    <t>Mycology</t>
  </si>
  <si>
    <t>798EZ</t>
  </si>
  <si>
    <t>WOS:000293186700002</t>
  </si>
  <si>
    <t>Englert, P; Bishop, JL; Hunkins, LD; Koeberl, C</t>
  </si>
  <si>
    <t>Englert, P.; Bishop, J. L.; Hunkins, L. D.; Koeberl, C.</t>
  </si>
  <si>
    <t>MARTIAN SOIL ANALOGS FROM ANTARCTIC DRY VALLEYS: ELEMENTAL ABUNDANCES AND MINERALOGY SIGNAL WEATHERING PROCESSES</t>
  </si>
  <si>
    <t>74th Annual Meeting of the Meteoritical-Society</t>
  </si>
  <si>
    <t>AUG 08-12, 2011</t>
  </si>
  <si>
    <t>London, ENGLAND</t>
  </si>
  <si>
    <t>GEOCHEMICAL ANALYSES; MARS; SPECTROSCOPY; REFLECTANCE; SEDIMENTS</t>
  </si>
  <si>
    <t>[Englert, P.] Univ Hawaii, Manoa, HI USA; [Bishop, J. L.; Hunkins, L. D.] SETI Inst, Mountain View, CA USA; [Bishop, J. L.; Hunkins, L. D.] NASA, Ames Res Ctr, Moffett Field, CA 94035 USA; [Hunkins, L. D.] Univ S Florida, Tampa, FL 33620 USA; [Koeberl, C.] Nat Hist Museum, Vienna, Austria; [Koeberl, C.] Univ Vienna, Dept Lithospher Res, Vienna, Austria</t>
  </si>
  <si>
    <t>University of Hawaii System; University of Hawaii Manoa; National Aeronautics &amp; Space Administration (NASA); NASA Ames Research Center; State University System of Florida; University of South Florida; University of Vienna</t>
  </si>
  <si>
    <t>penglert@hawaii.edu</t>
  </si>
  <si>
    <t>WILEY-BLACKWELL</t>
  </si>
  <si>
    <t>A64</t>
  </si>
  <si>
    <t>Science Citation Index Expanded (SCI-EXPANDED); Conference Proceedings Citation Index - Science (CPCI-S)</t>
  </si>
  <si>
    <t>797AN</t>
  </si>
  <si>
    <t>WOS:000293094700125</t>
  </si>
  <si>
    <t>Kaiden, H; Goderis, S; Debaille, V; Kojima, H; Claeys, P</t>
  </si>
  <si>
    <t>Kaiden, H.; Goderis, S.; Debaille, V.; Kojima, H.; Claeys, Ph</t>
  </si>
  <si>
    <t>JOINT BELGIUM-JAPAN SEARCH FOR ANTARCTIC METEORITES IN THE 2010-2011 FIELD SEASON</t>
  </si>
  <si>
    <t>[Kaiden, H.; Kojima, H.] Natl Inst Polar Res, Tokyo 1908518, Japan; [Kaiden, H.; Kojima, H.] Grad Univ Adv Studies, Tokyo 1908518, Japan; [Goderis, S.; Claeys, Ph] Vrije Univ Brussel, B-1050 Brussels, Belgium; [Debaille, V.] Univ Libre Bruxelles, B-1050 Brussels, Belgium</t>
  </si>
  <si>
    <t>Research Organization of Information &amp; Systems (ROIS); National Institute of Polar Research (NIPR) - Japan; Graduate University for Advanced Studies - Japan; Vrije Universiteit Brussel; Universite Libre de Bruxelles</t>
  </si>
  <si>
    <t>kaiden@nipr.ac.jp</t>
  </si>
  <si>
    <t>Goderis, Steven/F-9908-2011; (VUB), VRIJE UNIVERSITEIT BRUSSEL/B-4895-2008</t>
  </si>
  <si>
    <t>Goderis, Steven/0000-0002-6666-7153; (VUB), VRIJE UNIVERSITEIT BRUSSEL/0000-0002-4585-7687</t>
  </si>
  <si>
    <t>A117</t>
  </si>
  <si>
    <t>WOS:000293094700231</t>
  </si>
  <si>
    <t>Satterwhite, CE; McBride, KM; Harrington, R; Schwarz, CM; Righter, K</t>
  </si>
  <si>
    <t>Satterwhite, C. E.; McBride, K. M.; Harrington, R.; Schwarz, C. M.; Righter, K.</t>
  </si>
  <si>
    <t>HANDLING HEAVENLY JEWELS-35 YEARS OF ANTARCTIC METEORITE PROCESSING AT JOHNSON SPACE CENTER</t>
  </si>
  <si>
    <t>[Satterwhite, C. E.; McBride, K. M.; Harrington, R.; Schwarz, C. M.] NASA, ESCG Jacobs Technol, Lyndon B Johnson Space Ctr, Houston, TX 77058 USA; [Righter, K.] NASA JSC, Houston, TX 77058 USA</t>
  </si>
  <si>
    <t>National Aeronautics &amp; Space Administration (NASA); NASA Johnson Space Center; National Aeronautics &amp; Space Administration (NASA); NASA Johnson Space Center</t>
  </si>
  <si>
    <t>cecilia.e.satterwhite@nasa.gov</t>
  </si>
  <si>
    <t>MALDEN</t>
  </si>
  <si>
    <t>COMMERCE PLACE, 350 MAIN ST, MALDEN 02148, MA USA</t>
  </si>
  <si>
    <t>A205</t>
  </si>
  <si>
    <t>WOS:000293094700406</t>
  </si>
  <si>
    <t>Welten, KC; Nishiizumi, K; Caffee, MW</t>
  </si>
  <si>
    <t>Welten, K. C.; Nishiizumi, K.; Caffee, M. W.</t>
  </si>
  <si>
    <t>COSMOGENIC RADIONUCLIDES IN ANTARCTIC HOWARDITES: TERRESTRIAL AGES AND PAIRING</t>
  </si>
  <si>
    <t>[Welten, K. C.; Nishiizumi, K.] Univ Calif Berkeley, Space Sci Lab, Berkeley, CA 94720 USA; [Caffee, M. W.] Purdue Univ, Dept Phys, W Lafayette, IN 47907 USA</t>
  </si>
  <si>
    <t>University of California System; University of California Berkeley; Purdue University System; Purdue University</t>
  </si>
  <si>
    <t>kcwelten@ssl.berkeley.edu</t>
  </si>
  <si>
    <t>A249</t>
  </si>
  <si>
    <t>WOS:000293094700494</t>
  </si>
  <si>
    <t>Kharitonov, VV; Morev, VA</t>
  </si>
  <si>
    <t>Kharitonov, V. V.; Morev, V. A.</t>
  </si>
  <si>
    <t>Method of investigation of internal structure of ice hummocks and stamukhas using the thermal drilling technique</t>
  </si>
  <si>
    <t>RUSSIAN METEOROLOGY AND HYDROLOGY</t>
  </si>
  <si>
    <t>Computer recording of thermal drilling rate of ice hummocks and stamukhas gives the objective information on their internal structure and basic morphometric characteristics. Methods of determination of the consolidation layer of ice hummocks and stamukhas and the thermal drilling data processing technique are considered in the paper. The reliability of determination of consolidated layer boundaries on the basis of the thermal drilling rate should be corroborated by the temperature measurements. To estimate the time spent for the ice hummock temperature measurement using the polyethylene tubes which are put into the boreholes and filled with the antifreeze, the experimental study of the borehole freezing rate was carried out depending on the temperature and salinity of ice. The results of experiments corroborating the existence of convection in the antifreeze are given. The used methods of ice hummock temperature measurement are discussed. The method of investigation of ice formations combining the thermal drilling technique and ice temperature measurement on the borehole wall enables to obtain the accurate data on the position of the lower boundary of consolidated layer, although it results in a smaller number of the boreholes.</t>
  </si>
  <si>
    <t>[Kharitonov, V. V.; Morev, V. A.] Arctic &amp; Antarctic Res Inst, St Petersburg 199397, Russia</t>
  </si>
  <si>
    <t>Kharitonov, VV (corresponding author), Arctic &amp; Antarctic Res Inst, Ul Beringa 38, St Petersburg 199397, Russia.</t>
  </si>
  <si>
    <t>Kharitonov, Victor/0000-0003-1847-9980</t>
  </si>
  <si>
    <t>PLEIADES PUBLISHING INC</t>
  </si>
  <si>
    <t>MOSCOW</t>
  </si>
  <si>
    <t>PLEIADES PUBLISHING INC, MOSCOW, 00000, RUSSIA</t>
  </si>
  <si>
    <t>1068-3739</t>
  </si>
  <si>
    <t>1934-8096</t>
  </si>
  <si>
    <t>RUSS METEOROL HYDRO+</t>
  </si>
  <si>
    <t>Russ. Meteorol. Hydrol.</t>
  </si>
  <si>
    <t>10.3103/S1068373911070053</t>
  </si>
  <si>
    <t>804DG</t>
  </si>
  <si>
    <t>WOS:000293633800005</t>
  </si>
  <si>
    <t>Li, TG; Zhao, JT; Nan, QY; Sun, RT; Yu, XK</t>
  </si>
  <si>
    <t>Li, Tiegang; Zhao, Jingtao; Nan, Qingyun; Sun, Rongtao; Yu, Xinke</t>
  </si>
  <si>
    <t>Palaeoproductivity evolution in the centre of the western Pacific warm pool during the last 250 ka</t>
  </si>
  <si>
    <t>JOURNAL OF QUATERNARY SCIENCE</t>
  </si>
  <si>
    <t>Earth's orbital period; palaeo-ENSO; palaeoproductivity; western Pacific warm pool</t>
  </si>
  <si>
    <t>SOUTH CHINA SEA; EASTERN EQUATORIAL PACIFIC; GLACIAL-INTERGLACIAL VARIABILITY; OCEANIC PRIMARY PRODUCTION; PLANKTONIC-FORAMINIFERA; BENTHIC FORAMINIFERA; SURFACE TEMPERATURE; OKINAWA TROUGH; ICE-CORE; SULU SEA</t>
  </si>
  <si>
    <t>To reconstruct the palaeoproductivity evolution history of the centre of the western Pacific warm pool (WPWP) over the last 250 ka, multi-proxies were analysed in sediment core WP7 recovered from the Ontong Java Plateau. Palaeoproductivity evolution at the centre of the WPWP during the last 250 ka is closely related to glacial interglacial cycles and the insolation controlled by precession. The glacial higher primary productivity relative to the interglacial conditions could have resulted from both thermocline shoaling associated with persistent El Nino-like conditions and the increased influx of dust resulting from intensified winter monsoon together with important changes in the thermocline. The minimum primary productivity values during the last three terminations could be resulted from deglacial thermocline deepening and intensified stratification associated with persistent La Nina-like conditions, and the concurrent Neogloboquadrina dutertrei delta C-13 minimum events probably reflect the chemical signatures of Subantarctic Mode Water and Antarctic Intermediate Water. In addition, primary productivity values are also controlled by the thermocline variations resulting from El Nino/La Nina-Southern Oscillation processes responding to precession forcing, and lead the delta O-18 by about 4 ka. The 33.1 ka, 19 ka and half-precession periods are prominent in the palaeoproductivity records. Copyright (C) 2011 John Wiley &amp; Sons, Ltd.</t>
  </si>
  <si>
    <t>[Li, Tiegang; Nan, Qingyun; Yu, Xinke] Chinese Acad Sci, Inst Oceanol, Key Lab Marine Geol &amp; Environm, Qingdao 266071, Peoples R China; [Zhao, Jingtao] Minist Land &amp; Resources, Key Lab Marine Hydrocarbon Resources &amp; Environm G, Qingdao 266071, Peoples R China; [Zhao, Jingtao] Minist Land &amp; Resources, Qingdao Inst Marine Geol, Qingdao 266071, Peoples R China; [Sun, Rongtao] Shandong Univ Technol, Sch Resources &amp; Environm Engn, Zibo 255049, Peoples R China</t>
  </si>
  <si>
    <t>Chinese Academy of Sciences; Institute of Oceanology, CAS; Ministry of Natural Resources of the People's Republic of China; Ministry of Natural Resources of the People's Republic of China; China Geological Survey; Qingdao Institute of Marine Geology (QIMG); Shandong University of Technology</t>
  </si>
  <si>
    <t>tgli@ms.qdio.ac.cn</t>
  </si>
  <si>
    <t>National Major Fundamental Research and Development Project [200703815903]; National Knowledge Innovation Program [KZCFX3-SW-233]; NSFC [90411014, 40506015]</t>
  </si>
  <si>
    <t>National Major Fundamental Research and Development Project; National Knowledge Innovation Program(Knowledge Innovation Program of the Chinese Academy of Sciences); NSFC(National Natural Science Foundation of China (NSFC))</t>
  </si>
  <si>
    <t>This study was supported by the National Major Fundamental Research and Development Project (No. 200703815903), the CAS Pilot Project of the National Knowledge Innovation Program (No. KZCFX3-SW-233) and NSFC (Grant Nos. 90411014 and 40506015).</t>
  </si>
  <si>
    <t>0267-8179</t>
  </si>
  <si>
    <t>1099-1417</t>
  </si>
  <si>
    <t>J QUATERNARY SCI</t>
  </si>
  <si>
    <t>J. Quat. Sci.</t>
  </si>
  <si>
    <t>10.1002/jqs.1471</t>
  </si>
  <si>
    <t>797BR</t>
  </si>
  <si>
    <t>WOS:000293098300005</t>
  </si>
  <si>
    <t>Gong, ZQ; Wang, XJ; Zhi, R; Feng, AX</t>
  </si>
  <si>
    <t>Gong Zhi-Qiang; Wang Xiao-Juan; Zhi Rong; Feng Ai-Xia</t>
  </si>
  <si>
    <t>Circulation system complex networks and teleconnections</t>
  </si>
  <si>
    <t>CHINESE PHYSICS B</t>
  </si>
  <si>
    <t>complex network; structural feature; circulation system; node degree</t>
  </si>
  <si>
    <t>ANTARCTIC OSCILLATION; GEOPOTENTIAL HEIGHT; TEMPERATURE; DIFFERENCE; CLIMATE; CHINA</t>
  </si>
  <si>
    <t>In terms of the characteristic topology parameters of climate complex networks, the spatial connection structural complexity of the circulation system and the influence of four teleconnection patterns are quantitatively described. Results of node degrees for the Northern Hemisphere (NH) mid-high latitude (30 degrees N-90 degrees N) circulation system (NHS) networks with and without the Arctic Oscillations (AO), the North Atlantic Oscillations (NAO) and the Pacific-North American pattern (PNA) demonstrate that the teleconnections greatly shorten the mean shortest path length of the networks, thus being advantageous to the rapid transfer of local fluctuation information over the network and to the stability of the NHS. The impact of the AO on the NHS connection structure is most important and the impact of the NAO is the next important. The PNA is a relatively independent teleconnection, and its role in the NHS is mainly manifested in the connection between the NHS and the tropical circulation system (TRS). As to the Southern Hemisphere mid-high latitude (30 degrees S-90 degrees S) circulation system (SHS), the impact of the Antarctic Arctic Oscillations (AAO) on the structural stability of the system is most important. In addition, there might be a stable correlation dipole (AACD) in the SHS, which also has important influence on the structure of the SHS networks.</t>
  </si>
  <si>
    <t>[Wang Xiao-Juan] Changshu Inst Technol, Coll Phys &amp; Elect Engn, Changshu 215500, Peoples R China; [Gong Zhi-Qiang; Zhi Rong] China Meteorol Adm, Lab Climate Monitoring &amp; Diagnosing, Natl Climate Ctr, Beijing 100081, Peoples R China; [Feng Ai-Xia] Yangzhou Univ, Dept Phys, Yangzhou 225009, Peoples R China</t>
  </si>
  <si>
    <t>Changshu Institute of Technology; China Meteorological Administration; Yangzhou University</t>
  </si>
  <si>
    <t>Wang, XJ (corresponding author), Changshu Inst Technol, Coll Phys &amp; Elect Engn, Changshu 215500, Peoples R China.</t>
  </si>
  <si>
    <t>mouse0903@126.com</t>
  </si>
  <si>
    <t>National Natural Science Foundation of China [40930952, 40705031]; Special Scientific Research Project for Public Interest, China [GYHY201006021, GYHY201106016]; Ministry of Science and Technology of China [2007BAC29B01]</t>
  </si>
  <si>
    <t>National Natural Science Foundation of China(National Natural Science Foundation of China (NSFC)); Special Scientific Research Project for Public Interest, China; Ministry of Science and Technology of China(Ministry of Science and Technology, China)</t>
  </si>
  <si>
    <t>Project supported by the National Natural Science Foundation of China (Grant Nos. 40930952 and 40705031), the Special Scientific Research Project for Public Interest, China (Grant Nos. GYHY201006021 and GYHY201106016), and the National Key Technology Research and Development Program of the Ministry of Science and Technology of China (Grant No. 2007BAC29B01).</t>
  </si>
  <si>
    <t>1674-1056</t>
  </si>
  <si>
    <t>CHINESE PHYS B</t>
  </si>
  <si>
    <t>Chin. Phys. B</t>
  </si>
  <si>
    <t>10.1088/1674-1056/20/7/079201</t>
  </si>
  <si>
    <t>Physics, Multidisciplinary</t>
  </si>
  <si>
    <t>798BK</t>
  </si>
  <si>
    <t>WOS:000293175900079</t>
  </si>
  <si>
    <t>Talarico, FM; Sandroni, S</t>
  </si>
  <si>
    <t>Talarico, Franco M.; Sandroni, Sonia</t>
  </si>
  <si>
    <t>Early Miocene basement clasts in ANDRILL AND-2A core and their implications for paleoenvironmental changes in the McMurdo Sound region (western Ross Sea, Antarctica)</t>
  </si>
  <si>
    <t>GLOBAL AND PLANETARY CHANGE</t>
  </si>
  <si>
    <t>provenance; Cenozoic; Ross Sea; marine sediments; ANDRILL</t>
  </si>
  <si>
    <t>SOUTH-VICTORIA-LAND; GLACIER AREA; LATE OLIGOCENE; NEW-JERSEY; REVEAL; LEVEL; GEOCHRONOLOGY; GEOCHEMISTRY; STRATIGRAPHY; SUCCESSION</t>
  </si>
  <si>
    <t>A detailed provenance study of gravel-size clasts in the lowermost 438 m of the ANDRILL AND-2A core reveals a pattern of dynamic provenance variations which can be discussed for its implications for Early Miocene paleogeographical reconstructions and glaciological models in the McMurdo Sound region (Ross Sea). Clast distribution patterns and distribution of diagnostic basement clast assemblages indicative of three different provenance areas (Mulock-Skelton glacier, Carlyon-Darwin glacier and Koettlitz-Blue glacier regions) can be interpreted in terms of two distinctive ice dynamic scenarios: i) local fluctuations of outlet Transantarctic Mountains glaciers with dominant flows from W to E to the coast (documented in the lowermost core section, at ca. 20.2-20.1 Ma), and ii) larger volume of ice grounded at the regional scale in the Ross Embayment with flow lines running N-S close to the TAM front (in two periods, at ca. 19.7-19.7 Ma and at ca. 17.8-17.4 Ma). Moreover, in core sections including facies typical of open-marine to iceberg-influenced depositional environments, ice-rafted debris compositions reveal that during periods of glacial-minima setting sites of active calving processes dominantly occurred in areas including the present-day Blue-Koettlitz glacier coast, and subordinately in glacier tongues located further south in the Skelton-Mulock glacier area. Consistently with results of numerical modelling the reconstructed glaciological scenarios provide further constraints to paleogeographical reconstructions and glaciological models at the south-western tip of the Ross Sea during significant steps in Antarctic ice sheet evolution through the Early Miocene climatic events. 2011 Elsevier By. All rights reserved.</t>
  </si>
  <si>
    <t>[Talarico, Franco M.] Univ Siena, Dipartimento Sci Terra, I-53100 Siena, Italy; [Sandroni, Sonia] Univ Siena, Museo Nazl Antartide, I-53100 Siena, Italy</t>
  </si>
  <si>
    <t>talarico@unisi.it</t>
  </si>
  <si>
    <t>Italian Programma Nazionale di Ricerche in Antartide (PNRA); PRIN</t>
  </si>
  <si>
    <t>Italian Programma Nazionale di Ricerche in Antartide (PNRA); PRIN(Ministry of Education, Universities and Research (MIUR)Research Projects of National Relevance (PRIN))</t>
  </si>
  <si>
    <t>The ANDRILL project is a multinational collaboration between the Antarctic programmes of Germany, Italy, New Zealand and the United States. We would like to acknowledge the whole ANDRILL SMS Science Team for their contribution to the successful drilling project. This study was supported with the financial support of the Italian Programma Nazionale di Ricerche in Antartide (PNRA) and PRIN 2008 (F.M. Talarico) grants.</t>
  </si>
  <si>
    <t>0921-8181</t>
  </si>
  <si>
    <t>1872-6364</t>
  </si>
  <si>
    <t>GLOBAL PLANET CHANGE</t>
  </si>
  <si>
    <t>Glob. Planet. Change</t>
  </si>
  <si>
    <t>10.1016/j.gloplacha.2011.05.002</t>
  </si>
  <si>
    <t>799XQ</t>
  </si>
  <si>
    <t>WOS:000293320300003</t>
  </si>
  <si>
    <t>Plagányi, ÉE; Weeks, SJ; Skewes, TD; Gibbs, MT; Poloczanska, ES; Norman-López, A; Blamey, LK; Soares, M; Robinson, WML</t>
  </si>
  <si>
    <t>Plaganyi, Eva E.; Weeks, Scarla J.; Skewes, Tim D.; Gibbs, Mark T.; Poloczanska, Elvira S.; Norman-Lopez, Ana; Blamey, Laura K.; Soares, Muri; Robinson, William M. L.</t>
  </si>
  <si>
    <t>Assessing the adequacy of current fisheries management under changing climate: a southern synopsis</t>
  </si>
  <si>
    <t>ICES JOURNAL OF MARINE SCIENCE</t>
  </si>
  <si>
    <t>adaptive management; climate change; fisheries economics; fisheries management; management procedure.</t>
  </si>
  <si>
    <t>ABALONE HALIOTIS-MIDAE; PENGUINS SPHENISCUS-DEMERSUS; LOBSTER JASUS-LALANDII; ROCK LOBSTER; SEA-URCHINS; WEST-COAST; JUVENILE ABALONE; FOOD AVAILABILITY; KRILL; SHIFT</t>
  </si>
  <si>
    <t>Climate change is likely to have a significant impact on both target and non-target marine stocks worldwide, with the concomitant need for management strategies capable of sustaining fishing in future. We use several southern hemisphere fisheries to highlight the likely impacts of climate change at a range of levels, from individual to population responses, as well as ecosystem ramifications. Examples span polar (Antarctic krill fishery), temperate (west coast pelagic fishery, abalone and rock lobster), and tropical (Torres Strait rock lobster) commercially important fisheries. Responses of these fisheries to either past observed environmental changes or projected future changes are used to deduce some anticipated implications of climate change for fisheries management, including economic impacts and governance considerations. We evaluate the effectiveness of current single-species assessment models, management strategy evaluation approaches and multispecies assessment models as future management tools to cope with likely climate-related changes. Non-spatial stock assessment models will have limited ability to separate fishery effects from the impacts of climate change. Anthropogenic climate change is occurring at a time-scale relevant to current fisheries management strategic planning and testing. Adaptive management frameworks (with their feedback loops) are ideal for detecting and adapting to changes in target stocks.</t>
  </si>
  <si>
    <t>[Plaganyi, Eva E.; Skewes, Tim D.; Gibbs, Mark T.] CSIRO Wealth Ocean Flagship, POB 2583, Brisbane, Qld 4001, Australia; [Weeks, Scarla J.] Univ Queensland, Ctr Spatial Environm Res, Brisbane, Qld 4072, Australia; [Weeks, Scarla J.] Univ Queensland, Coral Reef Ecosyst Lab, Brisbane, Qld 4072, Australia; [Blamey, Laura K.; Soares, Muri; Robinson, William M. L.] Univ Cape Town, Dept Math &amp; Appl Math, ZA-7701 Rondebosch, South Africa; [Poloczanska, Elvira S.; Norman-Lopez, Ana] CMAR, CSIRO CLIMATE ADAPTAT FLAGSHIP, Brisbane, Qld 4001, Australia</t>
  </si>
  <si>
    <t>Commonwealth Scientific &amp; Industrial Research Organisation (CSIRO); University of Queensland; University of Queensland; University of Cape Town; Commonwealth Scientific &amp; Industrial Research Organisation (CSIRO)</t>
  </si>
  <si>
    <t>Plagányi, ÉE (corresponding author), CSIRO Wealth Ocean Flagship, POB 2583, Brisbane, Qld 4001, Australia.</t>
  </si>
  <si>
    <t>eva.plaganyi-lloyd@csiro.au</t>
  </si>
  <si>
    <t>poloczanska, elvira s/P-5356-2014; Plaganyi, Eva E/C-5130-2011; Poloczanska, Elvira/F-4366-2014; Robinson, William/AAD-2126-2019; Skewes, Timothy/N-9530-2015; Norman, Ana/K-4501-2012; Blamey, Laura/X-1093-2019; Weeks, Scarla/E-8632-2013</t>
  </si>
  <si>
    <t>Plaganyi, Eva E/0000-0002-4740-4200; Robinson, William/0000-0001-7171-6979; Skewes, Timothy/0000-0002-8972-6734; Norman, Ana/0000-0002-3193-0951; Blamey, Laura/0000-0003-3713-091X; Gibbs, Mark/0000-0002-9632-1567; Weeks, Scarla/0000-0002-0579-7069; poloczanska, elvira/0000-0001-8470-0925; Soares, Muri/0000-0001-7001-8255</t>
  </si>
  <si>
    <t>ICES; Hokkaido University Global Center of Excellence; CSIRO, Australia; National Research Foundation of South Africa</t>
  </si>
  <si>
    <t>ICES; Hokkaido University Global Center of Excellence; CSIRO, Australia(Commonwealth Scientific &amp; Industrial Research Organisation (CSIRO)); National Research Foundation of South Africa(National Research Foundation - South Africa)</t>
  </si>
  <si>
    <t>Funding to attend the International Symposium on Climate Change Effects on Fish and Fisheries was provided by ICES to AN-L and to EEP by Hokkaido University Global Center of Excellence programme (HUGCOE). This research was funded by CSIRO, Australia, and the National Research Foundation of South Africa. We thank Sean Pascoe for his helpful comments on the economic analyses. Two referees and the editor provided many helpful comments.</t>
  </si>
  <si>
    <t>1054-3139</t>
  </si>
  <si>
    <t>1095-9289</t>
  </si>
  <si>
    <t>ICES J MAR SCI</t>
  </si>
  <si>
    <t>ICES J. Mar. Sci.</t>
  </si>
  <si>
    <t>10.1093/icesjms/fsr049</t>
  </si>
  <si>
    <t>Fisheries; Marine &amp; Freshwater Biology; Oceanography</t>
  </si>
  <si>
    <t>797BI</t>
  </si>
  <si>
    <t>WOS:000293097200031</t>
  </si>
  <si>
    <t>Baars, O; Croot, PL</t>
  </si>
  <si>
    <t>Baars, Oliver; Croot, Peter L.</t>
  </si>
  <si>
    <t>Comparison of Alternate Reactants for pM Level Cobalt Analysis in Seawater by the Use of Catalytic Voltammetry</t>
  </si>
  <si>
    <t>ELECTROANALYSIS</t>
  </si>
  <si>
    <t>Bromate; Electrocatalysis; Cobalt; Seawater; Stripping voltammetry</t>
  </si>
  <si>
    <t>STRIPPING VOLTAMMETRY; ORGANIC COMPLEXATION; TRACE-METALS; REDUCTION; NICKEL; DIMETHYLGLYOXIME; IRON; SEA; PHYTOPLANKTON; SENSITIVITY</t>
  </si>
  <si>
    <t>The analysis of Cobalt (Co) at low pM concentrations in seawater with Adsorptive Cathodic Stripping Voltammetry involves high concentrations of sodium nitrite (NaNO2) to enhance the signal in an electrocatalytic reaction. In this study we found three substitutes for NaNO2 that critically affected the sensitivity. Optimisation of a method with potassium bromate (KBrO3) resulted in an excellent detection limit (0.9 pM) after a 90 s adsorption period. Reactant concentration and consumption were 10x reduced compared to protocols with NaNO2 and reagent blanks were lower. Accuracy and precision were verified with SAFe intercalibration standards and the method was applied using open ocean seawater samples. The reaction mechanism is discussed and differences to NaNO2 are shown.</t>
  </si>
  <si>
    <t>[Baars, Oliver; Croot, Peter L.] IFM GEOMAR, Marine Biogeochem FB2, D-24105 Kiel, Germany</t>
  </si>
  <si>
    <t>Helmholtz Association; GEOMAR Helmholtz Center for Ocean Research Kiel</t>
  </si>
  <si>
    <t>Baars, O (corresponding author), IFM GEOMAR, Marine Biogeochem FB2, D-24105 Kiel, Germany.</t>
  </si>
  <si>
    <t>obaars@ifm-geomar.de</t>
  </si>
  <si>
    <t>Croot, Peter/U-5296-2019; Croot, Peter/C-8460-2009</t>
  </si>
  <si>
    <t>Croot, Peter/0000-0003-1396-0601; Baars, Oliver/0000-0002-4644-5086</t>
  </si>
  <si>
    <t>Deutsche Forschungsgemeinschaft (DFG) [SPP 1158, CR145/10-1, 10-2]</t>
  </si>
  <si>
    <t>We thank the officers and crew of the RV Meteor for their support during the research expedition M80-2 and M. Wilson (RISE student) for assistance with the Co measurements. Comments and software by D. Omanovic helped to improve this manuscript significantly. We also thank the reviewers for constructive suggestions. This work is a contribution of the Sonderforschungsbereich 754 Climate - Biogeochemistry Interactions in the Tropical Ocean (www. sfb754. de) which is supported by the Deutsche Forschungsgemeinschaft (DFG). Financial support for OB was provided by the DFG Antarctic Program SPP 1158 via Grants to PLC (CR145/10-1 &amp; 10-2).</t>
  </si>
  <si>
    <t>WILEY-V C H VERLAG GMBH</t>
  </si>
  <si>
    <t>WEINHEIM</t>
  </si>
  <si>
    <t>POSTFACH 101161, 69451 WEINHEIM, GERMANY</t>
  </si>
  <si>
    <t>1040-0397</t>
  </si>
  <si>
    <t>1521-4109</t>
  </si>
  <si>
    <t>ELECTROANAL</t>
  </si>
  <si>
    <t>Electroanalysis</t>
  </si>
  <si>
    <t>10.1002/elan.201100003</t>
  </si>
  <si>
    <t>Chemistry, Analytical; Electrochemistry</t>
  </si>
  <si>
    <t>Chemistry; Electrochemistry</t>
  </si>
  <si>
    <t>795IM</t>
  </si>
  <si>
    <t>WOS:000292967900020</t>
  </si>
  <si>
    <t>Neira, FJ; Lyle, JM</t>
  </si>
  <si>
    <t>Neira, Francisco J.; Lyle, Jeremy M.</t>
  </si>
  <si>
    <t>DEPM-based spawning biomass of Emmelichthys nitidus (Emmelichthyidae) to underpin a developing mid-water trawl fishery in south-eastern Australia</t>
  </si>
  <si>
    <t>FISHERIES RESEARCH</t>
  </si>
  <si>
    <t>Redbait; Spawning; Daily egg production; GLM; Tasmania; South-eastern Australia</t>
  </si>
  <si>
    <t>DAILY EGG-PRODUCTION; SARDINOPS-SAGAX; ANCHOVY; ATLANTIC; SYNCHRONICITY; JAPONICUS; REVISION</t>
  </si>
  <si>
    <t>Spawning biomass of redbait, Emmelichthys nitidus (Emmelichthtyidae), was estimated using the daily egg production method (DEPM) based on egg and adult surveys conducted simultaneously off eastern Tasmania during October 2005 and 2006. Concurrent studies had confirmed that this mid-water, schooling species met all necessary requirements for DEPM-based biomass estimation, including (a) asynchronous oocyte development with release of pelagic eggs in batches; (b) spawned eggs could be assigned ages using a temperature-dependent incubation model; and (c) egg abundances follow the typical exponential decay model. Main spawning areas were identified between north-eastern Bass Strait (38.8 degrees S) and south of the Tasman Peninsula (43.5 degrees S) in 2005 (13220 km(2)), and between Cape Barren Is. (40.5 degrees S) and the same southern boundary in 2006 (8695 km(2)). Daily egg production (P-0) was estimated by applying two statistical estimation methods to the egg abundance-at-age data, namely the traditional least squares non-linear regression (NLS) and a generalized linear model (GLM). Results indicated that the latter technique provided a better fit, resulting in improved CVs and AIC statistics over the NLS. The GLM-derived average P-0 was estimated at 4.04 eggs/0.05 m(2)/day both in 2005 and 2006. Spawning biomass (CV) was similar to 87000 t (0.37) in 2005 and similar to 50800 t (0.21) in 2006, with the lower 2006 biomass largely due to a smaller spawning area and higher sex ratio. Estimates are likely to be negatively biased since spawning of E. nitidus probably extends as far north as southern New South Wales (35.0 degrees S). In the absence of comparable studies on other emmelichthyids, P-0 and instantaneous egg mortality estimates are compared to those of clupeoid species previously subjected to DEPM, and the method discussed in terms of its suitability to this species in support of a developing mid-water trawl fishery in south-eastern Australia. (C) 2011 Elsevier B.V. All rights reserved.</t>
  </si>
  <si>
    <t>[Neira, Francisco J.; Lyle, Jeremy M.] Univ Tasmania, IMAS, Fisheries Aquaculture &amp; Coasts Ctr, Hobart, Tas 7001, Australia</t>
  </si>
  <si>
    <t>University of Tasmania</t>
  </si>
  <si>
    <t>Neira, FJ (corresponding author), Univ Tasmania, IMAS, Fisheries Aquaculture &amp; Coasts Ctr, Private Bag 49, Hobart, Tas 7001, Australia.</t>
  </si>
  <si>
    <t>Francisco.neira@utas.edu.au</t>
  </si>
  <si>
    <t>Lyle, Jeremy/J-7170-2014</t>
  </si>
  <si>
    <t>Lyle, Jeremy/0000-0001-9670-5854</t>
  </si>
  <si>
    <t>Fisheries Research and Development Corporation (FRDC) [2004/039]; Tasmanian Department of Primary Industries, Parks, Water and Environment (DPIPWE)</t>
  </si>
  <si>
    <t>Fisheries Research and Development Corporation (FRDC)(Fisheries R&amp;D Corp); Tasmanian Department of Primary Industries, Parks, Water and Environment (DPIPWE)</t>
  </si>
  <si>
    <t>The authors are grateful to Richey Fishing and Seafish Tasmania for their respective contributions towards the field collection of egg and adult samples, especially to G. Geen, G. Hill and the skippers and crew of FVs Dell Richey II and Ellidi. Many thanks also to academics and general staff from the Institute for Marine and Antarctic Studies (IMAS, University of Tasmania) who helped with sampling and processing of samples. Special thanks are due to G. Claramunt (Universidad Arturo Prat, Chile) who kindly provided a great deal of advice on the DEPM application as well as R coding employed to estimate various parameters. Statistical advice was kindly provided by Dr M. Sporcic (CSIRO Marine Research, Hobart). Comments from two anonymous reviewers and the journal's Associate Editor are greatly appreciated. The study was funded by the Fisheries Research and Development Corporation (FRDC Project 2004/039) and the Tasmanian Department of Primary Industries, Parks, Water and Environment (DPIPWE).</t>
  </si>
  <si>
    <t>0165-7836</t>
  </si>
  <si>
    <t>1872-6763</t>
  </si>
  <si>
    <t>FISH RES</t>
  </si>
  <si>
    <t>Fish Res.</t>
  </si>
  <si>
    <t>10.1016/j.fishres.2011.04.009</t>
  </si>
  <si>
    <t>Fisheries</t>
  </si>
  <si>
    <t>795AI</t>
  </si>
  <si>
    <t>WOS:000292943500002</t>
  </si>
  <si>
    <t>Giordano, D; Russo, R; Ciaccio, C; Howes, BD; di Prisco, G; Marden, MC; Hoa, GHB; Smulevich, G; Coletta, M; Verde, C</t>
  </si>
  <si>
    <t>Giordano, Daniela; Russo, Roberta; Ciaccio, Chiara; Howes, Barry D.; di Prisco, Guido; Marden, Michael C.; Hoa, Gaston Hui Bon; Smulevich, Giulietta; Coletta, Massimo; Verde, Cinzia</t>
  </si>
  <si>
    <t>Ligand- and Proton-linked Conformational Changes of the Ferrous 2/2 Hemoglobin of Pseudoalteromonas haloplanktis TAC125</t>
  </si>
  <si>
    <t>IUBMB LIFE</t>
  </si>
  <si>
    <t>Antarctic; hemoglobin; ligand binding; resonance Raman</t>
  </si>
  <si>
    <t>HYDROGEN-BOND NETWORK; TRUNCATED HEMOGLOBIN; BINDING-PROPERTIES; THERMOBIFIDA-FUSCA; DISTAL POCKET; MYOGLOBIN; PROBE; CO; RECOGNITION; FAMILY</t>
  </si>
  <si>
    <t>The spectroscopic and ligand-binding properties of a 2/2 globin from the Antarctic bacterium Pseudoalteromonas haloplanktis TAC125 have been studied in the ferrous state. It displays two major conformations characterized by CO-association rates that differ by a factor of 20, with relative fractions that depend on pH. A dynamic equilibrium is found between the two conformations, as indicated by an enhanced slower phase when lower CO levels were used to allow a longer time to facilitate the transition. The deoxy form, in the absence of external ligands, is a mixture of a predominant six-coordinate low spin form and a five-coordinate high-spin state; the proportion of low spin increasing at alkaline pH. In addition, at temperatures above the physiological temperature of 1 degrees C, an enhanced tendency of the protein to oxidize is observed. (C) 2011 IUBMB IUBMB Life, 63(7): 566-573, 2011</t>
  </si>
  <si>
    <t>[Giordano, Daniela; Russo, Roberta; di Prisco, Guido; Verde, Cinzia] CNR, Inst Prot Biochem, I-80131 Naples, Italy; [Ciaccio, Chiara; Coletta, Massimo] Univ Roma Tor Vergata, Dept Expt Med &amp; Biochem Sci, Rome, Italy; [Ciaccio, Chiara; Coletta, Massimo] Interuniv Consortium Res Chem Met Biol Syst, Bari, Italy; [Howes, Barry D.; Smulevich, Giulietta] Univ Florence, Dipartimento Chim Ugo Schiff, Sesto Fiorentino, FI, Italy; [Marden, Michael C.; Hoa, Gaston Hui Bon] INSERM, U779, F-94275 Le Kremlin Bicetre, France</t>
  </si>
  <si>
    <t>Consiglio Nazionale delle Ricerche (CNR); Istituto di Biochimica delle Proteine (IBP-CNR); University of Rome Tor Vergata; University of Florence; Institut National de la Sante et de la Recherche Medicale (Inserm)</t>
  </si>
  <si>
    <t>Verde, C (corresponding author), CNR, Inst Prot Biochem, Via Pietro Castellino 111, I-80131 Naples, Italy.</t>
  </si>
  <si>
    <t>c.verde@ibp.cnr.it</t>
  </si>
  <si>
    <t>Marden, Michael/AAA-5923-2020; Giordano, Daniela/AFK-7772-2022; Coletta, Massimo/N-9049-2015; Marden, Michael C/G-3139-2012; Coletta, Massimiliano/GSN-5927-2022</t>
  </si>
  <si>
    <t>Giordano, Daniela/0000-0002-8891-6245; Marden, Michael C/0000-0002-5254-6385; VERDE, Cinzia/0000-0001-6185-282X; COLETTA, Massimiliano/0000-0002-5489-9467; Smulevich, Giulietta/0000-0003-3021-8919</t>
  </si>
  <si>
    <t>Italian Ministery of University and Research (MIUR) [2007SFZXZ7]; Italian National Programme for Antarctic Research (PNRA); INSERM (France); CNR; CAREX</t>
  </si>
  <si>
    <t>Italian Ministery of University and Research (MIUR)(Ministry of Education, Universities and Research (MIUR)); Italian National Programme for Antarctic Research (PNRA); INSERM (France)(Institut National de la Sante et de la Recherche Medicale (Inserm)); CNR(Consiglio Nazionale delle Ricerche (CNR)); CAREX</t>
  </si>
  <si>
    <t>This study is financially supported by the Italian Ministery of University and Research (MIUR PRIN 2007SFZXZ7 to C.V., G.S., and M.C.), the Italian National Programme for Antarctic Research (PNRA) and INSERM (France). It is in the framework of the SCAR programme Evolution and Biodiversity in the Antarctic (EBA), the project CAREX (Coordination Action for Research Activities on Life in Extreme Environments), European Commission FP7 call ENV.2007.2.2.1.6. DG and RR acknowledge CNR (for Short-Term Mobility fellowships), and CAREX (for Transfer of Knowledge grants). The authors thank the Centre de Ressources Biologiques de l'Institut Pasteur, Paris (http://www.crbip.pasteur.fr) for supplying the P. haloplanktis CIP 108707 strain.</t>
  </si>
  <si>
    <t>1521-6543</t>
  </si>
  <si>
    <t>IUBMB Life</t>
  </si>
  <si>
    <t>10.1002/iub.492</t>
  </si>
  <si>
    <t>Biochemistry &amp; Molecular Biology; Cell Biology</t>
  </si>
  <si>
    <t>795AN</t>
  </si>
  <si>
    <t>WOS:000292944000016</t>
  </si>
  <si>
    <t>Peeters, K; Ertz, D; Willems, A</t>
  </si>
  <si>
    <t>Peeters, Karolien; Ertz, Damien; Willems, Anne</t>
  </si>
  <si>
    <t>Culturable bacterial diversity at the Princess Elisabeth Station (Utsteinen, Sor Rondane Mountains, East Antarctica) harbours many new taxa</t>
  </si>
  <si>
    <t>SYSTEMATIC AND APPLIED MICROBIOLOGY</t>
  </si>
  <si>
    <t>Heterotrophic bacterial diversity; Cultivation; 16S rRNA gene sequencing; Terrestrial microbial mat</t>
  </si>
  <si>
    <t>NORTHERN VICTORIA LAND; MCMURDO DRY VALLEYS; SP-NOV.; MICROBIAL MATS; GEN. NOV.; SP. NOV.; PSYCHROPHILIC BACTERIA; PSYCHROTROPHIC BACTERIUM; HETEROTROPHIC BACTERIA; PROKARYOTIC DIVERSITY</t>
  </si>
  <si>
    <t>We studied the culturable heterotrophic bacterial diversity present at the site of the new Princess Elisabeth Station at Utsteinen (Dronning Maud Land, East Antarctica) before construction. About 800 isolates were picked from two terrestrial microbial mat samples after incubation on several growth media at different temperatures. They were grouped using rep-PCR fingerprinting and partial 16S rRNA gene sequencing. Phylogenetic analysis of the complete 16S rRNA gene sequences of 93 representatives showed that the isolates belonged to five major phyla: Actinobacteria, Bacteroidetes, Proteobacteria, Firmicutes and Deinococcus-Thermus. Isolates related to the genus Arthrobacter were the most prevalent whereas the genera Hymenobacter, Deinococcus, Cryobacterium and Sphingomonas were also recovered in high numbers in both samples. A total of 35 different genera were found, the majority of which has previously been reported from Antarctica. For the genera Aeromicrobium, Aurantimonas, Rothia, Subtercola, Tessaracoccus and Xylophilus, this is the first report in Antarctica. In addition, numerous potential new species and new genera were recovered: many of them currently restricted to Antarctica, particularly in the phyla Bacteroidetes and Deinococcus-Thermus. (C) 2011 Elsevier GmbH. All rights reserved.</t>
  </si>
  <si>
    <t>[Peeters, Karolien; Willems, Anne] Univ Ghent, Microbiol Lab, Dept Biochem &amp; Microbiol, B-9000 Ghent, Belgium; [Ertz, Damien] Natl Bot Garden Belgium, Dept Bryophytes Thallophytes, B-1860 Meise, Belgium</t>
  </si>
  <si>
    <t>Willems, A (corresponding author), Univ Ghent, Microbiol Lab, Dept Biochem &amp; Microbiol, KL Ledeganckstr 35, B-9000 Ghent, Belgium.</t>
  </si>
  <si>
    <t>Belgian Science Policy Office (Bel-SPO)</t>
  </si>
  <si>
    <t>Belgian Science Policy Office (Bel-SPO)(Belgian Federal Science Policy Office)</t>
  </si>
  <si>
    <t>This work was funded by the Belgian Science Policy Office (Bel-SPO) projects AMBIO, ANTAR-IMPACT and BELDIVA. These projects contribute to IPY research proposal no. 55 MERGE (Microbiological and Ecological Responses to Global Environmental Changes in Polar Regions) and SCAR Evolution and Biodiversity in Antarctica programme. We acknowledge the project coordinators Annick Wilmotte, Wim Vyverman and Elie Verleyen and thank the Antarctic program coordinator of BelSPO for logistic support during expeditions.</t>
  </si>
  <si>
    <t>ELSEVIER GMBH</t>
  </si>
  <si>
    <t>MUNICH</t>
  </si>
  <si>
    <t>HACKERBRUCKE 6, 80335 MUNICH, GERMANY</t>
  </si>
  <si>
    <t>0723-2020</t>
  </si>
  <si>
    <t>SYST APPL MICROBIOL</t>
  </si>
  <si>
    <t>Syst. Appl. Microbiol.</t>
  </si>
  <si>
    <t>10.1016/j.syapm.2011.02.002</t>
  </si>
  <si>
    <t>Biotechnology &amp; Applied Microbiology; Microbiology</t>
  </si>
  <si>
    <t>795AC</t>
  </si>
  <si>
    <t>WOS:000292942900007</t>
  </si>
  <si>
    <t>Culverhouse, T; Ade, P; Bock, J; Bowden, M; Brown, ML; Cahill, G; Castro, PG; Church, S; Friedman, R; Ganga, K; Gear, WK; Gupta, S; Hinderks, J; Kovac, J; Lange, AE; Leitch, E; Melhuish, SJ; Memari, Y; Murphy, JA; Orlando, A; Pryke, C; Schwarz, R; O'Sullivan, C; Piccirillo, L; Rajguru, N; Rusholme, B; Taylor, AN; Thompson, KL; Turner, AH; Wu, EYS; Zemcov, M</t>
  </si>
  <si>
    <t>Culverhouse, T.; Ade, P.; Bock, J.; Bowden, M.; Brown, M. L.; Cahill, G.; Castro, P. G.; Church, S.; Friedman, R.; Ganga, K.; Gear, W. K.; Gupta, S.; Hinderks, J.; Kovac, J.; Lange, A. E.; Leitch, E.; Melhuish, S. J.; Memari, Y.; Murphy, J. A.; Orlando, A.; Pryke, C.; Schwarz, R.; O'Sullivan, C.; Piccirillo, L.; Rajguru, N.; Rusholme, B.; Taylor, A. N.; Thompson, K. L.; Turner, A. H.; Wu, E. Y. S.; Zemcov, M.</t>
  </si>
  <si>
    <t>QUaD Collaboration</t>
  </si>
  <si>
    <t>THE QUaD GALACTIC PLANE SURVEY. II. A COMPACT SOURCE CATALOG</t>
  </si>
  <si>
    <t>ASTROPHYSICAL JOURNAL SUPPLEMENT SERIES</t>
  </si>
  <si>
    <t>Galaxy: center; Galaxy: structure; H II regions; radio continuum: ISM; stars: formation; surveys</t>
  </si>
  <si>
    <t>SAGITTARIUS A-ASTERISK; SUNYAEV-ZELDOVICH ARRAY; DUST CONTINUUM EMISSION; C2D LEGACY CLOUDS; MOLECULAR CLOUD; PHYSICAL-PROPERTIES; PRESTELLAR CORES; ACCRETION RATE; BOLOCAM SURVEY; CENTER REGION</t>
  </si>
  <si>
    <t>We present a catalog of compact sources derived from the QUaD Galactic Plane Survey. The survey covers similar to 800 deg(2) of the inner galaxy (vertical bar b vertical bar &lt; 4 degrees) in Stokes I, Q, and U parameters at 100 and 150 GHz, with angular resolutions of 5 and 3.5 arcmin, respectively. Five hundred and twenty-six unique sources are identified in I, of which 239 are spatially matched between frequency bands, with 53 (234) detected at 100 (150) GHz alone; 170 sources are identified as ultracompact H II regions. Approximating the distribution of total intensity source fluxes as a power law, we find a slope of gamma(S, 100) = -1.8 +/- 0.4 at 100 GHz and gamma(S, 150) = -2.2 +/- 0.4 at 150 GHz. Similarly, the power-law index of the source two-point angular correlation function is gamma(theta, 100) = -1.21 +/- 0.04 and gamma(theta, 150) = -1.25 +/- 0.04. The total intensity spectral index distribution peaks at alpha(I) similar to 0.25, indicating that dust emission is not the only source of radiation produced by these objects between 100 and 150 GHz; free-free radiation is likely significant in the 100 GHz band. Four sources are detected in polarized intensity P, of which three have matching counterparts in I. Three of the polarized sources lie close to the Galactic center, Sagittarius A*, Sagittarius B2, and the Galactic Radio Arc, while the fourth is RCW 49, a bright H II region. An extended polarized source, undetected by the source extraction algorithm on account of its similar to 0 degrees.5 size, is identified visually, and is an isolated example of large-scale polarized emission oriented distinctly from the bulk Galactic dust polarization.</t>
  </si>
  <si>
    <t>[Culverhouse, T.; Friedman, R.; Pryke, C.; Schwarz, R.] Univ Chicago, Kavli Inst Cosmol Phys, Dept Astron &amp; Astrophys, Enrico Fermi Inst, Chicago, IL 60637 USA; [Ade, P.; Bowden, M.; Gear, W. K.; Gupta, S.; Turner, A. H.] Cardiff Univ, Sch Phys &amp; Astron, Cardiff CF24 3AA, S Glam, Wales; [Bock, J.; Leitch, E.; Zemcov, M.] CALTECH, Jet Prop Lab, Pasadena, CA 91109 USA; [Bock, J.; Lange, A. E.; Leitch, E.; Orlando, A.; Zemcov, M.] CALTECH, Pasadena, CA 91125 USA; [Bowden, M.; Church, S.; Thompson, K. L.; Wu, E. Y. S.] Stanford Univ, Kavli Inst Particle Astrophys &amp; Cosmol, Stanford, CA 94305 USA; [Bowden, M.; Church, S.; Thompson, K. L.; Wu, E. Y. S.] Stanford Univ, Dept Phys, Stanford, CA 94305 USA; [Brown, M. L.] Univ Cambridge, Cavendish Lab, Kavli Inst Cosmol, Cambridge CB3 0HE, England; [Brown, M. L.] Univ Cambridge, Cavendish Lab, Astrophys Grp, Cambridge CB3 0HE, England; [Cahill, G.; Murphy, J. A.; O'Sullivan, C.] Natl Univ Ireland Maynooth, Dept Expt Phys, Maynooth, Kildare, Ireland; [Castro, P. G.] Univ Tecn Lisboa, CENTRA, Dept Fis, IST, P-1049001 Lisbon, Portugal; [Ganga, K.] Lab APC CNRS, F-75205 Paris 13, France; [Hinderks, J.] NASA, Goddard Space Flight Ctr, Greenbelt, MD 20771 USA; [Kovac, J.] Harvard Univ, Harvard Dept Astron, Cambridge, MA 02138 USA; [Memari, Y.] Univ Edinburgh, Inst Astron, Royal Observ, Edinburgh EH9 3HJ, Midlothian, Scotland; [Rajguru, N.] UCL, Dept Phys &amp; Astron, London WC1E 6BT, England</t>
  </si>
  <si>
    <t>University of Chicago; Cardiff University; National Aeronautics &amp; Space Administration (NASA); NASA Jet Propulsion Laboratory (JPL); California Institute of Technology; California Institute of Technology; Stanford University; Stanford University; University of Cambridge; University of Cambridge; Maynooth University; Universidade de Lisboa; Centre National de la Recherche Scientifique (CNRS); National Aeronautics &amp; Space Administration (NASA); NASA Goddard Space Flight Center; Harvard University; University of Edinburgh; University of London; University College London</t>
  </si>
  <si>
    <t>Culverhouse, T (corresponding author), Owens Valley Radio Observ, Big Pine, CA 93513 USA.</t>
  </si>
  <si>
    <t>Orlando, Angiola/AAI-3379-2021; Taylor, Aimee/AAD-9424-2020; Orlando, Angiola/AAH-6918-2020; Orlando, Angiola/T-3869-2017; Melhuish, Simon/B-1299-2016</t>
  </si>
  <si>
    <t>Orlando, Angiola/0000-0001-9464-3100; Brown, Michael/0000-0002-0370-8077; Ade, Peter/0000-0002-5127-0401; Cahill, Gary/0000-0001-9265-8368; Kovac, John/0009-0003-5432-7180; Gear, Walter/0000-0001-6789-6196; Orlando, Angiola/0000-0001-8004-5054; Rusholme, Benjamin/0000-0001-7648-4142; Melhuish, Simon/0000-0001-8725-4991</t>
  </si>
  <si>
    <t>National Science Foundation in the USA [ANT-0338138, ANT-0338335, ANT-0338238]; Science and Technology Facilities Council (STFC) in the UK; Science Foundation Ireland; PPARC; Stanford Terman Fellowship; NSF; Stanford Graduate Fellowship; NSF [PHY-0114422]; NDSEG fellowship; John B. and Nelly L. Kilroy Foundation; STFC [ST/G002711/1] Funding Source: UKRI</t>
  </si>
  <si>
    <t>National Science Foundation in the USA(National Science Foundation (NSF)); Science and Technology Facilities Council (STFC) in the UK(UK Research &amp; Innovation (UKRI)Science &amp; Technology Facilities Council (STFC)); Science Foundation Ireland(Science Foundation Ireland); PPARC; Stanford Terman Fellowship; NSF(National Science Foundation (NSF)); Stanford Graduate Fellowship(Stanford University); NSF(National Science Foundation (NSF)); NDSEG fellowship; John B. and Nelly L. Kilroy Foundation; STFC(UK Research &amp; Innovation (UKRI)Science &amp; Technology Facilities Council (STFC))</t>
  </si>
  <si>
    <t>This paper is dedicated to the memory of Andrew Lange, who gave wisdom and guidance to so many members of the astrophysics and cosmology community. His presence is sorely missed. We thank our colleagues on the BICEP experiment for useful discussions. QUaD is funded by the National Science Foundation in the USA, through grants ANT-0338138, ANT-0338335, and ANT-0338238, by the Science and Technology Facilities Council (STFC) in the UK, and by the Science Foundation Ireland. We thank the staff of the Amundsen-Scott South Pole Station and all involved in the United States Antarctic Program for the superb support operation which makes the science presented here possible. Special thanks go to our intrepid winter scientist Robert Schwarz who spent three consecutive winter seasons tending the QUaD experiment. The BOOMERanG collaboration kindly allowed the use of their CMB maps for our calibration purposes. M. L. B. acknowledges the award of a PPARC Fellowship. S. E. C. acknowledges support from a Stanford Terman Fellowship. J.R.H. acknowledges the support of an NSF Graduate Research Fellowship and a Stanford Graduate Fellowship. C. P. acknowledges partial support from the Kavli Institute for Cosmological Physics through the grant NSF PHY-0114422. E.Y.W. acknowledges receipt of an NDSEG fellowship. J.M.K. acknowledges support from a John B. and Nelly L. Kilroy Foundation Fellowship.</t>
  </si>
  <si>
    <t>0067-0049</t>
  </si>
  <si>
    <t>ASTROPHYS J SUPPL S</t>
  </si>
  <si>
    <t>Astrophys. J. Suppl. Ser.</t>
  </si>
  <si>
    <t>10.1088/0067-0049/195/1/8</t>
  </si>
  <si>
    <t>790LT</t>
  </si>
  <si>
    <t>Green Published, Green Accepted, Green Submitted</t>
  </si>
  <si>
    <t>WOS:000292590200008</t>
  </si>
  <si>
    <t>Wu, XG; Lam, JCW; Xia, CH; Kang, H; Xie, ZQ; Lam, PKS</t>
  </si>
  <si>
    <t>Wu, Xiaoguo; Lam, James C. W.; Xia, Chonghuan; Kang, Hui; Xie, Zhouqing; Lam, Paul K. S.</t>
  </si>
  <si>
    <t>Atmospheric concentrations of DDTs and chlordanes measured from Shanghai, China to the Arctic Ocean during the Third China Arctic Research Expedition in 2008</t>
  </si>
  <si>
    <t>ATMOSPHERIC ENVIRONMENT</t>
  </si>
  <si>
    <t>DDT; Chlordanes; Marine boundary layer; Arctic Ocean; Atmospheric concentration</t>
  </si>
  <si>
    <t>PERSISTENT ORGANIC POLLUTANTS; LONG-RANGE TRANSPORT; POLYCYCLIC AROMATIC-HYDROCARBONS; POLYBROMINATED DIPHENYL ETHERS; NORTH PACIFIC-OCEAN; ORGANOCHLORINE PESTICIDES; POLYCHLORINATED-BIPHENYLS; AIR; REGION; WATER</t>
  </si>
  <si>
    <t>In July to September 2008, air samples were collected aboard a research expedition icebreaker, Xuelong (Snow Dragon), under the support of the 2008 Chinese Arctic Research Expedition Program. DDTs and chlordanes were quantified in all samples. Sigma DDTs concentrations over the whole cruise varied substantially, ranging from 2.0 to 110 pg m(-3) with the average concentration of 36 +/- 31 pg m(-3). The fresh inputs of p,p'-DDT and o,p'-DDT indicated by DDT/DDE ratios and the relatively higher levels of p,p'-DDT and o,p'-DDT observed in East Asia and North Pacific Ocean may reflect direct transport of these compounds from the adjacent continent where continuing usage of DDT-related compounds is potentially occurring. In the Arctic, increase in sea ice melting in the summer of 2008 might result in the remobilization of DDT and enhance its atmospheric levels in this region. Air-borne pollutants arising from the fire occurring in the East Europe during the summer of 2008 might make a large contribution to higher levels of DDTs observed in the atmosphere of North Pacific Ocean and adjacent Arctic Ocean during our expedition. The ratios of o,p'-DDT/p,p'-DDT were higher than that in technical DDT but much lower than those observed in air samples from China, indicating the atmosphere during the present study was likely influenced by a mixture of DDT-containing products. The concentrations of Sigma chlordanes varied between 1.8 and 11 pg m(-3), with an average of 5.4 +/- 2.6 pg m(-3). Trans-chlordane (TC) and cis-chlordane (CC) were the most abundant among the chlordanes isomers, accounting for 40% and 39% of total chlordane for all samples. The TC/CC ratios measured in all samples were lower than in the technical mixture, reflecting the main influence by weathered chlordane. The sampling sites with low levels of TC and CC often have relatively low TC/CC ratios, and may be influenced by older air masses. (C) 2011 Elsevier Ltd. All rights reserved.</t>
  </si>
  <si>
    <t>[Wu, Xiaoguo; Xia, Chonghuan; Kang, Hui; Xie, Zhouqing] Univ Sci &amp; Technol China, Inst Polar Environm, Sch Earth &amp; Space Sci, Hefei 230026, Anhui, Peoples R China; [Wu, Xiaoguo; Xia, Chonghuan; Xie, Zhouqing; Lam, Paul K. S.] Univ Sci &amp; Technol China, City Univ Hong Kong USTC CityU, Adv Lab Environm Res &amp; Technol ALERT, Joint Adv Res Ctr,SIP, Suzhou, Jiangsu, Peoples R China; [Wu, Xiaoguo; Lam, James C. W.; Xia, Chonghuan; Lam, Paul K. S.] City Univ Hong Kong, Dept Biol &amp; Chem, Kowloon, Hong Kong, Peoples R China; [Wu, Xiaoguo; Lam, James C. W.; Xia, Chonghuan; Lam, Paul K. S.] City Univ Hong Kong, State Key Lab Marine Pollut, Kowloon, Hong Kong, Peoples R China</t>
  </si>
  <si>
    <t>Chinese Academy of Sciences; University of Science &amp; Technology of China, CAS; Chinese Academy of Sciences; University of Science &amp; Technology of China, CAS; City University of Hong Kong; City University of Hong Kong</t>
  </si>
  <si>
    <t>Xie, ZQ (corresponding author), Univ Sci &amp; Technol China, Inst Polar Environm, Sch Earth &amp; Space Sci, Hefei 230026, Anhui, Peoples R China.</t>
  </si>
  <si>
    <t>zoxie@ustc.edu.cn; bhpksl@cityu.edu.hk</t>
  </si>
  <si>
    <t>LAM, Paul Kwan Sing/B-9121-2008; xie, zhouqing/P-9661-2019; Lam, James C.W./Q-2644-2019</t>
  </si>
  <si>
    <t>LAM, Paul Kwan Sing/0000-0002-2134-3710; Lam, James C.W./0000-0002-5557-6213</t>
  </si>
  <si>
    <t>National Natural Science Foundation of China [41025020, 40776001]; Foundation for the Author of National Excellent Doctoral Dissertation of PR China [200354]; Chinese Academy of Sciences [KZCX2-YW-QN506]; Fundamental Research Funds for the Central Universities; University Grants Committee of the Hong Kong Special Administrative Region, China [AoE/P-04/2004]; Hong Kong Research Grants Council [CityU 160610]</t>
  </si>
  <si>
    <t>National Natural Science Foundation of China(National Natural Science Foundation of China (NSFC)); Foundation for the Author of National Excellent Doctoral Dissertation of PR China(Foundation for the Author of National Excellent Doctoral Dissertation of China); Chinese Academy of Sciences(Chinese Academy of Sciences); Fundamental Research Funds for the Central Universities(Fundamental Research Funds for the Central Universities); University Grants Committee of the Hong Kong Special Administrative Region, China; Hong Kong Research Grants Council(Hong Kong Research Grants Council)</t>
  </si>
  <si>
    <t>This study was supported by grants from the National Natural Science Foundation of China (Project Nos. 41025020, 40776001), the Foundation for the Author of National Excellent Doctoral Dissertation of PR China (Grant 200354), the Chinese Academy of Sciences (Grant KZCX2-YW-QN506) and the Fundamental Research Funds for the Central Universities. The work described in this paper was also funded by the Area of Excellence Scheme under the University Grants Committee of the Hong Kong Special Administrative Region, China (Project No. AoE/P-04/2004), and a Hong Kong Research Grants Council (CityU 160610). Field work was supported by China Arctic and Antarctic Administration and the third China Arctic Research Expedition.</t>
  </si>
  <si>
    <t>1352-2310</t>
  </si>
  <si>
    <t>1873-2844</t>
  </si>
  <si>
    <t>ATMOS ENVIRON</t>
  </si>
  <si>
    <t>Atmos. Environ.</t>
  </si>
  <si>
    <t>10.1016/j.atmosenv.2011.04.012</t>
  </si>
  <si>
    <t>Environmental Sciences; Meteorology &amp; Atmospheric Sciences</t>
  </si>
  <si>
    <t>Environmental Sciences &amp; Ecology; Meteorology &amp; Atmospheric Sciences</t>
  </si>
  <si>
    <t>788HP</t>
  </si>
  <si>
    <t>WOS:000292436300012</t>
  </si>
  <si>
    <t>Dinniman, MS; Klinck, JM; Smith, WO</t>
  </si>
  <si>
    <t>Dinniman, Michael S.; Klinck, John M.; Smith, Walker O., Jr.</t>
  </si>
  <si>
    <t>A model study of Circumpolar Deep Water on the West Antarctic Peninsula and Ross Sea continental shelves</t>
  </si>
  <si>
    <t>DEEP-SEA RESEARCH PART II-TOPICAL STUDIES IN OCEANOGRAPHY</t>
  </si>
  <si>
    <t>Circumpolar Deep Water; Antarctic continental shelves; Antarctic Peninsula; Ross Sea; Ocean-Shelf exchange</t>
  </si>
  <si>
    <t>ICE SHELF; BULK PARAMETERIZATION; SOUTHERN-OCEAN; CIRCULATION; PHYTOPLANKTON; SLOPE; IRON; FLUXES; VARIABILITY; TOPOGRAPHY</t>
  </si>
  <si>
    <t>Transport of relatively warm, nutrient-rich Circumpolar Deep Water (CDW) onto continental shelves around Antarctica has important effects on physical and biological processes. However, the characteristics of the CDW along the shelf break, as well as what happens to it once it has been advected onto the continental shelf, differ spatially. In the present study high resolution (4-5 km) regional models of the Ross Sea and the West Antarctic Peninsula coastal ocean are used to compare differences in CDW transport The models compared very well with observations from both regions. Examining the fluxes not only of heat, but also of a simulated dye representing COW, shows that in both cases COW crosses the shelf break in specific locations primarily determined by the bathymetry, but eventually floods much of the shelf. The frequency of intrusions in Marguerite Trough was ca. 2-3 per month, similar to recent mooring observations. A significant correlation between the along shelf break wind stress and the cross shelf break dye flux through Marguerite Trough was observed, suggesting that intrusions are at least partially related to short duration wind events. The primary difference between the CDW intrusions on the Ross and west Antarctic Peninsula shelves is that there is more vigorous mixing of the CDW with the surface waters in the Ross Sea, especially in the west where High Salinity Shelf Water is created. The models show that the COW moving across the Antarctic Peninsula continental shelf towards the base of the ice shelves not only is warmer initially and travels a shorter distance than that advected towards the base of the Ross Ice Shelf, but it is also subjected to less vertical mixing with surface waters, which conserves the heat available to be advected under the ice shelves. This difference in vertical mixing also likely leads to differences in the supply of nutrients from the COW into the upper water column, and thus modulates the impacts on surface biogeochemical processes. (C) 2010 Elsevier Ltd. All rights reserved.</t>
  </si>
  <si>
    <t>[Dinniman, Michael S.; Klinck, John M.] Old Dominion Univ, Ctr Coastal Phys Oceanog, Norfolk, VA 23529 USA; [Smith, Walker O., Jr.] Virginia Inst Marine Sci, Coll William &amp; Mary, Gloucester Point, VA 23062 USA</t>
  </si>
  <si>
    <t>Old Dominion University; William &amp; Mary; Virginia Institute of Marine Science</t>
  </si>
  <si>
    <t>Dinniman, MS (corresponding author), Old Dominion Univ, Ctr Coastal Phys Oceanog, Norfolk, VA 23529 USA.</t>
  </si>
  <si>
    <t>msd@ccpo.odu.edu</t>
  </si>
  <si>
    <t>Dinniman, Michael/0000-0001-7519-9278; Klinck, John/0000-0003-4312-5201</t>
  </si>
  <si>
    <t>National Science Foundation [ANT-0523172, OPP-03-37247]; US National Science Foundation</t>
  </si>
  <si>
    <t>National Science Foundation(National Science Foundation (NSF)); US National Science Foundation(National Science Foundation (NSF))</t>
  </si>
  <si>
    <t>This research was supported by the National Science Foundation under Grant numbers ANT-0523172 and OPP-03-37247. The AMPS data was provided by John Cassano and AMPS is supported by US National Science Foundation support to NCAR, Ohio State University and the University of Colorado. We thank Laurie Padman, Stan Jacobs, Tom Bolmer and the BEDMAP Consortium for help with digital bathymetry. We also thank Alex Orsi and Chrissy Wiederwohl for the use of their climatology of the Ross Sea. Comments from the editor and two very insightful reviews contributed greatly to improving the paper.</t>
  </si>
  <si>
    <t>0967-0645</t>
  </si>
  <si>
    <t>1879-0100</t>
  </si>
  <si>
    <t>DEEP-SEA RES PT II</t>
  </si>
  <si>
    <t>Deep-Sea Res. Part II-Top. Stud. Oceanogr.</t>
  </si>
  <si>
    <t>JUL-AUG</t>
  </si>
  <si>
    <t>13-16</t>
  </si>
  <si>
    <t>10.1016/j.dsr2.2010.11.013</t>
  </si>
  <si>
    <t>788IM</t>
  </si>
  <si>
    <t>WOS:000292438600002</t>
  </si>
  <si>
    <t>Piñones, A; Hofmann, EE; Dinniman, MS; Klinck, JM</t>
  </si>
  <si>
    <t>Pinones, Andrea; Hofmann, Eileen E.; Dinniman, Michael S.; Klinck, John M.</t>
  </si>
  <si>
    <t>Lagrangian simulation of transport pathways and residence times along the western Antarctic Peninsula</t>
  </si>
  <si>
    <t>Western Antarctic Peninsula; Lagrangian circulation; Transport pathways; Residence times; Top predators; Biological hot spots</t>
  </si>
  <si>
    <t>KRILL EUPHAUSIA-SUPERBA; CONTINENTAL-SHELF WATERS; RANDOM-WALK MODELS; MARGUERITE BAY; AUSTRAL FALL; SCOTIA SEA; INTERANNUAL VARIABILITY; CALANUS-FINMARCHICUS; SEASONAL VARIABILITY; VERTICAL MIGRATION</t>
  </si>
  <si>
    <t>The relative contribution of ocean circulation in producing areas where marine mammals and other predators concentrate to produce biological hot spots along the continental shelf of the western Antarctic Peninsula (wAP) was investigated with numerical Lagrangian particle tracking simulations. Circulation distributions used in the Lagrangian simulations were obtained from the Regional Ocean Modeling System (ROMS) configured for the wAP region, with a horizontal resolution of 4 km and a vertical resolution of 24 sigma-layers. To determine release points for the floats, the simulated circulation fields were first analyzed to estimate scales of temporal variability. The temporal decorrelation scales of the simulated surface flow over most of the wAP shelf were 2-3 days. However, decorrelation scales of about 40 days were found for the surface flow in the southern part of Marguerite Bay. Temporal decorrelation scales for the flow below the permanent pycnocline at the depth of Circumpolar Deep Water (CDW) intrusions (below 250 m) were between 40 and 70 days along the northern flank of Marguerite Trough and extending into Marguerite Bay. Near Adelaide Island, Anvers Island and the offshore side of Alexander Island, the velocity decorrelation scales varied between 40 and 60 days. Floats were released in the wAP simulated circulation fields along the outer and mid-shelf at a range of depths in different seasons. The simulated particle trajectories showed preferred sites for across-shelf transport, with Marguerite Trough being a primary pathway for movement of floats into Marguerite Bay, Crystal Sound and the inner shelf region. The three primary biological hot spots, Crystal Sound, Laubeuf Fjord, and off Alexander Island, were sites with the longest particle residence times, being 18-27 days for Alexander Island and Crystal Sound to almost 35 days for Laubeuf Fjord. However, the source regions and circulation processes that provided the input of particles differed for each site. The Lagrangian particle tracking results showed the importance of the circulation in developing localized biological hot spots along the wAP, perhaps by facilitating aggregation of planktonic prey. (C) 2010 Elsevier Ltd. All rights reserved.</t>
  </si>
  <si>
    <t>[Pinones, Andrea; Hofmann, Eileen E.; Dinniman, Michael S.; Klinck, John M.] Old Dominion Univ, CCPO, Norfolk, VA 23508 USA</t>
  </si>
  <si>
    <t>Old Dominion University</t>
  </si>
  <si>
    <t>Piñones, A (corresponding author), Old Dominion Univ, CCPO, 4111 Monarch Way,3rd Floor, Norfolk, VA 23508 USA.</t>
  </si>
  <si>
    <t>mpinones@ccpo.odu.edu</t>
  </si>
  <si>
    <t>Klinck, John/0000-0003-4312-5201; Dinniman, Michael/0000-0001-7519-9278; Pinones, Andrea/0000-0002-1737-9016</t>
  </si>
  <si>
    <t>National Science Foundation [ANT-0523172]</t>
  </si>
  <si>
    <t>National Science Foundation(National Science Foundation (NSF))</t>
  </si>
  <si>
    <t>This research was funded by National Science Foundation Grant ANT-0523172 and is part of the US Southern Ocean GLOBEC Program synthesis and integration phase. We thank three anonymous reviewers for helpful and constructive comments on an earlier version of this paper. We thank R. Beardsley, Woods Hole Oceanographic Institution, for providing the data sets from the four drifters deployed on the western Antarctic Peninsula continental shelf in January 2005 that were used for the simulated drifter evaluations. This is US GLOBEC contribution number 696.</t>
  </si>
  <si>
    <t>10.1016/j.dsr2.2010.07.001</t>
  </si>
  <si>
    <t>WOS:000292438600003</t>
  </si>
  <si>
    <t>Hyatt, J; Beardsley, RC; Owens, WB</t>
  </si>
  <si>
    <t>Hyatt, Jason; Beardsley, Robert C.; Owens, W. Brechner</t>
  </si>
  <si>
    <t>Characterization of sea ice cover, motion and dynamics in Marguerite Bay, Antarctic Peninsula</t>
  </si>
  <si>
    <t>Antarctic Peninsula; Marguerite Bay; Sea ice; Sea ice motion; Sea ice dynamics</t>
  </si>
  <si>
    <t>CIRCULATION; SUMMER; REGION; SHELF; KRILL; FALL</t>
  </si>
  <si>
    <t>As part of the U.S. GLOBEC Southern Ocean Program, data from two automatic weather stations (AWSs) on small islets and upward-looking acoustic Doppler current profilers (ADCPs) and an upward-looking sonar (ULS) on sub-surface moorings have been analyzed to produce time series of atmospheric forcing, sea ice thickness, sea ice and ocean velocities, and sea ice momentum balances within Marguerite Bay and at mid-shelf on the central west Antarctic Peninsula continental shelf for the austral winter-spring seasons of 2001 and 2002. Both years had roughly seven months of nearly complete sea ice cover, but ice onset was about two months earlier in 2002 than 2001 mostly due to extremely cold surface air temperatures in Marguerite Bay during May-June 2002. Sea ice draft was quite variable, but generally thickened with time, reaching similar to 2-3 m by the end of September before thinning. In October, 2002, a polynya was observed at one site within Marguerite Bay that lasted for 4 days. The sea ice motion and dynamics in Marguerite Bay were analyzed when sea ice draft was greater than 2 m. Wind stress during these periods was predominantly southward and southeastward. Wind stress, sea ice, and near-surface water motion were partially correlated, with sea ice motion greater than water motion. Large wind stress and sea ice and water motions occurred during short energetic events of a few days or shorter; however, the rms wind stress, sea ice, and water velocities were small, about 0.3 N m(-2), 8-16 cm s(-1), and 5-7 cm s(-1), respectively. Mean sea ice motion was southward, but quite small, of order 2 cm s(-1), while mean near-surface water motion was not statistically different from zero. The dominant sea ice momentum balance was between wind and internal ice stresses on time scales of several days and longer, with water stress, Coriolis, and tilt terms playing secondary roles. The mean southward wind stress was balanced, within uncertainty, by the mean northward internal ice stress. The strong and variable internal ice stresses were likely due to the onshore winds, the thickness of the sea ice, and the nearby coastline. (C) 2010 Elsevier Ltd. All rights reserved.</t>
  </si>
  <si>
    <t>[Hyatt, Jason] Massachusetts Maritime Acad, Sci &amp; Math Dept, Buzzards Bay, MA 02532 USA; [Hyatt, Jason; Beardsley, Robert C.; Owens, W. Brechner] Woods Hole Oceanog Inst, Dept Phys Oceanog, Woods Hole, MA 02543 USA</t>
  </si>
  <si>
    <t>Massachusetts System of Public Higher Education; Massachusetts Maritime Academy; Woods Hole Oceanographic Institution</t>
  </si>
  <si>
    <t>Hyatt, J (corresponding author), Massachusetts Maritime Acad, Sci &amp; Math Dept, Buzzards Bay, MA 02532 USA.</t>
  </si>
  <si>
    <t>jhyatt@maritime.edu</t>
  </si>
  <si>
    <t>National Science Foundation Office of Polar [OPP 99-10092, ANT 05-23223]; WHOI; WHOI Education Office</t>
  </si>
  <si>
    <t>National Science Foundation Office of Polar; WHOI; WHOI Education Office</t>
  </si>
  <si>
    <t>The AWS equipment, data acquisition and initial processing were generously provided by the Antarctic Meteorological Research Center at the University of Wisconsin, with the support and help of C. Stearns, G. Weidner, M. Lazzara, and J. Thom. We thank the captain and crew of the RV L.M. Gould and RVIB N.B. Palmer, R. Limeburner and the WHOI Sub-surface Mooring Operations Group led by S. Worrilow, and the Raytheon Polar Services support crew responsible for deploying the SO GLOBEC moored array and AWSs. These were the first long-term sub-surface moorings deployed in the study area and the resulting dataset is unique. We also thank J. Tom Farrar for valuable comments on early drafts of the manuscript, two anonymous reviewers who provided detailed and critical comments that significantly helped improve the manuscript, and Ken Brink and Peter Wiebe for their help with the final manuscript. This work was supported by the National Science Foundation Office of Polar Programs grants OPP 99-10092 and ANT 05-23223, the WHOI Smith Chair in Coastal Oceanography, and the WHOI Education Office. This is US GLOBEC contribution number 680.</t>
  </si>
  <si>
    <t>10.1016/j.dsr2.2010.08.021</t>
  </si>
  <si>
    <t>WOS:000292438600005</t>
  </si>
  <si>
    <t>Parker, ML; Donnelly, J; Torres, JJ</t>
  </si>
  <si>
    <t>Parker, Melanie L.; Donnelly, Joseph; Torres, Joseph J.</t>
  </si>
  <si>
    <t>Invertebrate micronekton and macrozooplankton in the Marguerite Bay region of the Western Antarctic Peninsula</t>
  </si>
  <si>
    <t>Micronekton; Macrozooplankton; Krill; Distribution; Assemblage; Antarctic; Western Antarctic Peninsula; Marguerite Bay</t>
  </si>
  <si>
    <t>DIEL VERTICAL MIGRATION; CONTINENTAL-SHELF; EUPHAUSIA-SUPERBA; THYSANOESSA-MACRURA; COMMUNITY STRUCTURE; MESOPELAGIC MICRONEKTON; SAMPLING ZOOPLANKTON; GERLACHE STRAIT; STANDING STOCK; SOUTHERN-OCEAN</t>
  </si>
  <si>
    <t>Invertebrate micronekton and macrozooplankton in the Marguerite Bay region of the Western Antarctic Peninsula (WAP) were sampled using a 10-m(2) MOCNESS as part of the Southern Ocean Global Ecosystem Dynamics (SO GLOBEC) program. A total of 62 trawls were completed during four separate cruises in the austral fall (April-June) and winter (July-September) of 2001 and 2002. Crustaceans dominated the system in both seasons, accounting for 32 of the 55 species captured in the fall and 30 of the 48 species captured in winter. In both seasons, a very few species made up the majority of the catch. In the fall, the euphausiids Euphausia crystallorophias, Euphausia superba, and Thysanoessa macrura, and the mysid Antarctomysis ohlinii numerically dominated the assemblage, contributing over 85% of the total. In the winter, the same three euphausiids and the chaetognath Pseudosagitta gazellae were the numerical dominants, comprising over 90% of the catch. A significant increase in total abundance and biomass was observed from 2001 to 2002. The invertebrate micronekton/macrozooplankton communities found in the Marguerite Bay region of the WAP were a mixture of oceanic and neritic fauna: a direct result of local hydrographic conditions. Near the shelf break and in the outer reaches of the Marguerite Trough, a deep canyon transecting the shelf in a south-southeast direction, the communities were more diverse, dominated by oceanic species such as Euphausia triacantha, Salpa thompsoni, and Themisto gaudichaudi. The assemblages present in the nearshore fjords exhibited lower diversity and were dominated by neritic species such as E. crystallorophias and A. ohlinii. At the mid-shelf and mid-trough locations, the assemblages were composed of a variable mixture of oceanic and neritic fauna. The faunal mixing and overall species composition in those areas is the result of episodic Circumpolar Deep Water (CDW) intrusions onto the shelf via deep bathymetric features such as the Marguerite Trough. Species diversity and integrated abundance for the upper 200 m of the water column were similar between seasons in the WAP study region, but integrated biomass was nearly three times greater in fall than in winter. Integrated estimates from the WAP study region were similar to those from other studies conducted in the Scotia and Weddell Seas, but were orders of magnitude lower than estimates from a study in Croker Passage, primarily due to a large catch of E. superba. In contrast, species diversity in the WAP was higher than recorded in any of the previously mentioned studies, which is due to the mixing of typical oceanic fauna with endemic nearshore fauna. (C) 2010 Elsevier Ltd. All rights reserved.</t>
  </si>
  <si>
    <t>[Parker, Melanie L.; Donnelly, Joseph; Torres, Joseph J.] Univ S Florida, Coll Marine Sci, St Petersburg, FL 33701 USA</t>
  </si>
  <si>
    <t>State University System of Florida; University of South Florida</t>
  </si>
  <si>
    <t>Parker, ML (corresponding author), Univ S Florida, Coll Marine Sci, 140 7th Ave S, St Petersburg, FL 33701 USA.</t>
  </si>
  <si>
    <t>melanie.parker@myfwc.com</t>
  </si>
  <si>
    <t>NSF [OPP 9910100, OPP 0523332]</t>
  </si>
  <si>
    <t>The authors gratefully acknowledge the help of the captains and crews of the ARSV Lawrence M. Gould and the RVIB Nathaniel B. Palmer. The logistics and personnel support of Raytheon Polar Services headed up by Alice Doyle were critical to the success of our trawling program. We would like to thank all our MST's, but particularly Christian McDonald, Josh Spillane, and Stian Alesandrini for assisting us on deck and guarding us underwater. Our trawling group included Joel Bellucci, Tom Bailey, Scott Burghart, Michelle Grigsby, Ann Peterson, Ester Quintana, Chris Simoniello, and Tracey Sutton. This research was supported by NSF Grant nos. OPP 9910100 and OPP 0523332 to J.J. Torres.</t>
  </si>
  <si>
    <t>10.1016/j.dsr2.2010.08.020</t>
  </si>
  <si>
    <t>WOS:000292438600007</t>
  </si>
  <si>
    <t>Marrari, M; Daly, KL; Timonin, A; Semenova, T</t>
  </si>
  <si>
    <t>Marrari, Marina; Daly, Kendra L.; Timonin, Alexander; Semenova, Tatjana</t>
  </si>
  <si>
    <t>The zooplankton of Marguerite Bay, Western Antarctic Peninsula-Part I: Abundance, distribution, and population response to variability in environmental conditions</t>
  </si>
  <si>
    <t>Euphausia superba; Thysanoessa macrura; Euphausia crystallorophias; Copepods; Ostracods; Pteropods; Antarctic Peninsula; Southern Ocean</t>
  </si>
  <si>
    <t>KRILL EUPHAUSIA-SUPERBA; DIEL VERTICAL MIGRATION; LIFE-CYCLE STRATEGIES; WEDDELL-SEA; THYSANOESSA-MACRURA; METRIDIA-GERLACHEI; CALANOIDES-ACUTUS; BRANSFIELD STRAIT; SOUTHERN-OCEAN; AUSTRAL FALL</t>
  </si>
  <si>
    <t>The zooplankton community of Marguerite Bay was studied during austral fall of 2001 and 2002 using net and concurrent environmental data. Interannual differences were observed in zooplankton species composition, developmental stages, and abundances, which were linked to unusually high chlorophyll concentrations in the Bellingshausen Sea and Marguerite Bay during spring-summer 2000/2001. Copepod abundance was significantly higher in 2001 than in 2002 (46.3 and 28.3 ind m(-3) in 2001 and 2002, respectively). During 2001, the copepod community was dominated by two species. Calanoides acutus, a herbivore, and Metridia gerlachei, an omnivore, accounted for 46% and 45% of the community, respectively. During 2002, however, several species were relatively abundant, including M. gerlachei, Ctenocalanus spp., C acutus, Oithona spp., and Paraeuchaeta spp. Euphausiids also showed a rapid population response to high chlorophyll levels in 2001. Even though average total euphausiid (juvenile/adult) abundances were similar during both years (0.20 and 0.15 ind m(-3) for 2001 and 2002, respectively), species composition showed marked interannual differences due to varying life history strategies among species. Thysanoessa macrura, which has a relatively rapid development from larval to juvenile stages between spring and fall of the same year, was the most abundant euphausiid in 2001. In contrast, Euphausia crystallorophias and Euphausia superba juvenile/adult populations increased in 2002, owing to a slower development in which larval stages overwinter and recruit to juveniles during the following spring/summer. Other zooplankton groups those were abundant in Marguerite Bay, but showed little variability between years, included ostracods, pteropods, chaetognaths, medusae, amphipods, and mysids. Summer phytoplankton concentrations strongly influenced copepods and euphausiids; however, there were no clear associations between zooplankton distributions and fall environmental conditions (i.e., pigment concentrations and surface salinity) or bottom depth. It is notable that ostracods and pteropods had the highest abundances of non-copepod zooplankton. (C) 2010 Elsevier Ltd. All rights reserved.</t>
  </si>
  <si>
    <t>[Daly, Kendra L.] Univ S Florida, Coll Marine Sci, St Petersburg, FL 33701 USA; [Marrari, Marina] NASA, Goddard Space Flight Ctr, Greenbelt, MD 20771 USA; [Timonin, Alexander; Semenova, Tatjana] Russian Acad Sci, PP Shirshov Oceanol Inst, Moscow 117851, Russia</t>
  </si>
  <si>
    <t>State University System of Florida; University of South Florida; National Aeronautics &amp; Space Administration (NASA); NASA Goddard Space Flight Center; Russian Academy of Sciences; Shirshov Institute of Oceanology</t>
  </si>
  <si>
    <t>Daly, KL (corresponding author), Univ S Florida, Coll Marine Sci, 140 7th Ave S, St Petersburg, FL 33701 USA.</t>
  </si>
  <si>
    <t>marina@seawifs.gsfc.nasa.gov</t>
  </si>
  <si>
    <t>NSF [OPP-9910610, OPP-196489]</t>
  </si>
  <si>
    <t>We thank the captain and crew of the R.V. L.M. Gould for support at sea, and Meng Zhou, Yiwu Zhu, Ryan Dorland, Dan Mertes, and Joe Smith for collecting the 1 m2-MOCNESS samples. We are grateful to Jason Zimmerman for assistance with MOCNESS sample analyses, and to Kevin Arrigo and Gert van Dijken for kindly providing sea ice images. We also thank Chuanmin Hu for help with SeaWiFS data processing, and Meng Zhou for assistance with figure preparation. Chlorophyll data for 2001 provided by C. Fritsen. Funding for this research provided by NSF Grant nos. OPP-9910610 and OPP-196489. This publication represents US GLOBEC contribution no. 697.</t>
  </si>
  <si>
    <t>10.1016/j.dsr2.2010.12.007</t>
  </si>
  <si>
    <t>WOS:000292438600008</t>
  </si>
  <si>
    <t>Batta-Lona, PG; Bucklin, A; Wiebe, PH; Patarnello, T; Copley, NJ</t>
  </si>
  <si>
    <t>Batta-Lona, Paola G.; Bucklin, Ann; Wiebe, Peter H.; Patarnello, Tomaso; Copley, Nancy J.</t>
  </si>
  <si>
    <t>Population genetic variation of the Southern Ocean krill, Euphausia superba, in the Western Antarctic Peninsula region based on mitochondrial single nucleotide polymorphisms (SNPs)</t>
  </si>
  <si>
    <t>Euphausia superba; Population genetics; Single nucleotide polymorphism; Southern Ocean krill</t>
  </si>
  <si>
    <t>AUSTRAL FALL; DANA; VARIABILITY; IDENTIFICATION; DYNAMICS; WINTER; DIFFERENTIATION; HYDROGRAPHY; CIRCULATION; CURRENTS</t>
  </si>
  <si>
    <t>The Southern Ocean krill, Euphausia superba, is one of the best-studied marine zooplankton species in terms of population genetic diversity and structure; with few exceptions, previous studies have shown the species to be genetically homogeneous at larger spatial scales. The goals of this study are to examine sub-regional scale population genetic diversity and structure of E. superba using molecular characters selected with this goal in mind, and to thereby examine hypotheses of the source(s) of recruitment for krill populations of the Western Antarctic Peninsula (WAP). Collections were made throughout the WAP region during US GLOBEC cruises in austral fall, 2001 and 2002. A total of 585 E. superba (including all 6 furcilia larval stages, juveniles, and adults) was analyzed after confirmation of species identification using a competitive multiplexed species-specific PCR (SS-PCR) reaction based on mitochondrial cytochrome oxidase I (mtCOI) sequences. The molecular markers used were allele frequencies at single nucleotide polymorphism (SNP) sites in the gene encoding mitochondria! Cytochrome b (cyt 6). Four SNP sites that showed desirable patterns of allelic variation were selected; alleles were detected using a multiplexed single-base extension PCR protocol. A total of 22 SNP haplotypes (i.e., strings of polymorphisms at the four SNP sites) was observed; haplotype diversity (Hd)=0.811 (s.d.=0.008). Analysis of molecular variation within and among samples, areas (i.e., Marguerite Bay, Crystal Sound, shelf, and offshore) and collection years revealed no difference between 2001 and 2002 collections overall, although differences between 2001 and 2002 collections from Marguerite Bay explained 7.4% of the variance (F-ST=0.072; p=0.002 +/- 0.001). Most of the variation (96.3%) occurred within samples each year, with no significant differentiation among areas. There was small, but significant differentiation among samples within areas in 2001 (4.6%; F-ST=0.045; p=0.015 +/- 0.003) and 2002 (6.3%; F-ST=0.062; p=0.000 +/- 0.000). There was evidence of life stage-specific spatial differentiation for furcilia in 2002 for F1 (18.1%, p=0.000 +/- 0.000) and F2 (9.2%, p=0.001 +/- 0.001). The significant differentiation among samples for E. superba within areas was interpreted as evidence of multiple sources of recruitment of E. superba in the WAP region, consistent with advective transport in observed circulation patterns and reproduction and spawning in both offshore and shelf habitats. Further population genetic analysis at sub-regional scales is needed to understand and eventually predict population dynamic processes (e.g., recruitment, migration, retention, and over-wintering) of Southern Ocean krill. (C) 2010 Elsevier Ltd. All rights reserved.</t>
  </si>
  <si>
    <t>[Batta-Lona, Paola G.; Bucklin, Ann] Univ Connecticut, Dept Marine Sci, Groton, CT 06340 USA; [Wiebe, Peter H.; Copley, Nancy J.] Woods Hole Oceanog Inst, Dept Biol, Woods Hole, MA 02543 USA; [Patarnello, Tomaso] Univ Padua, Dept Publ Hlth Comparat Pathol &amp; Vet Hyg, I-35100 Padua, Italy</t>
  </si>
  <si>
    <t>University of Connecticut; Woods Hole Oceanographic Institution; University of Padua</t>
  </si>
  <si>
    <t>Batta-Lona, PG (corresponding author), Univ Connecticut, Dept Marine Sci, Groton, CT 06340 USA.</t>
  </si>
  <si>
    <t>paola.batta_lona@uconn.edu</t>
  </si>
  <si>
    <t>; Batta-Lona, Paola G/B-7848-2016</t>
  </si>
  <si>
    <t>PATARNELLO, Tomaso/0000-0003-1794-5791; Copley, Nancy/0000-0003-1473-8789; Batta-Lona, Paola G/0000-0002-6477-6110; Wiebe, Peter/0000-0002-6059-4651; Bucklin, Ann/0000-0003-3750-9348</t>
  </si>
  <si>
    <t>NSF Office of Polar [OPP-0338195, OPP-0610789, OPP-0431357]; Italian National Antarctic Research Program; Directorate For Geosciences; Division Of Polar Programs [1044982] Funding Source: National Science Foundation</t>
  </si>
  <si>
    <t>NSF Office of Polar(National Science Foundation (NSF)); Italian National Antarctic Research Program; Directorate For Geosciences; Division Of Polar Programs(National Science Foundation (NSF)NSF - Directorate for Geosciences (GEO))</t>
  </si>
  <si>
    <t>We thank the Captains and crew of the R/V/IB Nathaniel B. Palmer for their contributions to this effort. We acknowledge the assistance of Gareth Lawson (Woods Hole Oceanographic Institution) in sharing the early results of his krill patch studies in the Western Antarctic Peninsula region. Technical support and assistance was provided by Lisa M. Nigro (University of Connecticut) and Erica Bortolotto (University of Padova). Funding was provided by NSF Office of Polar Programs (Award nos. OPP-0338195 and OPP-0610789 to A.B. and T.P.; OPP-0431357 to P.H.W.). Additional funding was provided to T.P. by the Italian National Antarctic Research Program.</t>
  </si>
  <si>
    <t>10.1016/j.dsr2.2010.11.017</t>
  </si>
  <si>
    <t>WOS:000292438600011</t>
  </si>
  <si>
    <t>Hunt, BPV; Pakhomov, EA; Siegel, V; Strass, V; Cisewski, B; Bathmann, U</t>
  </si>
  <si>
    <t>Hunt, B. P. V.; Pakhomov, E. A.; Siegel, V.; Strass, V.; Cisewski, B.; Bathmann, U.</t>
  </si>
  <si>
    <t>The seasonal cycle of the Lazarev Sea macrozooplankton community and a potential shift to top-down trophic control in winter</t>
  </si>
  <si>
    <t>Antarctic; Macrozooplankton; Seasonality; Winter; Food web; Community structure</t>
  </si>
  <si>
    <t>EASTERN ATLANTIC SECTOR; AUSTRAL SUMMER 1997/1998; MIDWATER FOOD WEB; MARGINAL ICE-ZONE; ANTARCTIC PENINSULA; SOUTHERN-OCEAN; EUPHAUSIA-SUPERBA; WEDDELL SEA; SCOTIA SEA; DISTRIBUTION PATTERNS</t>
  </si>
  <si>
    <t>Between 2004 and 2008, during the German Southern Ocean GLOBEC programme, four large scale bio-oceanographic surveys were conducted in the Lazarev Sea for the Lazarev Sea Krill Survey (LAKRIS). These surveys were completed in Autumn (April-May) 2004, Summer (December-January) 2005/06, Winter (July-August) 2006, and Summer (December-January) 2007/08. On each occasion macrozooplankton communities were sampled by RMT-8 in the upper 200 m of the water column. Chlorophyll a biomass averaged similar to 1.5 mg m(-3) (max=8.2 mg m(-3)) in Summer 05/06, 0.88 mg m(-3) (max=2.77 mg m(-3)) in Summer 07/08, 0.24 mg m(-3) (max=0.73 mg m(-3)) in Autumn 04, and 0.042 mg m(-3) (max= 0.1 mg m(-3)) in Winter 06. Macrozooplankton densities did not differ significantly between seasons and were 53, 68, 59, and 48 ind. 1000 m(-3) in Summer 05/06, Summer 07/08, Autumn, and Winter, respectively. Total macrozooplankton biomass, however, increased significantly from summer (0.88 and 0.97 g dry weight 1000 m(-3) in Summer 05/06 and Summer 07/08, respectively) to Autumn 04 (2.66 g dry weight 1000 m(-3)) and Winter 06 levels (1.75 g dry weight 1000 m(-3)). This biomass increase was due to both an increased occurrence of Euphausia superba and fish and a shift to a larger size structure in the latter group. Siphonophores (predominantly Diphyes antarctica), chaetognaths (predominantly Eukrohnia hamata and Sagitta gazellae) and euphausiids (predominantly Thysanoessa macrura and E. superba) contributed &gt;80% to total densities in all four surveys. However, a strong and distinctive change in assemblage structure was observed between seasons. Key amongst these was a shift within the euphausiids from a dominance of T. macrura in summer to that of E. superba in autumn and winter; a winter decrease in E. hamata; an autumn and winter decrease in Tomopteris sp.; and a winter increase in the abundance of the grazers Clio pyramidata sulcata and Ihlea racovitzai, hyperiids, and the myctophid fish Electrona antarctica. Carnivorous macrozooplankton formed the major trophic group in all seasons, contributing 44-60% to total macrozooplankton abundance and 39-58% to total macrozooplankton biomass in all four surveys. The combined predation pressure of carnivores and potential increased winter carnivory by E. superba and other omnivorous species, was expected to be high. In view of low winter primary production, we suggest that the epipelagic food web of the Lazarev Sea shifted from being bottom-up controlled in summer to top-down controlled in winter. (C) 2010 Elsevier Ltd. All rights reserved.</t>
  </si>
  <si>
    <t>[Hunt, B. P. V.; Pakhomov, E. A.] Univ British Columbia, Dept Earth &amp; Ocean Sci, Vancouver, BC V6T 1Z4, Canada; [Siegel, V.] Sea Fisheries Res Inst, D-22767 Hamburg, Germany; [Strass, V.; Cisewski, B.; Bathmann, U.] Alfred Wegener Inst Polar &amp; Marine Res, D-27515 Bremerhaven, Germany</t>
  </si>
  <si>
    <t>University of British Columbia; Helmholtz Association; Alfred Wegener Institute, Helmholtz Centre for Polar &amp; Marine Research</t>
  </si>
  <si>
    <t>Hunt, BPV (corresponding author), Univ British Columbia, Dept Earth &amp; Ocean Sci, 6339 Stores Rd, Vancouver, BC V6T 1Z4, Canada.</t>
  </si>
  <si>
    <t>bhunt@eos.ubc.ca</t>
  </si>
  <si>
    <t>Bathmann, Ulrich/ISV-4351-2023; Cisewski, Boris/GWV-4320-2022</t>
  </si>
  <si>
    <t>Cisewski, Boris/0000-0002-1130-6107; Strass, Volker/0000-0002-7539-1400</t>
  </si>
  <si>
    <t>German LAKRIS (Bundesministerium fur Bildung und Forschung, BMBF Forschungsvorhaben) [03F0406A]; Institute for Environmental Physics at the University of Bremen [LAKRIS 03F0400B]; Alexander von Humboldt Foundation</t>
  </si>
  <si>
    <t>German LAKRIS (Bundesministerium fur Bildung und Forschung, BMBF Forschungsvorhaben)(Federal Ministry of Education &amp; Research (BMBF)); Institute for Environmental Physics at the University of Bremen; Alexander von Humboldt Foundation(Alexander von Humboldt Foundation)</t>
  </si>
  <si>
    <t>We would like to thank the captains and crew of the R.V. Polarstern for enabling us to complete our sampling programme, L Gurney, M. Haraldsson, M. Vortkamp, and L Wurzberg for their invaluable assistance in sample collection, and C. Wabnitz for comments on the final draft. The surveys were financially supported by the German LAKRIS Project (Bundesministerium fur Bildung und Forschung, BMBF Forschungsvorhaben 03F0406A). Salary and travel for BC was provided through a project led by Prof. M. Rhein at the Institute for Environmental Physics at the University of Bremen (Grant Reference LAKRIS 03F0400B). AWI Research stay of E.A. Pakhomov was supported by the Alexander von Humboldt Foundation. This publication is number 18988 of the Alfred Wegener Institute. Finally we would like to thank two anonymous reviewers whose comments greatly improved the manuscript.</t>
  </si>
  <si>
    <t>10.1016/j.dsr2.2010.11.016</t>
  </si>
  <si>
    <t>WOS:000292438600012</t>
  </si>
  <si>
    <t>Pakhomov, EA; Dubischar, CD; Hunt, BPV; Strass, V; Cisewski, B; Siegel, V; von Harbou, L; Gurney, L; Kitchener, J; Bathmann, U</t>
  </si>
  <si>
    <t>Pakhomov, E. A.; Dubischar, C. D.; Hunt, B. P. V.; Strass, V.; Cisewski, B.; Siegel, V.; von Harbou, L.; Gurney, L.; Kitchener, J.; Bathmann, U.</t>
  </si>
  <si>
    <t>Biology and life cycles of pelagic tunicates in the Lazarev Sea, Southern Ocean</t>
  </si>
  <si>
    <t>LAKRIS; Lazarev Sea; German SO-GLOBEC; Pelagic tunicates; Salpa thompsoni; Ihlea racovitzai; Biology; Life cycle</t>
  </si>
  <si>
    <t>LARVAL EUPHAUSIA-SUPERBA; SALPA-THOMPSONI FOXTON; ATLANTIC SECTOR; AUSTRAL SUMMER; SALP/KRILL INTERACTIONS; IHLEA-RACOVITZAI; ICE EXTENT; KRILL; CARBON; PHYTOPLANKTON</t>
  </si>
  <si>
    <t>Four grid surveys were carried out in the top 200 m layer of the Lazarev Sea during fall 2004, summer 2005-06, winter 2006 and summer 2007-08 onboard the R.V. Polarstern as a part of the German SO-GLOBEC. The distribution, abundance and biology of two species of salps, Salpa thompsoni and Ihlea racovitzai, were investigated. With the exception of fall 2004, I. racovitzai dominated the salp community although being represented by low densities (&lt;20 ind. 1000 m(-3)). S. thompsoni was scarce during the summers of 2005-06 and 2007-08 and almost absent from the region during winter 2006. Nevertheless, it was modestly numerous during fall 2004 reaching densities of up to 33 ind. 1000 m(-3) in the southwestern stations of the grid. The data on the seasonal population structure and life cycle off. racovitzai showed that this species followed the generalized pattern typical of S. thompsoni, i.e. sexual/asexual reproduction and spawning during fall. I. racovitzai densities were the lowest during summer, increased during fall and peaked in during winter. Numerous offspring were produced by I. racovitzai during fall, just before the area became ice-covered. Conversely, S. thompsoni was not able to complete its life cycle in the Lazarev Sea, with a high occurrence of stage X (unfertilized) aggregates present. Highest S. thompsoni densities in summer and fall, and its disappearance in winter are indicative of a population of the expatriate origin that is sustained by advection. Crown Copyright (C) 2010 Published by Elsevier Ltd. All rights reserved.</t>
  </si>
  <si>
    <t>[Pakhomov, E. A.; Hunt, B. P. V.; Gurney, L.] Univ British Columbia, Dept Earth &amp; Ocean Sci, Vancouver, BC V6T 1Z4, Canada; [Dubischar, C. D.; Strass, V.; Cisewski, B.; von Harbou, L.; Bathmann, U.] Alfred Wegener Inst Polar &amp; Marine Res, D-27515 Bremerhaven, Germany; [Siegel, V.] Sea Fisheries Res Inst, D-22767 Hamburg, Germany; [Kitchener, J.] Australian Antarctic Div, Kingston, Tas 7050, Australia</t>
  </si>
  <si>
    <t>University of British Columbia; Helmholtz Association; Alfred Wegener Institute, Helmholtz Centre for Polar &amp; Marine Research; Australian Antarctic Division</t>
  </si>
  <si>
    <t>Pakhomov, EA (corresponding author), Univ British Columbia, Dept Earth &amp; Ocean Sci, 6339 Stores Rd, Vancouver, BC V6T 1Z4, Canada.</t>
  </si>
  <si>
    <t>epakhomov@eos.ubc.ca</t>
  </si>
  <si>
    <t>Cisewski, Boris/0000-0002-1130-6107; Strass, Volker/0000-0002-7539-1400; Kitchener, John/0000-0003-4642-3044</t>
  </si>
  <si>
    <t>German LAKRIS (Bundesministerium fur Bildung und Forschung, BMBF Forschungsvorhaben) [03F0406A/B]; Alexander von Humboldt Foundation</t>
  </si>
  <si>
    <t>German LAKRIS (Bundesministerium fur Bildung und Forschung, BMBF Forschungsvorhaben)(Federal Ministry of Education &amp; Research (BMBF)); Alexander von Humboldt Foundation(Alexander von Humboldt Foundation)</t>
  </si>
  <si>
    <t>We would like to thank the captains and crew of the R.V. Polarstern for enabling us to complete our sampling program, and M. Brener, L. Wurzberg, M. Vortkamp and M. Haraldsson for invaluable assistance in sample collection. The surveys were financially supported by the German LAKRIS Project (Bundesministerium fur Bildung und Forschung, BMBF Forschungsvorhaben 03F0406A/B), which also provided salary for Boris Cisewski in the project led by Prof. M. Rhein at the Institute for Environmental Physics at the University of Bremen, Germany. AWI Research stay of E.A. Pakhomov was supported by the Alexander von Humboldt Foundation. AWI publication number is awi-n18978.</t>
  </si>
  <si>
    <t>10.1016/j.dsr2.2010.11.014</t>
  </si>
  <si>
    <t>WOS:000292438600013</t>
  </si>
  <si>
    <t>Cullins, TL; DeVries, AL; Torres, JJ</t>
  </si>
  <si>
    <t>Cullins, Tammy L.; DeVries, Arthur L.; Torres, Joseph J.</t>
  </si>
  <si>
    <t>Antifreeze proteins in pelagic fishes from Marguerite Bay (Western Antarctica)</t>
  </si>
  <si>
    <t>Antifreeze proteins; Pelagic fishes; Antarctic endemic fishes; Continental shelf; Western Antarctic Peninsula; Marguerite Bay</t>
  </si>
  <si>
    <t>CROSS-SHELF EXCHANGE; FREEZING RESISTANCE; WEDDELL SEA; CIRCULATION; ICE; GLYCOPEPTIDES; EVOLUTION; GLYCOPROTEINS; MICRONEKTON; ECOSYSTEMS</t>
  </si>
  <si>
    <t>The Southern Ocean is home to two major types of fishes: the largely endemic suborder Notothenioidei and representatives of oceanic fish families that are widely distributed in the midwater and benthic environments elsewhere (e.g. bathylagids, myctophids, liparids, and zoarcids). In most regions of the coastal Antarctic, e.g. the Ross Sea, there is a distinct separation in the pelagic communities at the shelf break between the oceanics (off-shelf) and the endemics (on-shelf). Coincidentally, in much of the coastal Antarctic, the shelf break also marks the boundary between a water column entirely composed of the very cold (-2 degrees C) Ice Shelf Water and an oceanic profile that includes warmer circumpolar deep water (2 degrees C at 200 m) at intermediate depths. The distinct separation in pelagic communities observed in most coastal regions of the Antarctic is not seen on the western Antarctic Peninsula (WAP), where circumpolar deep water intrudes to form a warmer midwater and oceanic species are strongly represented. It was hypothesized that the cold ice-shelf water, lethal to fishes without antifreeze glycoproteins (AFGPs) in their blood, was excluding the oceanic species from most of the Antarctic continental shelf waters. To test the hypothesis, nine species of fish captured in WAP shelf waters were tested for the presence of AFGPs. The oceanic fish families analyzed: Myctophidae (Electrona and Gymnoscopelus), Zoarcidae (Melanostigma), Gempylidae (Paradiplospinus), Paralepididae (Notolepis), and Bathylagidae (Bathylagus) showed no antifreeze activity. Two endemic species captured in the same sampling program did show antifreeze activity: the important pelagic species Pleuragramma antarcticum (Nototheniidae) and the Bathydraconid species Vomeridens infuscipinnus. The absence of AFGPs in the blood of Antarctic oceanic species makes a strong case for temperature exclusion of oceanic fishes in the coastal Antarctic. (C) 2010 Elsevier Ltd. All rights reserved.</t>
  </si>
  <si>
    <t>[Cullins, Tammy L.; Torres, Joseph J.] Univ S Florida, Coll Marine Sci, St Petersburg, FL 33701 USA; [DeVries, Arthur L.] Univ Illinois, Urbana, IL 61801 USA</t>
  </si>
  <si>
    <t>State University System of Florida; University of South Florida; University of Illinois System; University of Illinois Urbana-Champaign</t>
  </si>
  <si>
    <t>Torres, JJ (corresponding author), Univ S Florida, Coll Marine Sci, 140 7th Ave S, St Petersburg, FL 33701 USA.</t>
  </si>
  <si>
    <t>jtorres@marine.usf.edu</t>
  </si>
  <si>
    <t>NSF [OPP 9910100, OPP 0523332, OPP CC 2006-06961ANTC]</t>
  </si>
  <si>
    <t>The authors would first like to thank Ann Petersen for collecting the many blood samples used in the present study as well as her great good cheer on GLOBEC III. We gratefully acknowledge the help of the captains and crews of the A.R.S.V. Lawrence M. Gould and the R.V.I.B. Nathaniel B. Palmer. The logistics and personnel support of Raytheon Polar Services headed up by Alice Doyle were critical to the success of our trawling program. We would like to thank all our MST's, but particularly Christian McDonald, Josh Spillane, and Stian Alessandrini, our companions on deck over the four cruises. The advice of Skip Owen and Steve Ager kept our cruises on the Gould running smoothly and safely. Joe Donnelly, Joel Bellucci, Melanie Parker, Scott Burghart, and Tom Bailey were the backbone of our program. Our trawling group included Michelle Grigsby, Ester Quintana, Chris Simoniello, and Tracey Sutton. Thank you one and all. This research was supported by NSF OPP 9910100 and NSF OPP 0523332 to J.J. Torres and by NSF OPP CC 2006-06961ANTC. This is US GLOBEC contribution 699.</t>
  </si>
  <si>
    <t>10.1016/j.dsr2.2009.05.034</t>
  </si>
  <si>
    <t>WOS:000292438600014</t>
  </si>
  <si>
    <t>Ribic, CA; Ainley, DG; Ford, RG; Fraser, WR; Tynan, CT; Woehler, EJ</t>
  </si>
  <si>
    <t>Ribic, Christine A.; Ainley, David G.; Ford, R. Glenn; Fraser, William R.; Tynan, Cynthia T.; Woehler, Eric J.</t>
  </si>
  <si>
    <t>Water masses, ocean fronts, and the structure of Antarctic seabird communities: Putting the eastern Bellingshausen Sea in perspective</t>
  </si>
  <si>
    <t>Antarctica; Western Antarctic Peninsula; Southern Ocean; Seabirds; Fronts; Water masses; Species diversity; Faunal composition</t>
  </si>
  <si>
    <t>SOUTHERN DRAKE PASSAGE; PRODUCTIVITY GRADIENT; BRANSFIELD STRAIT; AVIAN PREDATORS; MARGUERITE BAY; PACIFIC-OCEAN; KING PENGUINS; PREY; ICE; ABUNDANCE</t>
  </si>
  <si>
    <t>Waters off the western Antarctic Peninsula (i.e., the eastern Bellingshausen Sea) are unusually complex owing to the convergence of several major fronts. Determining the relative influence of fronts on occurrence patterns of top-trophic species in that area, therefore, has been challenging. In one of the few ocean-wide seabird data syntheses, in this case for the Southern Ocean, we analyzed ample, previously collected cruise data, Antarctic-wide, to determine seabird species assemblages and quantitative relationships to fronts as a way to provide context to the long-term Palmer LTER and the winter Southern Ocean GLOBEC studies in the eastern Bellingshausen Sea. Fronts investigated during both winter (April-September) and summer (October-March) were the southern boundary of the Antarctic Circumpolar Current (ACC), which separates the High Antarctic from the Low Antarctic water mass, and within which are embedded the marginal ice zone and Antarctic Shelf Break Front; and the Antarctic Polar Front, which separates the Low Antarctic and the Subantarctic water masses. We used clustering to determine species' groupings with water masses, and generalized additive models to relate species' densities, biomass and diversity to distance to respective fronts. Antarctic-wide, in both periods, highest seabird densities and lowest species diversity were found in the High Antarctic water mass. In the eastern Bellingshausen, seabird density in the High Antarctic water mass was lower (as low as half that of winter) than found in other Antarctic regions. During winter, Antarctic-wide, two significant species groups were evident: one dominated by Adelie penguins (Pygoscelis adeliae) (High Antarctic water mass) and the other by petrels and prions (no differentiation among water masses); in eastern Bellingshausen waters during winter, the one significant species group was composed of species from both Antarctic-wide groups. In summer, Antarctic-wide, a High Antarctic group dominated by Adelie penguins, a Low Antarctic group dominated by petrels, and a Subantarctic group dominated by albatross were evident. In eastern Bellingshausen waters during summer, groups were inconsistent. With regard to frontal features. Antarctic-wide in winter, distance to the ice edge was an important explanatory factor for nine of 14 species, distance to the Antarctic Polar Front for six species and distance to the Shelf Break Front for six species; however, these Antarctic-wide models could not successfully predict spatial relationships of winter seabird density (individual species or total) and biomass in the eastern Bellingshausen. Antarctic-wide in summer, distance to land/Antarctic continent was important for 10 of 18 species, not a surprising result for these summer-time Antarctic breeders, as colonies are associated with ice-free areas of coastal land. Distance to the Shelf Break Front was important for 8 and distance to the southern boundary of the ACC was important for 7 species. These summer models were more successful in predicting eastern Bellingshausen species density and species diversity but failed to predict total seabird density or biomass. Antarctic seabirds appear to respond to fronts in a way similar to that observed along the well-studied upwelling front of the California Current. To understand fully the seabird patterns found in this synthesis, multi-disciplinary at-sea investigations, including a quantified prey field, are needed. Published by Elsevier Ltd.</t>
  </si>
  <si>
    <t>[Ribic, Christine A.] Univ Wisconsin, Dept Forest &amp; Wildlife Ecol, Wisconsin Cooperat Wildlife Res Unit, US Geol Survey, Madison, WI 53706 USA; [Ainley, David G.] HT Harvey &amp; Associates, Los Gatos, CA 95032 USA; [Ford, R. Glenn] Univ Calif Santa Cruz, Inst Marine Sci, Santa Cruz, CA 95064 USA; [Fraser, William R.] Polar Oceans Res Grp, Sheridan, MT 59749 USA; [Tynan, Cynthia T.] Associated Scientists Woods Hole, W Falmouth, MA 02574 USA; [Woehler, Eric J.] Univ Tasmania, Sch Zool, Hobart, Tas 7001, Australia</t>
  </si>
  <si>
    <t>United States Department of the Interior; United States Geological Survey; University of Wisconsin System; University of Wisconsin Madison; University of California System; University of California Santa Cruz; University of Tasmania</t>
  </si>
  <si>
    <t>Ribic, CA (corresponding author), Univ Wisconsin, Dept Forest &amp; Wildlife Ecol, Wisconsin Cooperat Wildlife Res Unit, US Geol Survey, Madison, WI 53706 USA.</t>
  </si>
  <si>
    <t>caribic@wisc.edu; dainley@penguinscience.com; eci@teleport.com; bfraser@3rivers.net; snowpetrel@comcast.net; eric.woehler@utas.edu.au</t>
  </si>
  <si>
    <t>Woehler, Eric/0000-0002-1125-0748</t>
  </si>
  <si>
    <t>National Science Foundation (NSF) [ANT-0522043]; Australian Antarctic Research Advisory Committee [2208, 2953]; NSF [OPP-9910096, DPP-9505596, OPP-9632763, OPP-9907950, OPP-9910095, OPP-0217282, OPP-0224727, OPP-0130525, OPP-0523261, DPP7615358, DPP7615358-AO1, DPP7820755, DPP7820755-AO1, DPP8304815, DPP8419894, OPP94-00809]; Directorate For Geosciences; Office of Polar Programs (OPP) [0741351, 0823101] Funding Source: National Science Foundation</t>
  </si>
  <si>
    <t>National Science Foundation (NSF)(National Science Foundation (NSF)); Australian Antarctic Research Advisory Committee; NSF(National Science Foundation (NSF)); Directorate For Geosciences; Office of Polar Programs (OPP)(National Science Foundation (NSF)NSF - Directorate for Geosciences (GEO))</t>
  </si>
  <si>
    <t>This data compilation and analysis project was funded directly by the National Science Foundation (NSF) Grant ANT-0522043. Cruise data were collected through the logistical efforts of the Australian Antarctic Division (AAD) and approved by the Australian Antarctic Research Advisory Committee (Projects 2208 and 2953) and the US Antarctic Research Program (NSF Grants OPP-9910096, DPP-9505596, OPP-9632763, OPP-9907950, OPP-9910095, OPP-0217282, OPP-0224727, OPP-0130525, OPP-0523261, DPP7615358, DPP7615358-AO1, DPP7820755, DPP7820755-AO1, DPP8304815, DPP8419894, and OPP94-00809). We thank all the field personnel who assisted in data collection and all the ships' personnel who were involved in the cruises. Special thanks for compiling data go to E. Chapman for SO GLOBEC data, D. Patterson and P. Horn for PALTER data, and B. Raymond and D. Watts for AAD data. Previous drafts of this paper were reviewed by E. Chapman, D. Patterson, and two anonymous reviewers. Mention of trade names or commercial products does not constitute endorsement for use by the U.S. government. This is contribution 694 of the U.S. GLOBEC program.</t>
  </si>
  <si>
    <t>10.1016/j.dsr2.2009.09.017</t>
  </si>
  <si>
    <t>WOS:000292438600015</t>
  </si>
  <si>
    <t>Erdmann, ES; Ribic, CA; Patterson-Fraser, DL; Fraser, WR</t>
  </si>
  <si>
    <t>Erdmann, Eric S.; Ribic, Christine A.; Patterson-Fraser, Donna L.; Fraser, William R.</t>
  </si>
  <si>
    <t>Characterization of winter foraging locations of Adelie penguins along the Western Antarctic Peninsula, 2001-2002</t>
  </si>
  <si>
    <t>Antarctica; Western Antarctic Peninsula; Adelie penguins; Bathymetry; Environmental factors; Feeding behavior</t>
  </si>
  <si>
    <t>CRAB-EATER SEALS; MARGUERITE BAY; HABITAT USE; AUSTRAL WINTER; MARINE MAMMALS; ICE; SEABIRDS; BEHAVIOR; RANGE; MIGRATION</t>
  </si>
  <si>
    <t>In accord with the hypotheses driving the Southern Ocean Global Ocean Ecosystems Dynamics (SO GLOBEC) program, we tested the hypothesis that the winter foraging ecology of a major top predator in waters off the Western Antarctic Peninsula (WAP), the Adelie penguin (Pygoscelis adeliae), is constrained by oceanographic features related to the physiography of the region. This hypothesis grew from the supposition that breeding colonies in the WAP during summer are located adjacent to areas of complex bathymetry where circulation and upwelling processes appear to ensure predictable food resources. Therefore, we tested the additional hypothesis that these areas continue to contribute to the foraging strategy of this species throughout the non-breeding winter season. We used satellite telemetry data collected as part of the SO GLOBEC program during the austral winters of 2001 and 2002 to characterize individual penguin foraging locations in relation to bathymetry, sea ice variability within the pack ice, and wind velocity and divergence (as a proxy for potential areas with cracks and leads). We also explored differences between males and females in core foraging area overlap. Ocean depth was the most influential variable in the determination of foraging location, with most birds focusing their effort on shallow (&lt; 200 m) waters near land and on mixed-layer (200-500 m) waters near the edge of deep troughs. Within-ice variability and wind (as a proxy for potential areas with cracks and leads) were not found to be influential variables, which is likely because of the low resolution satellite imagery and model outputs that were available. Throughout the study period, all individuals maintained a core foraging area separated from other individuals with very little overlap. However, from a year with light sea ice to one with heavy ice cover (2001-2002), we observed an increase in the overlap of individual female foraging areas with those of other birds, likely due to restricted access to the water column, reduced prey abundance, or higher prey concentration. Male birds maintained separate core foraging areas with the same small amount of overlap, showing no difference in overlap between the years. While complex bathymetry was an important physical variable influencing the Adelie penguin's foraging, the analysis of sea ice data of a higher resolution than was available for this study may help elucidate the role of sea ice in affecting Adelie penguin winter foraging behavior within the pack ice. (C) 2010 Elsevier Ltd. All rights reserved.</t>
  </si>
  <si>
    <t>[Erdmann, Eric S.; Ribic, Christine A.] Univ Wisconsin, Dept Forest &amp; Wildlife Ecol, Wisconsin Cooperat Wildlife Res Unit, US Geol Survey, Madison, WI 53706 USA; [Patterson-Fraser, Donna L.; Fraser, William R.] Polar Oceans Res Grp, Sheridan, MT 59749 USA</t>
  </si>
  <si>
    <t>University of Wisconsin System; University of Wisconsin Madison; United States Department of the Interior; United States Geological Survey</t>
  </si>
  <si>
    <t>Erdmann, ES (corresponding author), Univ Wisconsin, Dept Forest &amp; Wildlife Ecol, Wisconsin Cooperat Wildlife Res Unit, US Geol Survey, Madison, WI 53706 USA.</t>
  </si>
  <si>
    <t>e1erdmann@gmail.com; caribic@wisc.edu; patterdo@3rivers.net; bfraser@3rivers.net</t>
  </si>
  <si>
    <t>National Science Foundation [OPP-0217282, OPP-0224727, OPP-0520961]; Office of Polar Programs (OPP); Directorate For Geosciences [0823101, 0741351] Funding Source: National Science Foundation</t>
  </si>
  <si>
    <t>National Science Foundation(National Science Foundation (NSF)); Office of Polar Programs (OPP); Directorate For Geosciences(National Science Foundation (NSF)NSF - Directorate for Geosciences (GEO))</t>
  </si>
  <si>
    <t>This material is based upon work supported by the National Science Foundation under OPP-0217282 and OPP-0224727 (W. Fraser). Analysis was supported by the National Science Foundation under OPP-0520961 (C. Ribic). We are grateful for the assistance provided by field technicians and colleagues throughout the duration of the cruises. Logistics and support were provided by Raytheon Polar Services Company and the crews of the ARSV Laurence M. Gould and the RVIB Nathaniel B. Palmer. We thank M. Dinniman and J. Klinck at Old Dominion University for the running of the AMPS wind model. We thank J. Burt, T. Van Deelen, L. Ballance, and one anonymous reviewer for their comments on previous versions of the manuscript. We thank the Department of Forest and Wildlife Ecology, University of Wisconsin, Madison, for assistance with publication expenses. The mention of trade names or commercial products does not constitute endorsement for use by the US government. This is contribution 695 of the SO GLOBEC program.</t>
  </si>
  <si>
    <t>10.1016/j.dsr2.2010.10.054</t>
  </si>
  <si>
    <t>WOS:000292438600016</t>
  </si>
  <si>
    <t>Sirovic, A; Hildebrand, JA</t>
  </si>
  <si>
    <t>Sirovic, Ana; Hildebrand, John A.</t>
  </si>
  <si>
    <t>Using passive acoustics to model blue whale habitat off the Western Antarctic Peninsula</t>
  </si>
  <si>
    <t>Blue whales; Passive acoustics; Antarctica; Habitat modeling; SO GLOBEC</t>
  </si>
  <si>
    <t>SEA-ICE; SEASONAL VARIABILITY; MARGUERITE BAY; BALAENOPTERA-MUSCULUS; EUPHAUSIA-SUPERBA; CONTINENTAL-SHELF; BALEEN WHALES; AUSTRAL FALL; CALIFORNIA; KRILL</t>
  </si>
  <si>
    <t>Habitat preferences of calling blue whales were investigated using data from two multidisciplinary oceanographic cruises conducted off the Western Antarctic Peninsula (WAP) during the austral falls of 2001 and 2002. Data were collected on depth, temperature, salinity, chlorophyll a (Chl-a) concentration, krill biomass, zooplankton abundance, and blue whale call presence. In 2001, the study area was sea ice free, high Chl-a concentrations occurred over a small area, krill biomass and zooplankton abundance were high, and few blue whale calls were detected. In 2002 the sea ice covered the southern part of the survey area. Chl-a was high over a large area, krill and zooplankton were low, and there were more blue whale calls. Logistic regression analysis revealed blue whale calls were positively correlated with depth and SST, and negatively correlated with the mean zooplankton abundance from 101 to 300 m and the mean krill biomass in the top 100 m. The negative correlation between blue whale calls and zooplankton could occur if feeding animals do not produce calls. Our survey area did not cover the full range of blue whale habitat off the WAP, as blue whales probably follow the melting and freezing ice edge through this region. Passive acoustics can provide insight to mesoscale habitat use by blue whales in the Southern Ocean where visual sightings are rare, but the ability to localize on the calling animals would greatly improve the ability to model at a finer scale. (C) 2010 Elsevier Ltd. All rights reserved.</t>
  </si>
  <si>
    <t>[Sirovic, Ana; Hildebrand, John A.] Univ Calif San Diego, Scripps Inst Oceanog, La Jolla, CA 92093 USA</t>
  </si>
  <si>
    <t>University of California System; University of California San Diego; Scripps Institution of Oceanography</t>
  </si>
  <si>
    <t>Sirovic, A (corresponding author), Univ Calif San Diego, Scripps Inst Oceanog, 9500 Gilman Dr 0205, La Jolla, CA 92093 USA.</t>
  </si>
  <si>
    <t>asirovic@ucsd.edu</t>
  </si>
  <si>
    <t>Hildebrand, John A/ABA-6213-2022</t>
  </si>
  <si>
    <t>Hildebrand, John A/0000-0002-5418-9799; Sirovic, Ana/0000-0001-5097-1268</t>
  </si>
  <si>
    <t>National Science Foundation-Office of Polar [OPP 99-10007, OPP 05-23349]</t>
  </si>
  <si>
    <t>National Science Foundation-Office of Polar</t>
  </si>
  <si>
    <t>This work was supported by the National Science Foundation-Office of Polar Programs grants number OPP 99-10007 and OPP 05-23349. Logistic support was provided by Raytheon Polar Services. We thank the Masters and crews of NBP0103 and NBP0202, as well as the support and science staff aboard those cruises. C.L. Berchok collected the passive acoustic data during the 2001 fall cruise. Thanks to G.L. Lawson and P.H. Wiebe for providing the BIOMAPER-II data and comments on this manuscript. CTD and chlorophyll a data were collected and processed by J.M. Klinck and M. Vernet, respectively, and are available on the US SO GLOBEC website. This work was part of the doctoral dissertation of A.S. under the direction of her doctoral committee: J.A.H., J. Barlow, C.D. Winant, M. Vernet, D. Stramski, and R. Lande. Mention of trade names does not constitute endorsement for use. This is U.S. GLOBEC contribution number 693.</t>
  </si>
  <si>
    <t>10.1016/j.dsr2.2010.08.019</t>
  </si>
  <si>
    <t>WOS:000292438600017</t>
  </si>
  <si>
    <t>Friedlaender, AS; Johnston, DW; Fraser, WR; Burns, J; Halpin, PN; Costa, DP</t>
  </si>
  <si>
    <t>Friedlaender, Ari S.; Johnston, David W.; Fraser, William R.; Burns, Jennifer; Halpin, Patrick N.; Costa, Daniel P.</t>
  </si>
  <si>
    <t>Ecological niche modeling of sympatric krill predators around Marguerite Bay, Western Antarctic Peninsula</t>
  </si>
  <si>
    <t>Foraging ecology; Niche overlap; Krill; Predators; Antarctica; Competition</t>
  </si>
  <si>
    <t>SPECIES DISTRIBUTIONAL DATA; CONTINENTAL-SHELF WATERS; CRAB-EATER SEALS; SPATIAL AUTOCORRELATION; HABITAT SELECTION; NORTH PACIFIC; TOP PREDATORS; OCEAN; ACCOUNT; ICE</t>
  </si>
  <si>
    <t>Adelie penguins (Pygoscelis adeliae), carabeater seals (Lobodon carcinophagus), humpback (Megaptera novaeangliae), and minke whales (Balaenoptera bonaernsis) are found in the waters surrounding the Western Antarctic Peninsula. Each species relies primarily on Antarctic krill (Euphausia superba) and has physiological constraints and foraging behaviors that dictate their ecological niches. Understanding the degree of ecological overlap between sympatric krill predators is critical to understanding and predicting the impacts on climate-driven changes to the Antarctic marine ecosystem. To explore ecological relationships amongst sympatric krill predators, we developed ecological niche models using a maximum entropy modeling approach (Maxent) that allows the integration of data collected by a variety of means (e.g. satellite-based locations and visual observations). We created spatially explicit probability distributions for the four krill predators in fall 2001 and 2002 in conjunction with a suite of environmental variables. We find areas within Marguerite Bay with high krill predator occurrence rates or biological hot spots. We find the modeled ecological niches for Adelie penguins and crabeater seals may be affected by their physiological needs to haul-out on substrate. Thus, their distributions may be less dictated by proximity to prey and more so by physical features that over time provide adequate access to prey. Humpback and minke whales, being fully marine and having greater energetic demands, occupy ecological niches more directly proximate to prey. We also find evidence to suggest that the amount of overlap between modeled niches is relatively low, even for species with similar energetic requirements. In a rapidly changing and variable environment, our modeling work shows little indication that krill predators maintain similar ecological niches across years around Marguerite Bay. Given the amount of variability in the marine environment around the Antarctic Peninsula and how this affects the local abundance of prey, there may be consequences for krill predators with historically little niche overlap to increase the potential for interspecific competition for shared prey resources. (C) 2010 Elsevier Ltd. All rights reserved.</t>
  </si>
  <si>
    <t>[Friedlaender, Ari S.; Johnston, David W.; Halpin, Patrick N.] Duke Univ, Marine Lab, Beaufort, NC 28516 USA; [Friedlaender, Ari S.; Halpin, Patrick N.] Duke Univ, Nicholas Sch Environm, Marine Geospatial Ecol Lab, Durham, NC 27708 USA; [Fraser, William R.] Polar Oceans Res Grp, Sheridan, MT 59749 USA; [Burns, Jennifer] Univ Alaska Anchorage, Dept Biol Sci, Anchorage, AK 99508 USA; [Costa, Daniel P.] Univ Calif Santa Cruz, Dept Ecol &amp; Evolutionary Biol, Santa Cruz, CA 95060 USA</t>
  </si>
  <si>
    <t>Duke University; Duke University; University of Alaska System; University of Alaska Anchorage; University of California System; University of California Santa Cruz</t>
  </si>
  <si>
    <t>Friedlaender, AS (corresponding author), Duke Univ, Marine Lab, 135 Duke Marine Lab Rd, Beaufort, NC 28516 USA.</t>
  </si>
  <si>
    <t>asf7@duke.edu</t>
  </si>
  <si>
    <t>Burns, Jennifer/AAC-8243-2019; Burns, Jennifer M/C-4159-2013; Johnston, David/AAJ-5013-2020; Carlos, Universidade Federal de São/W-8832-2019; Costa, Daniel Paul/E-2616-2013</t>
  </si>
  <si>
    <t>Burns, Jennifer/0000-0001-9652-2943; Carlos, Universidade Federal de São/0000-0002-0334-3899; Johnston, David/0000-0003-2424-036X; Costa, Daniel Paul/0000-0002-0233-5782</t>
  </si>
  <si>
    <t>National Science Foundation Office of Polar [0523284]; Directorate For Geosciences; Office of Polar Programs (OPP) [0823101, 0838937, 0741351] Funding Source: National Science Foundation; Division Of Polar Programs; Directorate For Geosciences [0523284] Funding Source: National Science Foundation</t>
  </si>
  <si>
    <t>National Science Foundation Office of Polar; Directorate For Geosciences; Office of Polar Programs (OPP)(National Science Foundation (NSF)NSF - Directorate for Geosciences (GEO)); Division Of Polar Programs; Directorate For Geosciences(National Science Foundation (NSF)NSF - Directorate for Geosciences (GEO))</t>
  </si>
  <si>
    <t>We are grateful to the ships' crews and RPSC employees for their assistance. We would like to thank all of the members of the field and survey teams that helped with data collection. We would especially like to thank Eileen Hofmann for her guidance and leadership during the SO GLOBEC project. Our manuscript was greatly improved by the comments and thoughts of Christine Ribic and one anonymous reviewer. All animal handling protocols were authorized under National Marine Fisheries Service permit #87-1593 and approved by Institutional Animal Care and Use Committees at University of Alaska Anchorage and University of California Santa Cruz. This research was supported by the National Science Foundation Office of Polar Programs and award number 0523284.</t>
  </si>
  <si>
    <t>10.1016/j.dsr2.2010.11.018</t>
  </si>
  <si>
    <t>WOS:000292438600018</t>
  </si>
  <si>
    <t>Ackert, RP; Mukhopadhyay, S; Pollard, D; DeConto, RM; Putnam, AE; Borns, HW</t>
  </si>
  <si>
    <t>Ackert, Robert P., Jr.; Mukhopadhyay, Sujoy; Pollard, David; DeConto, Robert M.; Putnam, Aaron E.; Borns, Harold W., Jr.</t>
  </si>
  <si>
    <t>West Antarctic Ice Sheet elevations in the Ohio Range: Geologic constraints and ice sheet modeling prior to the last highstand</t>
  </si>
  <si>
    <t>WAIS; (3)He; (10)Be; exposure dating; marine ice sheet; ice sheet model</t>
  </si>
  <si>
    <t>PRODUCTION-RATE CALIBRATION; INSITU COSMOGENIC HE-3; SEA-LEVEL RISE; GLACIAL MAXIMUM; EXPOSURE AGES; ROSS-SEA; EAST ANTARCTICA; BE-10; CHRONOLOGY; HISTORY</t>
  </si>
  <si>
    <t>Knowledge of the timing and extent of past West Antarctic Ice Sheet (WAIS) elevation changes provides insight to the WAIS response to sea level and climate forcing, as well as constraints for ice sheet models. Trimlines and erratics indicate that maximum ice elevation at the Ohio Range, located near the WAIS divide, was 125 m above the present ice surface and was reached at similar to 10 ka. However, (3)He and (10)Be exposure ages of most granitic erratics and supra-glacial boulders in adjacent blue ice areas are older than the last highstand and provide constraints on earlier interior WAIS elevation changes. Although diffusive loss of (3)He occurs in quartz, an excellent correlation between (3)He and (10)Be concentrations in samples up to 400 ka is observed in the Ohio Range, demonstrating the utility of (3)He measurements in Antarctic quartz. The correlation is used to calculate equivalent (10)Be exposure ages from the larger (3)He data set. The exposure ages occur in distinct clusters 10-20 ka, 70-80 ka, 130-140 ka and 180-190 ka that we relate to pulses in the emergence of englacial debris in localized blue ice ablation areas. A combined ice sheet/ice shelf model predicts that WAIS elevations near the Ohio Range have varied only similar to 125 m over the last 200 kyr with highstands at similar to 10 ka and similar to 130 ka, in good agreement with observations of trimlines and peaks in the exposure age distribution at the Ohio Range. In the model, interior WAIS elevations are controlled by the interaction of accumulation rates and ice dynamics related to ice sheet/ocean interactions at the grounding line. WAIS highstands occur early in interglacial periods during intervals of warmer temperatures and high accumulation rates, prior to the arrival of a wave of thinning. We hypothesize that the correspondence of rising regional WAIS elevation with debris pulses relates to increased ice (debris) flux and ablation in the local blue ice areas resulting from the warmer temperatures. The occurrence of clasts with exposure ages up to 200 ka on the WAIS surface indicates elevation changes near the Ohio Range were limited in extent during stage 5e. The geologic observations, combined with model results, place constraints on WAIS geometry during stage 5e and limit the WAIS contribution to the higher sea levels observed during the last interglacial to similar to 3 m. (c) 2011 Elsevier B.V. All rights reserved.</t>
  </si>
  <si>
    <t>[Ackert, Robert P., Jr.; Mukhopadhyay, Sujoy] Harvard Univ, Dept Earth &amp; Planetary Sci, Cambridge, MA 02138 USA; [Pollard, David] Penn State Univ, Earth &amp; Environm Syst Inst, University Pk, PA 16802 USA; [DeConto, Robert M.] Univ Massachusetts, Dept Geosci, Amherst, MA 01003 USA; [Putnam, Aaron E.; Borns, Harold W., Jr.] Univ Maine, Climate Change Inst, Orono, ME 04469 USA</t>
  </si>
  <si>
    <t>Harvard University; Pennsylvania Commonwealth System of Higher Education (PCSHE); Pennsylvania State University; Pennsylvania State University - University Park; University of Massachusetts System; University of Massachusetts Amherst; University of Maine System; University of Maine Orono</t>
  </si>
  <si>
    <t>Ackert, RP (corresponding author), Harvard Univ, Dept Earth &amp; Planetary Sci, 20 Oxford St, Cambridge, MA 02138 USA.</t>
  </si>
  <si>
    <t>rackert@fas.harvard.edu</t>
  </si>
  <si>
    <t>Putnam, Aaron/0000-0002-5358-1473</t>
  </si>
  <si>
    <t>OPP [0338271, 0338189]</t>
  </si>
  <si>
    <t>OPP</t>
  </si>
  <si>
    <t>The authors acknowledge logistical support from Raytheon Polar Services, Air National Guard, and Ken Borak Air. SM and RP specially acknowledge the help and support from Peter Braddock during fieldwork in the Ohio Range and helpful discussions with Peter Huybers. This project was funded by OPP grant 0338271 to SM and 0338189 to HB.</t>
  </si>
  <si>
    <t>JUL 1</t>
  </si>
  <si>
    <t>10.1016/j.epsl.2011.04.015</t>
  </si>
  <si>
    <t>793CE</t>
  </si>
  <si>
    <t>WOS:000292797200009</t>
  </si>
  <si>
    <t>Kuroda, J; Tanimizu, M; Hori, RS; Suzuki, K; Ogawa, NO; Tejada, MLG; Coffin, MF; Coccioni, R; Erba, E; Ohkouchi, N</t>
  </si>
  <si>
    <t>Kuroda, Junichiro; Tanimizu, Masaharu; Hori, Rie S.; Suzuki, Katsuhiko; Ogawa, Nanako O.; Tejada, Maria L. G.; Coffin, Millard F.; Coccioni, Rodolfo; Erba, Elisabetta; Ohkouchi, Naohiko</t>
  </si>
  <si>
    <t>Lead isotopic record of Barremian-Aptian marine sediments: Implications for large igneous provinces and the Aptian climatic crisis</t>
  </si>
  <si>
    <t>Oceanic Anoxic Event (OAE)-1a; Large Igneous Province; Pb isotope</t>
  </si>
  <si>
    <t>ONTONG JAVA PLATEAU; OCEANIC ANOXIC EVENTS; DIAZOTROPHIC CYANOBACTERIA; MIDCRETACEOUS GREENHOUSE; MAGNETIC STRATIGRAPHY; SOLOMON-ISLANDS; LIVELLO SELLI; ODP LEG-192; PB; GEOCHEMISTRY</t>
  </si>
  <si>
    <t>We present initial isotopic ratios of lead for Early Cretaceous (Barremian-Aptian) sections from Shatsky Rise (Pacific) and Gorgo a Cerbara (Italy). Our Pb isotopic data track an interval representing Oceanic Anoxic Event (OAE)-1a, which is characterized by quasi-global deposition of organic carbon-rich black shale. Pb isotopic compositions of sediments from Shatsky Rise decrease at the end of Barremian time, from radiogenic continental values to unradiogenic values, and subsequently remained less radiogenic until the end of early Aptian time. We explain the isotopic shift by a significant increase in supply rate of unradiogenic Pb, most likely due to massive volcanism. In contrast, the Pb isotopic compositions from the Italian section, which was situated at the western end of Tethys, are mostly identical to those of upper continental crust, showing no significant change in supply rate of unradiogenic Pb. The discrepancy between two sites is attributed to quiescent deep-submarine eruptions of Pacific large igneous provinces (LIPs) such as the Ontong Java Plateau (OJP), which severely limited dispersion of Pb-carrying particles out of the Pacific Ocean. Published Os isotopic data from the Italian section indicate two episodes of massive eruptions of OJP or contemporaneous Manihiki and Hikurangi plateaus starting from earliest Aptian time, slightly later than that indicated by the sedimentary Pb isotopic record from Shatsky Rise. Differences in isotopic variations between Pb and Os likely reflect differences in their chemical behaviors in the oceans, i.e., Pb isotopic compositions would have varied in response to local or regional changes in sediment provenances, whereas large-scale changes in Os inputs are required to explain variations in seawater Os isotopic compositions. Our Pb isotopic data, together with the published Os isotopic record, provide new evidence for the eruptive history of OJP together with contemporaneous Pacific plateaus and its environmental consequences, starting from end-Barremian time and extending through early Aptian time. (c) 2011 Elsevier B.V. All rights reserved.</t>
  </si>
  <si>
    <t>[Kuroda, Junichiro; Suzuki, Katsuhiko; Tejada, Maria L. G.] Japan Agcy Marine Earth Sci &amp; Technol JAMSTEC, Inst Res Earth Evolut, Yokosuka, Kanagawa 2370061, Japan; [Kuroda, Junichiro] Univ Southampton, Natl Oceanog Ctr, Southampton SO14 3ZH, Hants, England; [Tanimizu, Masaharu] JAMSTEC, Kochi Inst Core Sample Res, Nankoku, Kochi 7838502, Japan; [Hori, Rie S.] Ehime Univ, Dept Sci, Grad Sch Sci &amp; Engn, Matsuyama, Ehime 7908577, Japan; [Suzuki, Katsuhiko] JAMSTEC, Precambrian Ecosyst Lab, Yokosuka, Kanagawa 2370061, Japan; [Ogawa, Nanako O.; Ohkouchi, Naohiko] JAMSTEC, Inst Biogeosci, Yokosuka, Kanagawa 2370061, Japan; [Tejada, Maria L. G.] Univ Philippines, NIGS, Quezon City 1101, Philippines; [Coffin, Millard F.] Univ Tasmania, Inst Marine &amp; Antarctic Studies, Hobart, Tas 7001, Australia; [Coccioni, Rodolfo] Univ Urbino, Dipartimento Sci Uomo Ambiente &amp; Nat, I-61029 Urbino, Italy; [Erba, Elisabetta] Univ Milan, Dipartimento Sci Terra A Desio, I-20133 Milan, Italy</t>
  </si>
  <si>
    <t>Japan Agency for Marine-Earth Science &amp; Technology (JAMSTEC); NERC National Oceanography Centre; University of Southampton; Japan Agency for Marine-Earth Science &amp; Technology (JAMSTEC); Ehime University; Japan Agency for Marine-Earth Science &amp; Technology (JAMSTEC); Japan Agency for Marine-Earth Science &amp; Technology (JAMSTEC); University of the Philippines System; University of the Philippines Diliman; University of Tasmania; University of Urbino; University of Milan</t>
  </si>
  <si>
    <t>Kuroda, J (corresponding author), Japan Agcy Marine Earth Sci &amp; Technol, Inst Res Earth Evolut, 2-15 Natsushima Cho, Yokosuka, Kanagawa 2370061, Japan.</t>
  </si>
  <si>
    <t>kurodaj@jamstec.go.jp</t>
  </si>
  <si>
    <t>Kuroda, Junichiro/A-3007-2016; Coffin, Millard F/H-4619-2011; Suzuki, Katsuhiko/B-1143-2018; Ogawa, Nanako O./AAJ-6456-2020; Ohkouchi, Naohiko/B-2071-2008</t>
  </si>
  <si>
    <t>Kuroda, Junichiro/0000-0002-2218-4854; Coffin, Millard F/0000-0001-9960-0038; Suzuki, Katsuhiko/0000-0003-4266-5046; Ohkouchi, Naohiko/0000-0002-6355-7469; OGAWA, Nanako O/0000-0002-3823-6444; Allam, Sherif/0000-0002-5555-7928; COCCIONI, Rodolfo/0000-0003-2333-4030</t>
  </si>
  <si>
    <t>MEXT-KAKENHI [19740321]; [19GS0211]; Grants-in-Aid for Scientific Research [19GS0211, 19740321, 23740387, 20340158, 20109006] Funding Source: KAKEN</t>
  </si>
  <si>
    <t>MEXT-KAKENHI(Ministry of Education, Culture, Sports, Science and Technology, Japan (MEXT)Japan Society for the Promotion of ScienceGrants-in-Aid for Scientific Research (KAKENHI)); ; Grants-in-Aid for Scientific Research(Ministry of Education, Culture, Sports, Science and Technology, Japan (MEXT)Japan Society for the Promotion of ScienceGrants-in-Aid for Scientific Research (KAKENHI))</t>
  </si>
  <si>
    <t>We thank the IODP for providing samples (request #21664A). Y. Nakamura helped with sample preparation. We also thank J. Matsuoka for his help with measurements of Pb isotopic ratios. Y. Kashiyama, T. Ishikawa, and A.C. Kerr provided helpful comments on an early version of the manuscript. We deeply appreciate C. Chauvel and an anonymous reviewer for critical comments on this manuscript. This study was financially supported by MEXT-KAKENHI (19740321) and Grant-in-Aid for Creative Scientific Research (19GS0211). This is publication no. 35 of the GEOPCAP Section (DiSUAN) of the Urbino University.</t>
  </si>
  <si>
    <t>10.1016/j.epsl.2011.04.021</t>
  </si>
  <si>
    <t>WOS:000292797200013</t>
  </si>
  <si>
    <t>Keeling, RF; Visbeck, M</t>
  </si>
  <si>
    <t>Keeling, Ralph F.; Visbeck, Martin</t>
  </si>
  <si>
    <t>On the Linkage between Antarctic Surface Water Stratification and Global Deep-Water Temperature</t>
  </si>
  <si>
    <t>WINTER MIXED LAYER; SEA-ICE; SOUTHERN-OCEAN; THERMOHALINE CIRCULATION; MILLENNIAL OSCILLATIONS; BOTTOM WATER; MODEL; SALINITY; VENTILATION; CONVECTION</t>
  </si>
  <si>
    <t>The suggestion is advanced that the remarkably low static stability of Antarctic surface waters may arise from a feedback loop involving global deep-water temperatures. If deep-water temperatures are too warm, this promotes Antarctic convection, thereby strengthening the inflow of Antarctic Bottom Water into the ocean interior and cooling the deep ocean. If deep waters are too cold, this promotes Antarctic stratification allowing the deep ocean to warm because of the input of North Atlantic Deep Water. A steady-state deep-water temperature is achieved such that the Antarctic surface can barely undergo convection. A two-box model is used to illustrate this feedback loop in its simplest expression and to develop basic concepts, such as the bounds on the operation of this loop. The model illustrates the possible dominating influence of Antarctic upwelling rate and Antarctic freshwater balance on global deep-water temperatures.</t>
  </si>
  <si>
    <t>[Keeling, Ralph F.] Univ Calif San Diego, Scripps Inst Oceanog, La Jolla, CA 92093 USA; [Visbeck, Martin] IFM GEOMAR, Kiel, Germany</t>
  </si>
  <si>
    <t>University of California System; University of California San Diego; Scripps Institution of Oceanography; Helmholtz Association; GEOMAR Helmholtz Center for Ocean Research Kiel</t>
  </si>
  <si>
    <t>Keeling, RF (corresponding author), Univ Calif San Diego, Scripps Inst Oceanog, Mail Code 0244,9500 Gilman Dr, La Jolla, CA 92093 USA.</t>
  </si>
  <si>
    <t>rkeeling@ucsd.edu</t>
  </si>
  <si>
    <t>Visbeck, Martin/G-2461-2011; Visbeck, Martin H/B-6541-2016</t>
  </si>
  <si>
    <t>Visbeck, Martin/0000-0002-0844-834X; Visbeck, Martin H/0000-0002-0844-834X</t>
  </si>
  <si>
    <t>Humboldt Foundation; Cluster of Excellence Future Ocean.</t>
  </si>
  <si>
    <t>Humboldt Foundation(Alexander von Humboldt Foundation); Cluster of Excellence Future Ocean.</t>
  </si>
  <si>
    <t>This work was carried out in part while RK was on sabbatical leave at the Leibniz Institute of Marine Sciences in Kiel, supported by the Humboldt Foundation and the Cluster of Excellence Future Ocean. We thank two anonymous reviewers for very helpful comments.</t>
  </si>
  <si>
    <t>10.1175/2011JCLI3642.1</t>
  </si>
  <si>
    <t>793ZP</t>
  </si>
  <si>
    <t>WOS:000292863300001</t>
  </si>
  <si>
    <t>Ummenhofer, CC; Sen Gupta, A; Briggs, PR; England, MH; McIntosh, PC; Meyers, GA; Pook, MJ; Raupach, MR; Risbey, JS</t>
  </si>
  <si>
    <t>Ummenhofer, Caroline C.; Sen Gupta, Alexander; Briggs, Peter R.; England, Matthew H.; McIntosh, Peter C.; Meyers, Gary A.; Pook, Michael J.; Raupach, Michael R.; Risbey, James S.</t>
  </si>
  <si>
    <t>Indian and Pacific Ocean influences on southeast Australian drought and soil moisture (vol 24, pg 1313, 2011)</t>
  </si>
  <si>
    <t>Correction</t>
  </si>
  <si>
    <t>[Ummenhofer, Caroline C.; Sen Gupta, Alexander; England, Matthew H.] Univ New S Wales, Climate Change Res Ctr, Sydney, NSW, Australia; [Briggs, Peter R.; Raupach, Michael R.] Ctr Australian Weather &amp; Climate Res, Canberra, ACT, Australia; [McIntosh, Peter C.; Pook, Michael J.; Risbey, James S.] Ctr Australian Weather &amp; Climate Res, Hobart, Tas, Australia; [Meyers, Gary A.] Univ Tasmania, CSIRO Marine &amp; Atmospher Res, Hobart, Tas, Australia; [Meyers, Gary A.] Univ Tasmania, Inst Marine &amp; Antarctic Res, Hobart, Tas, Australia</t>
  </si>
  <si>
    <t>University of New South Wales Sydney; Commonwealth Scientific &amp; Industrial Research Organisation (CSIRO); Commonwealth Scientific &amp; Industrial Research Organisation (CSIRO); Commonwealth Scientific &amp; Industrial Research Organisation (CSIRO); University of Tasmania; University of Tasmania</t>
  </si>
  <si>
    <t>Ummenhofer, CC (corresponding author), Univ New S Wales, Climate Change Res Ctr, Sydney, NSW, Australia.</t>
  </si>
  <si>
    <t>Pook, Michael J/A-3810-2012; England, Matthew/A-7539-2011; Briggs, Peter/AAG-2536-2022; Risbey, James/M-8419-2013; McIntosh, Peter C/F-7594-2012; Briggs, Peter/AFK-3754-2022; Sen Gupta, Alexander/B-7995-2011</t>
  </si>
  <si>
    <t>England, Matthew/0000-0001-9696-2930; Briggs, Peter/0000-0002-7164-0545; Risbey, James/0000-0003-3202-9142; Briggs, Peter/0000-0002-7164-0545; Sen Gupta, Alexander/0000-0001-5226-871X</t>
  </si>
  <si>
    <t>10.1175/JCLI-D-11-00229.1</t>
  </si>
  <si>
    <t>WOS:000292863300017</t>
  </si>
  <si>
    <t>Guly, H</t>
  </si>
  <si>
    <t>Guly, Henry</t>
  </si>
  <si>
    <t>Medicinal brandy</t>
  </si>
  <si>
    <t>RESUSCITATION</t>
  </si>
  <si>
    <t>History of resuscitation; Brandy; Alcohol</t>
  </si>
  <si>
    <t>ALCOHOL</t>
  </si>
  <si>
    <t>This paper describes the use of brandy and other forms of alcohol in the latter part of the 19th and early 20th centuries. Its prime use was as a cardiac stimulant as it seemed to increase the cardiac output and blood pressure. However it was also recognised as a depressant and was used as a sedative. Reconciling these two actions caused difficulties. In addition it was used as a food for invalids. (C) 2011 Elsevier Ireland Ltd. All rights reserved.</t>
  </si>
  <si>
    <t>Derriford Hosp, Emergency Dept, Plymouth PL6 8DH, Devon, England</t>
  </si>
  <si>
    <t>Derriford Hospital</t>
  </si>
  <si>
    <t>Guly, H (corresponding author), Derriford Hosp, Emergency Dept, Derriford Rd, Plymouth PL6 8DH, Devon, England.</t>
  </si>
  <si>
    <t>henry.guly@phnt.swest.nhs.uk</t>
  </si>
  <si>
    <t>Wellcome Trust</t>
  </si>
  <si>
    <t>Wellcome Trust(Wellcome Trust)</t>
  </si>
  <si>
    <t>This research was partly funded by the Wellcome Trust by a Short Term Research Award in the History of Medicine for Clinicians and Scientists for a study on Medicine during the Heroic Age of Antarctic exploration 1895-1922.</t>
  </si>
  <si>
    <t>ELSEVIER IRELAND LTD</t>
  </si>
  <si>
    <t>CLARE</t>
  </si>
  <si>
    <t>ELSEVIER HOUSE, BROOKVALE PLAZA, EAST PARK SHANNON, CO, CLARE, 00000, IRELAND</t>
  </si>
  <si>
    <t>0300-9572</t>
  </si>
  <si>
    <t>Resuscitation</t>
  </si>
  <si>
    <t>10.1016/j.resuscitation.2011.03.005</t>
  </si>
  <si>
    <t>Critical Care Medicine; Emergency Medicine</t>
  </si>
  <si>
    <t>General &amp; Internal Medicine; Emergency Medicine</t>
  </si>
  <si>
    <t>792QH</t>
  </si>
  <si>
    <t>WOS:000292763000030</t>
  </si>
  <si>
    <t>Rajchenberg, M</t>
  </si>
  <si>
    <t>Rajchenberg, Mario</t>
  </si>
  <si>
    <t>Nuclear behavior of the mycelium and the phylogeny of Polypores (Basidiomycota)</t>
  </si>
  <si>
    <t>MYCOLOGIA</t>
  </si>
  <si>
    <t>astatocoenocyty; heterocyty; holocoenocyty mating systems; wood rots</t>
  </si>
  <si>
    <t>RIBOSOMAL DNA-SEQUENCES; ANTARCTIC PIPTOPORUS POLYPORACEAE; SSU RDNA SEQUENCES; MOLECULAR PHYLOGENY; CULTURAL CHARACTERS; HETEROBASIDION-ANNOSUM; NOV POLYPORACEAE; TRAMETES-CERVINA; NRDNA SEQUENCES; NEW-ZEALAND</t>
  </si>
  <si>
    <t>This is a review of the available knowledge on nuclear behavior of the mycelium within polypore genera (Agaricomycetes, Basidiomycota). Information on 68 genera showed that nuclear behavior is a distinct and consistent feature at genus level and can be coupled with phylogenetic differentiation. The sole exception was found in Polyporus, where different Species with normal, heterocytic and astatocoenocytic nuclear behaviors were found. Of the 68 genera treated 41 (60.3%) displayed a normal nuclear behavior, nine (13.2%) were heterocytic, nine (13.2%) were astatocoenocytic and another eight (11.8%) were holocoenocytic. In 95% of the genera a unique compatibility system was found, with the exceptions of Antrodia, which includes both homothallic and bipolar species all associated with a normal nuclear behavior, and Spongipellis, in which bipolar and tetrapolar species are found, all displaying an astatocoenocytic nuclear behavior. Normal and heterocytic nuclear behaviors were associated mostly with tetrapolarity, astatocoenocity was associated mostly with bipolarity, and holocoenocity was associated with either bipolarity or purported homothallism. The combination of nuclear behavior with mating system and brown or white rot capability appeared as a strong feature characterizing and distinguishing the genera of polypores, each combination being valuable to differentiate between apparently related genera, as is supported by phylogenetic studies. Several examples are presented to support this idea, as well as the cases of species that are problematic to this concept. Poroid genera of Hymenochaetaceae were treated apart because of the lack of knowledge regarding their nuclear behavior. In addition new information on the sexuality and/or nuclear behavior of 15 polyporoid taxa is given.</t>
  </si>
  <si>
    <t>Ctr Forestal CIEFAP, RA-9200 Esquel, Chubut, Argentina</t>
  </si>
  <si>
    <t>Rajchenberg, M (corresponding author), Ctr Forestal CIEFAP, CC 14, RA-9200 Esquel, Chubut, Argentina.</t>
  </si>
  <si>
    <t>mrajchenberg@ciefap.org.ar</t>
  </si>
  <si>
    <t>TAYLOR &amp; FRANCIS INC</t>
  </si>
  <si>
    <t>PHILADELPHIA</t>
  </si>
  <si>
    <t>530 WALNUT STREET, STE 850, PHILADELPHIA, PA 19106 USA</t>
  </si>
  <si>
    <t>0027-5514</t>
  </si>
  <si>
    <t>1557-2536</t>
  </si>
  <si>
    <t>Mycologia</t>
  </si>
  <si>
    <t>10.3852/10-310</t>
  </si>
  <si>
    <t>787XE</t>
  </si>
  <si>
    <t>WOS:000292409200001</t>
  </si>
  <si>
    <t>Osyczka, P; Olech, M</t>
  </si>
  <si>
    <t>Osyczka, Piotr; Olech, Maria</t>
  </si>
  <si>
    <t>A new species of the genus Porpidia from Antarctica</t>
  </si>
  <si>
    <t>LICHENOLOGIST</t>
  </si>
  <si>
    <t>biodiversity; lichenized fungi; Porpidiaceae; taxonomy</t>
  </si>
  <si>
    <t>To date, there have only been two endemic species of the lichen genus Porpidia known from the maritime Antarctic. A new endemic species, Porpidia submelinodes Osyczka &amp; Olech, recognized in the South Shetlands and South Orkneys, is described in this paper. The species is primarily characterized by its rusty orange, sorediate thallus, composed of convex, well separated and rounded areoles, and by the absence of lichen secondary products detectable by TLC. The morphology and soralia of this new species correspond to the arctic-alpine and boreal-mountain lichen Porpidia melinodes. The paper also discusses the differences between these two taxa and all Porpidia species reported from Antarctica.</t>
  </si>
  <si>
    <t>[Osyczka, Piotr; Olech, Maria] Jagiellonian Univ, Dept Polar Res &amp; Documentat, Inst Bot, PL-31501 Krakow, Poland</t>
  </si>
  <si>
    <t>Jagiellonian University</t>
  </si>
  <si>
    <t>Osyczka, P (corresponding author), Jagiellonian Univ, Dept Polar Res &amp; Documentat, Inst Bot, Kopernika 27, PL-31501 Krakow, Poland.</t>
  </si>
  <si>
    <t>piotr.osyczka@uj.edu.pl</t>
  </si>
  <si>
    <t>Osyczka, Piotr/0000-0003-4999-4897</t>
  </si>
  <si>
    <t>EDINBURGH BLDG, SHAFTESBURY RD, CB2 8RU CAMBRIDGE, ENGLAND</t>
  </si>
  <si>
    <t>0024-2829</t>
  </si>
  <si>
    <t>Lichenologist</t>
  </si>
  <si>
    <t>10.1017/S002428291100017X</t>
  </si>
  <si>
    <t>Plant Sciences; Mycology</t>
  </si>
  <si>
    <t>777ON</t>
  </si>
  <si>
    <t>WOS:000291632700009</t>
  </si>
  <si>
    <t>Park, AK; Park, KS; Kim, HJ; Park, H; Ahn, IY; Chi, YM; Moon, JH</t>
  </si>
  <si>
    <t>Park, Ae Kyung; Park, Kyoung Sun; Kim, Hak Jun; Park, Hyun; Ahn, In Young; Chi, Young Min; Moon, Jin Ho</t>
  </si>
  <si>
    <t>Crystallization and preliminary X-ray crystallographic studies of the ice-binding protein from the Antarctic yeast Leucosporidium sp. AY30</t>
  </si>
  <si>
    <t>ACTA CRYSTALLOGRAPHICA SECTION F-STRUCTURAL BIOLOGY COMMUNICATIONS</t>
  </si>
  <si>
    <t>ANTIFREEZE PROTEINS; FUNGI</t>
  </si>
  <si>
    <t>Freezing is dangerous to cellular organisms because it causes an increase in the concentration of ions and other solutes in the plasma, denatures biomolecules and ruptures cell membranes. Some cold-adapted organisms can survive at subzero temperatures by producing proteins that bind to and inhibit the growth of ice crystals. To better understand the structure and function of these proteins, the ice-binding protein from Leucosporidium sp. AY30 (LeIBP) was overexpressed, purified and crystallized. The native crystal belonged to space group P4(3)2(1)2, with unit-cell parameters a = b = 98.05, c = 106.13 angstrom. Since LeIBP lacks any cysteine or methionine residues, two leucine residues (Leu69 and Leu155) were substituted by methionine residues in order to obtain selenomethioninesubstituted LeIBP for use in multiple-wavelength anomalous diffraction (MAD) phasing. The selenomethionine-substituted mutant crystallized in the same space group as the native protein.</t>
  </si>
  <si>
    <t>[Park, Ae Kyung; Chi, Young Min] Korea Univ, Coll Life Sci, Div Biotechnol, Seoul 136713, South Korea; [Park, Kyoung Sun; Kim, Hak Jun; Park, Hyun; Ahn, In Young] Korea Polar Res Inst, Div Polar Biol &amp; Ocean Sci, Inchon 406840, South Korea; [Park, Kyoung Sun] Univ Sci &amp; Technol, Taejon 305333, South Korea; [Moon, Jin Ho] Korea Univ, Inst Life Sci &amp; Nat Resources, Seoul 136713, South Korea</t>
  </si>
  <si>
    <t>Korea University; Korea Polar Research Institute (KOPRI); Korea Institute of Ocean Science &amp; Technology (KIOST); Korea University</t>
  </si>
  <si>
    <t>Chi, YM (corresponding author), Korea Univ, Coll Life Sci, Div Biotechnol, Seoul 136713, South Korea.</t>
  </si>
  <si>
    <t>ezeg@korea.ac.kr; moonjh2@korea.ac.kr</t>
  </si>
  <si>
    <t>Korea University; KOPRI [PE11100, PG10010]</t>
  </si>
  <si>
    <t>Korea University; KOPRI(Korea Polar Research Institute of Marine Research Placement (KOPRI))</t>
  </si>
  <si>
    <t>We thank the staff at beamlines 4A and 6C of Pohang Light Source, Republic of Korea for assistance during data collection. This work was supported by a Korea University Grant and by KOPRI grant Nos. PE11100 and PG10010 (HJK).</t>
  </si>
  <si>
    <t>INT UNION CRYSTALLOGRAPHY</t>
  </si>
  <si>
    <t>CHESTER</t>
  </si>
  <si>
    <t>2 ABBEY SQ, CHESTER, CH1 2HU, ENGLAND</t>
  </si>
  <si>
    <t>2053-230X</t>
  </si>
  <si>
    <t>ACTA CRYSTALLOGR F</t>
  </si>
  <si>
    <t>Acta Crystallogr. F-Struct. Biol. Commun.</t>
  </si>
  <si>
    <t>10.1107/S1744309111018446</t>
  </si>
  <si>
    <t>Biochemical Research Methods; Biochemistry &amp; Molecular Biology; Biophysics; Crystallography</t>
  </si>
  <si>
    <t>Biochemistry &amp; Molecular Biology; Biophysics; Crystallography</t>
  </si>
  <si>
    <t>798GU</t>
  </si>
  <si>
    <t>WOS:000293191400016</t>
  </si>
  <si>
    <t>Boichu, M; Oppenheimer, C; Roberts, TJ; Tsanev, V; Kyle, PR</t>
  </si>
  <si>
    <t>Boichu, Marie; Oppenheimer, Clive; Roberts, Tjarda J.; Tsanev, Vitchko; Kyle, Philip R.</t>
  </si>
  <si>
    <t>On bromine, nitrogen oxides and ozone depletion in the tropospheric plume of Erebus volcano (Antarctica)</t>
  </si>
  <si>
    <t>Volcanic plume; Antarctic troposphere; Reactive bromine chemistry; Reactive nitrogen chemistry; Ozone depletion; Phonolitic magma</t>
  </si>
  <si>
    <t>ABSORPTION CROSS-SECTIONS; ROTATIONAL RAMAN-SCATTERING; MOUNT EREBUS; GAS EMISSIONS; ROSS ISLAND; MT. EREBUS; SULFUR; PARTICLES; ERUPTIONS; HALOGENS</t>
  </si>
  <si>
    <t>Since the discovery of bromine oxide (BrO) in volcanic emissions, there has been speculation concerning its role in chemical evolution and notably ozone depletion in volcanic plumes. We report the first measurements using Differential Optical Absorption Spectroscopy (DOAS) of BrO in the tropospheric plume of the persistently degassing Erebus volcano (Antarctica). These are the first observations pertaining to emissions from an alkaline phonolitic magma. The observed BrO/SO2 ratio of 2.5 x 10(-4) is similar to that measured at andesitic arc volcanoes. The high abundance of BrO is consistent with high abundances of F and Cl relative to sulfur in the Erebus plume. Our estimations of HBr flux and BrO production rate suggest that reactive bromine chemistry can explain a 35% loss of tropospheric O-3 observed in the Erebus plume at approximately 30 km from source (Oppenheimer et al., 2010). Erebus also has a permanent lava lake, which could result in generation of NOx by thermal fixation of atmospheric N-2 at the hot lava surface. Any NO, emission could play a potent role in reactive bromine chemistry. However, the presence of NO2 could not be detected in the plume, about 400 m above the lake, in our DOAS observations of 2005. Nor could we reproduce spectroscopic retrievals that reportedly identified NO2 in DOAS observations from 2003 made of the Erebus plume (Oppenheimer et al., 2005). Based on the NO2 detection limit of our analysis, we can state an upper limit of the NO2/SO2 ratio of &lt;= 0.012, an order of magnitude lower than previously reported. Our new result supports a rapid oxidation of NO in the young plume and is more consistent with measurements of NOy species measured using an instrumented aircraft flying in the plume. Model simulations, tuned for Erebus, were performed to reproduce the BrO/SO2 observed in the young plume and to investigate the impact of NOx emissions at source on the subsequent formation of BrO in the plume. They support our hypothesis of rapid conversion of NOx to NOy in the vicinity of the lava lake. This study thus places new constraints on the interaction between reactive nitrogen and bromine species in volcanic plumes, and its effects on ozone. (C) 2011 Elsevier Ltd. All rights reserved.</t>
  </si>
  <si>
    <t>[Boichu, Marie; Oppenheimer, Clive] Univ Cambridge, Dept Geog, Cambridge CB2 3EN, England; [Oppenheimer, Clive] Inst Adv Studies, Orleans, France; [Oppenheimer, Clive] Inst Adv Studies, Tours, France; [Oppenheimer, Clive] Univ Orleans, Inst Sci Terre Orleans, F-45071 Orleans, France; [Roberts, Tjarda J.] Norwegian Polar Res Inst, FRAM Ctr, N-9296 Tromso, Norway; [Tsanev, Vitchko] Univ Cambridge, Dept Chem, Cambridge CB2 1EW, England; [Kyle, Philip R.] New Mexico Inst Min &amp; Technol, Dept Earth &amp; Environm Sci, Socorro, NM 87801 USA</t>
  </si>
  <si>
    <t>University of Cambridge; Universite de Orleans; Norwegian Polar Institute; University of Cambridge; New Mexico Institute of Mining Technology</t>
  </si>
  <si>
    <t>Boichu, M (corresponding author), Ecole Polytech, Inst Pierre Simon Lapl, Meteorol Dynam Lab, F-91128 Palaiseau, France.</t>
  </si>
  <si>
    <t>mboichu@lmd.polytechnique.fr</t>
  </si>
  <si>
    <t>NCEO, COMET+`/A-3443-2013; Roberts, Tjarda/F-7097-2019; Oppenheimer, Clive/G-9881-2013</t>
  </si>
  <si>
    <t>Oppenheimer, Clive/0000-0003-4506-7260</t>
  </si>
  <si>
    <t>NSF Office of Polar Programs [ANT-0538414, ANT-0838817]; United States Antarctic Program; EU; NERC via the National Center for Earth Observation; Natural Environment Research Council [come20001, earth010007] Funding Source: researchfish; NERC [come20001] Funding Source: UKRI</t>
  </si>
  <si>
    <t>NSF Office of Polar Programs(National Science Foundation (NSF)); United States Antarctic Program; EU(European Union (EU)); NERC via the National Center for Earth Observation; Natural Environment Research Council(UK Research &amp; Innovation (UKRI)Natural Environment Research Council (NERC)); NERC(UK Research &amp; Innovation (UKRI)Natural Environment Research Council (NERC))</t>
  </si>
  <si>
    <t>We gratefully acknowledge support from NSF Office of Polar Programs grants ANT-0538414 and ANT-0838817 and the United States Antarctic Program. We thank Caroline Fayt and Michel Van Roozendael for developing and providing the WinDOAS software as well as giving judicious advice concerning its use. MB thanks the EU Framework 6 and 7 programmes which supported the NOVAC and MIAVITA projects for her research grants. CO additionally thanks the NERC, for support via the National Center for Earth Observation. TJR acknowledges support from EU project NSINK. CO and PK are warmly grateful to their companions in Science Event G-081 and the helicopter pilots, and RPSC staff based at McMurdo Station. They particularly thank Dr. Tom Wagner and Dr. Alex Isern, former and present Program Managers at NSF, for support. Finally, we thank two anonymous reviewers for their comments and suggestions which allowed to greatly improve the manuscript.</t>
  </si>
  <si>
    <t>10.1016/j.atmosenv.2011.03.027</t>
  </si>
  <si>
    <t>791QK</t>
  </si>
  <si>
    <t>WOS:000292679500010</t>
  </si>
  <si>
    <t>Ryder, TB; Fox, JW; Marra, PP</t>
  </si>
  <si>
    <t>Ryder, Thomas B.; Fox, James W.; Marra, Peter P.</t>
  </si>
  <si>
    <t>ESTIMATING MIGRATORY CONNECTIVITY OF GRAY CATBIRDS (DUMETELLA CAROLINENSIS) USING GEOLOCATOR AND MARK-RECAPTURE DATA</t>
  </si>
  <si>
    <t>AUK</t>
  </si>
  <si>
    <t>Dumetella carolinensis; geolocators; Gray Catbird; mark-recapture; migratory connectivity</t>
  </si>
  <si>
    <t>SONGBIRD MIGRATION; BIRD; POPULATIONS; ACCURACY; TRACKING; RANGES</t>
  </si>
  <si>
    <t>Understanding the connectivity between breeding and nonbreeding populations of migratory birds is fundamental to our knowledge of biological phenomena such as population dynamics and dispersal. Moreover, our ability to quantify migratory connectivity has inevitable consequences for both conservation and management of species that utilize distinct geographic locations. Technology is rapidly advancing our ability to track birds throughout the annual cycle and to collect data on the degree of connectivity among breeding and nonbreeding populations. We combined two direct methods, mark recapture (n = 17) and geolocation (n = 6), to estimate the migratory connectivity of breeding and nonbreeding populations of Gray Catbirds (Dumetella carolinensis). Data from geolocators show that birds breeding in the Mid-Atlantic overwinter in both Cuba and southern Florida. Mark recapture data supported our geolocator results but also provided a broader spatial perspective by documenting that Mid-Atlantic and Midwestern populations occupy distinct geographic localities during the nonbreeding period. This research underscores the importance of geolocators, as well as other tools, to advance our understanding of migratory connectivity. Finally, our results highlight the potential value of U.S. Geological Survey (USGS) Bird Banding Laboratory mark recapture data, which are often underutilized in ornithological research. Received 6 January 2011, accepted 24 April 2011.</t>
  </si>
  <si>
    <t>[Ryder, Thomas B.; Marra, Peter P.] Migratory Bird Ctr, Smithsonian Conservat Biol Inst, Washington, DC 20008 USA; [Fox, James W.] British Antarctic Survey, Nat Environm Res Council, Cambridge CB3 0ET, England</t>
  </si>
  <si>
    <t>Smithsonian Institution; Smithsonian National Zoological Park &amp; Conservation Biology Institute; UK Research &amp; Innovation (UKRI); Natural Environment Research Council (NERC); NERC British Antarctic Survey</t>
  </si>
  <si>
    <t>Ryder, TB (corresponding author), Migratory Bird Ctr, Smithsonian Conservat Biol Inst, Natl Zool Pk,POB 37012-MRC5503, Washington, DC 20008 USA.</t>
  </si>
  <si>
    <t>rydert@si.edu</t>
  </si>
  <si>
    <t>; Ryder, Thomas/G-1868-2010</t>
  </si>
  <si>
    <t>Marra, Peter/0000-0002-0508-7577; Ryder, Thomas/0000-0002-5517-6607; Fox, James W./0000-0002-3107-696X</t>
  </si>
  <si>
    <t>NERC [bas010013] Funding Source: UKRI; Natural Environment Research Council [bas010013] Funding Source: researchfish</t>
  </si>
  <si>
    <t>OXFORD UNIV PRESS INC</t>
  </si>
  <si>
    <t>CARY</t>
  </si>
  <si>
    <t>JOURNALS DEPT, 2001 EVANS RD, CARY, NC 27513 USA</t>
  </si>
  <si>
    <t>0004-8038</t>
  </si>
  <si>
    <t>1938-4254</t>
  </si>
  <si>
    <t>10.1525/auk.2011.11091</t>
  </si>
  <si>
    <t>Ornithology</t>
  </si>
  <si>
    <t>799SV</t>
  </si>
  <si>
    <t>WOS:000293307300002</t>
  </si>
  <si>
    <t>Heckscher, CM; Taylor, SM; Fox, JW; Afanasyev, V</t>
  </si>
  <si>
    <t>Heckscher, Christopher M.; Taylor, Syrena M.; Fox, James W.; Afanasyev, Vsevolod</t>
  </si>
  <si>
    <t>VEERY (CATHARUS FUSCESCENS) WINTERING LOCATIONS, MIGRATORY CONNECTIVITY, AND A REVISION OF ITS WINTER RANGE USING GEOLOCATOR TECHNOLOGY</t>
  </si>
  <si>
    <t>Catharus fuscescens; geolocator; migratory connectivity; Nearctic-Neotropical migrant; South America; Veery</t>
  </si>
  <si>
    <t>SONGBIRD MIGRATION; BICKNELLS THRUSHES; SWAINSONS THRUSH; LAND BIRDS; NEW-WORLD; TROPICS; ABUNDANCE; USTULATUS; PATTERNS; TRACKING</t>
  </si>
  <si>
    <t>We used light-level archival geolocators to track five Veeries (Catharus fuscescens) for one annual cycle as they migrated from Delaware to South America and back. Southward migration commenced in late August and September 2009. Veeries arrived at wintering sites from 2 November to 2 December 2009. All birds initially wintered in the Amazon basin south of the Amazon River in Mato Grosso, Para, and Amazonas states, Brazil. All birds showed intratropical migration to a second winter site between 7 January and 7 March 2010. These second winter sites were in the interior, northern, and southern periphery of the Amazon basin and the Orinoco River headwaters, Venezuela. Northward migration commenced in mid-April 2010, and the Veeries returned to Delaware between 29 April and 20 May 2010. Despite variation in migratory patterns, several stopover regions were visited by multiple individuals: the coasts of the Carolinas, the coast of the Gulf of Mexico, Cuba and Jamaica, the north coast of Colombia and Venezuela, and southern Venezuela. Our spatial and temporal data necessitates that the Veery winter range include the entire Amazon basin and the headwaters of the Orinoco River, as well as two disjunct regions in Merida state, Venezuela, and Sao Paulo state, Brazil. We hypothesize that Veeries initially settled in lowland forest and that intratropical migration was prompted by the ecological factors associated with the seasonal flood pulse of Amazonian rivers. If so, the Veery may be threatened by the recent, unprecedented proposed alteration of Amazonian lowland forests. Received 10 December 2010, accepted 2 May 2011.</t>
  </si>
  <si>
    <t>[Heckscher, Christopher M.; Taylor, Syrena M.] Delaware State Univ, Dept Agr &amp; Nat Resources, Dover, DE 19901 USA; [Fox, James W.; Afanasyev, Vsevolod] British Antarctic Survey, Nat Environm Res Council, Cambridge CB3 0ET, England</t>
  </si>
  <si>
    <t>Delaware State University; UK Research &amp; Innovation (UKRI); Natural Environment Research Council (NERC); NERC British Antarctic Survey</t>
  </si>
  <si>
    <t>Heckscher, CM (corresponding author), Delaware State Univ, Dept Agr &amp; Nat Resources, 1200 N DuPont Highway, Dover, DE 19901 USA.</t>
  </si>
  <si>
    <t>checkscher@desu.ed</t>
  </si>
  <si>
    <t>Fox, James W./0000-0002-3107-696X; Heckscher, Christopher/0000-0002-5652-7632</t>
  </si>
  <si>
    <t>Delaware State University; Delaware NSF-EPSCoR; NERC [bas010013] Funding Source: UKRI; Natural Environment Research Council [bas010013] Funding Source: researchfish</t>
  </si>
  <si>
    <t>Delaware State University; Delaware NSF-EPSCoR; NERC(UK Research &amp; Innovation (UKRI)Natural Environment Research Council (NERC)); Natural Environment Research Council(UK Research &amp; Innovation (UKRI)Natural Environment Research Council (NERC))</t>
  </si>
  <si>
    <t>We thank the staff of the Delaware Division of Parks and Recreation, and especially White Clay Creek State Park, for cooperation and approval of permits. In particular, we thank Park Superintendant N. McFadden. C. Sun assisted with field work in 2010. K. Vulinec and four reviewers provided important editorial suggestions. B. Stutchbury provided invaluable advice and assistance in geolocator technology and field applications. Field supplies were funded from an internal Delaware State University funding source. Financial support for S. Taylor was provided by the Delaware NSF-EPSCoR Undergraduate Research Program administered by the Center for Integrated Biological and Environmental Research, College of Agriculture and Related Sciences, Delaware State University.</t>
  </si>
  <si>
    <t>AMER ORNITHOLOGISTS UNION</t>
  </si>
  <si>
    <t>LAWRENCE</t>
  </si>
  <si>
    <t>ORNITHOLOGICAL SOC NORTH AMER PO BOX 1897, LAWRENCE, KS 66044-8897 USA</t>
  </si>
  <si>
    <t>10.1525/auk.2011.10280</t>
  </si>
  <si>
    <t>WOS:000293307300011</t>
  </si>
  <si>
    <t>Composition and distribution of pelagic ostracods (Ostracoda: Myodocopa) in Antarctic waters adjacent to the d'Urville Sea</t>
  </si>
  <si>
    <t>BIOLOGIYA MORYA-MARINE BIOLOGY</t>
  </si>
  <si>
    <t>Russian</t>
  </si>
  <si>
    <t>The faunistic composition of pelagic ostracods of regions situated to the north and north-west of the d'Urville Sea (60 degrees-65 degrees S, 148 degrees-136 degrees and 136 degrees-113 degrees E) is largely similar to that of the area adjacent to the Somov Sea in the same latitudes. Alacia hettacra is the most abundant species here; Austrinoecia isocheira, Boroecia antipoda, and Obtusoecia antarctica are common species. Maximum abundance of pelagic ostracods is observed in the 100-200 m depth range, the largest proportion to it is contributed by A. hettacra. The number of species increases with increasing depth. The region of 64 degrees-65 degrees S between 148 degrees and 113 degrees E is regarded as the northern boundary of the Polar Antarctic zone.</t>
  </si>
  <si>
    <t>[Mazdygan, E. R.; Chavtur, V. G.] Russian Acad Sci, Far Eastern Branch, AV Zhirmunsky Inst Marine Biol, Vladivostok 690041, Russia; [Chavtur, V. G.] Far Eastern State Univ, Vladivostok 690050, Russia; [Chavtur, V. G.] Far Eastern State Tech Univ Fisheries, Vladivostok 690087, Russia</t>
  </si>
  <si>
    <t>Mazdygan, ER (corresponding author), Russian Acad Sci, Far Eastern Branch, AV Zhirmunsky Inst Marine Biol, Vladivostok 690041, Russia.</t>
  </si>
  <si>
    <t>IZDATELSTVO MEDITSINA</t>
  </si>
  <si>
    <t>PROFSOYUZNAYA UL 90, MOSCOW, 117864, RUSSIA</t>
  </si>
  <si>
    <t>0134-3475</t>
  </si>
  <si>
    <t>BIOL MORYA-VLAD+</t>
  </si>
  <si>
    <t>Biol. Morya-Mar. Biol.</t>
  </si>
  <si>
    <t>V43IW</t>
  </si>
  <si>
    <t>WOS:000209676100003</t>
  </si>
  <si>
    <t>Ortiz-Jaureguizar, E; Pascual, R</t>
  </si>
  <si>
    <t>Ortiz-Jaureguizar, E.; Pascual, R.</t>
  </si>
  <si>
    <t>The tectonic setting of the Caribbean region and the K/T turnover of the South American land-mammal</t>
  </si>
  <si>
    <t>BOLETIN GEOLOGICO Y MINERO</t>
  </si>
  <si>
    <t>GULF-OF-MEXICO; ANTARCTIC PENINSULA; EVOLUTION; PLATE; HISTORY; PALEOGEOGRAPHY; ACCRETION; MODEL</t>
  </si>
  <si>
    <t>According to the fossil record, a biotic interchange of land vertebrates (e.g. booid snakes, dinosaurs and mammals) occurred between the Americas during the Late Cretaceous-Early Palaeocene. The arrival of North American immigrants (particularly marsupials and placentals) during the latest Cretaceous-earliest Palaeocene had a profound influence on the composition of the South American mammal communities. During the Late Cretaceous these communities were dominated by native groups of Pangeic lineages, which represented more than 95% of the known genera, but during the Early Palaeocene 70% of South American mammals were derived from North American immigrants that had arrived during the Late Cretaceous-earliest Palaeocene, and by the Late Palaeocene all the South American mammals (with the possible exception of the xenarthrans) were descendants of these North American immigrants. In spite of the fact that no geological evidence is currently available to support the existence of a continuous land connection between the Americas during the Late Cretaceousearly Palaeocene, the fossil record is substantial enough to point to a temporary inter-American connection that permitted the beginning of a land-mammal exchange by the end of the Cretaceous. This interpretation is supported by recent geographic reconstructions of the Caribbean region.</t>
  </si>
  <si>
    <t>[Ortiz-Jaureguizar, E.] Univ Nacl La Plata, LASBE Lab Sistemat &amp; Biol Evolut, Fac Ciencias Nat &amp; Museo, Paseo Bosque S-N,B1900FWA, La Plata, Buenos Aires, Argentina; [Pascual, R.] Univ Nacl La Plata, Div Paleontol Vertebrados, Fac Ciencias Nat &amp; Museo, La Plata, Buenos Aires, Argentina</t>
  </si>
  <si>
    <t>National University of La Plata; Museo La Plata; National University of La Plata; Museo La Plata</t>
  </si>
  <si>
    <t>Ortiz-Jaureguizar, E (corresponding author), Univ Nacl La Plata, LASBE Lab Sistemat &amp; Biol Evolut, Fac Ciencias Nat &amp; Museo, Paseo Bosque S-N,B1900FWA, La Plata, Buenos Aires, Argentina.</t>
  </si>
  <si>
    <t>eortiz@fcnym.unlp.edu.ar; rosenpascual@yahoo.com.ar</t>
  </si>
  <si>
    <t>Ortiz-Jaureguizar, Edgardo/F-8193-2010</t>
  </si>
  <si>
    <t>Ortiz-Jaureguizar, Edgardo/0000-0002-4333-1606</t>
  </si>
  <si>
    <t>ANPCyT [PICT 26298, PICT 2006-01860]; CONICET [PIP 112-200801-00729]; UNLP [N574]</t>
  </si>
  <si>
    <t>ANPCyT(ANPCyT); CONICET(Consejo Nacional de Investigaciones Cientificas y Tecnicas (CONICET)); UNLP(National University of La Plata)</t>
  </si>
  <si>
    <t>We thank P. Posadas for her helpful critical review of the manuscript and for redrawing Figure 1. We are grateful to I. Rabano, E. Diaz Martinez, M. IturraldeVinent, C. Laurito Mora, M. T. Alberdi and A. Arribas for their important comments and suggestions, which considerably improved our paper. L. Mainer and P. Posadas improved our English. This paper was financed by grants from the ANPCyT (PICT 26298 and PICT 2006-01860), CONICET (PIP 112-200801-00729) and UNLP (N574) to EOJ. He is scientific researcher of the CONICET, whose continuous support is gratefully acknowledged.</t>
  </si>
  <si>
    <t>INST GEOLOGICA MINERO ESPANA</t>
  </si>
  <si>
    <t>MADRID</t>
  </si>
  <si>
    <t>MUSEO GEOMINERO, RIOS ROSAS, NO 23, MADRID, 28003, SPAIN</t>
  </si>
  <si>
    <t>0366-0176</t>
  </si>
  <si>
    <t>2253-6167</t>
  </si>
  <si>
    <t>BOL GEOL MIN</t>
  </si>
  <si>
    <t>Bol. Geol. Min.</t>
  </si>
  <si>
    <t>V9J6W</t>
  </si>
  <si>
    <t>WOS:000422373300004</t>
  </si>
  <si>
    <t>Jiang, S; Liu, XD; Sun, J; Yuan, LX; Sun, LG; Wang, YH</t>
  </si>
  <si>
    <t>Jiang, Shan; Liu, Xiaodong; Sun, Jing; Yuan, Linxi; Sun, Liguang; Wang, Yuhong</t>
  </si>
  <si>
    <t>A multi-proxy sediment record of late Holocene and recent climate change from a lake near Ny-Alesund, Svalbard</t>
  </si>
  <si>
    <t>BOREAS</t>
  </si>
  <si>
    <t>RECENT ENVIRONMENTAL-CHANGE; LAST GLACIAL MAXIMUM; ATMOSPHERIC CONTAMINATION; ELLESMERE-ISLAND; BAFFIN-ISLAND; ICE-SHEET; SEA; SPITSBERGEN; HISTORY; PALEOLIMNOLOGY</t>
  </si>
  <si>
    <t>The Arctic constitutes a unique and important environment with a significant role in the dynamics and evolution of the earth system. Arctic lake sediments, which accumulate slowly over time, contain abundant information about the biological communities that lived within the water body, as well as in the surrounding catchment. In this study, we collected a sediment core from Ny-Alesund, Svalbard, performed multi-proxy analyses on sediment pigments, mineral magnetic susceptibility, various sediment quality (i.e. organic matter content, CaCO3 content, carbon and nitrogen isotope), and diatom composition, and reconstructed the history of ecosystem responses to environmental variations, especially regarding aquatic productivity and lake catchment surface processes. Ny-Alesund has undergone distinct ecological and climatic changes. During the Little Ice Age, the cold climate was unfavourable for the growth of lake algae, and therefore the lake primary productivity declined. After about AD 1890 and during the 20th century, the warming climate and reduced ice cover led to rapid lithological change and growth of lake algae, enhanced lake primary productivity, and increased input of nutrients derived from increased chemical weathering into the lake. The lake ecosystem on Ny-Alesund has had rapid responses to climatic and environmental changes in the Arctic.</t>
  </si>
  <si>
    <t>[Jiang, Shan; Liu, Xiaodong; Yuan, Linxi; Sun, Liguang] Univ Sci &amp; Technol China, Inst Polar Environm, Hefei 230026, Anhui, Peoples R China; [Sun, Jing] Columbia Univ, Lamont Doherty Earth Observ, Palisades, NY 10964 USA; [Wang, Yuhong] NIH, Bethesda, MD 20892 USA</t>
  </si>
  <si>
    <t>Chinese Academy of Sciences; University of Science &amp; Technology of China, CAS; Columbia University; National Institutes of Health (NIH) - USA</t>
  </si>
  <si>
    <t>Jiang, S (corresponding author), Univ Sci &amp; Technol China, Inst Polar Environm, Hefei 230026, Anhui, Peoples R China.</t>
  </si>
  <si>
    <t>ycx@ustc.edu.cn</t>
  </si>
  <si>
    <t>Yuan, Linxi/Y-9313-2019; Sun, Jing/B-9248-2017</t>
  </si>
  <si>
    <t>Yuan, Linxi/0000-0002-1043-8933; Sun, Jing/0000-0002-0129-5184</t>
  </si>
  <si>
    <t>National Natural Science Foundation [40876096, 41076123, 40730107]; Fundamental Research Funds for the Central Universities; State Key Laboratory of Environmental Chemistry and Ecotoxicology [KP2010-08]; CAAA [20070202]; Chinese Academy of Sciences</t>
  </si>
  <si>
    <t>National Natural Science Foundation(National Natural Science Foundation of China (NSFC)); Fundamental Research Funds for the Central Universities(Fundamental Research Funds for the Central Universities); State Key Laboratory of Environmental Chemistry and Ecotoxicology; CAAA; Chinese Academy of Sciences(Chinese Academy of Sciences)</t>
  </si>
  <si>
    <t>We would like to thank the Chinese Antarctic and Arctic Administration of the National Oceanic Bureau for logistical support. We especially appreciate Dr. A. Werner, Professor Jan A. Piotrowski and an anonymous reviewer for their critical reviews, which led to improvements in the manuscript. This study was supported by the National Natural Science Foundation (Grant Nos 40876096, 41076123 and 40730107), the Fundamental Research Funds for the Central Universities, open fund from State Key Laboratory of Environmental Chemistry and Ecotoxicology (KP2010-08), the young fund for strategetic research of Chinese polar sciences from CAAA (No. 20070202) and a special fund for excellent PhD thesis of the Chinese Academy of Sciences.</t>
  </si>
  <si>
    <t>0300-9483</t>
  </si>
  <si>
    <t>1502-3885</t>
  </si>
  <si>
    <t>Boreas</t>
  </si>
  <si>
    <t>10.1111/j.1502-3885.2010.00198.x</t>
  </si>
  <si>
    <t>783TL</t>
  </si>
  <si>
    <t>WOS:000292106800006</t>
  </si>
  <si>
    <t>Reinardy, BTI; Hiemstra, JF; Murray, T; Hillenbrand, CD; Larter, RD</t>
  </si>
  <si>
    <t>Reinardy, Benedict T. I.; Hiemstra, John F.; Murray, Tavi; Hillenbrand, Claus-Dieter; Larter, Robert D.</t>
  </si>
  <si>
    <t>Till genesis at the bed of an Antarctic Peninsula palaeo-ice stream as indicated by micromorphological analysis</t>
  </si>
  <si>
    <t>LAST GLACIAL MAXIMUM; SEA-FLOOR EVIDENCE; LATE PLEISTOCENE; SUBGLACIAL TILL; BASAL TILL; BELLINGSHAUSEN SEA; WEST ANTARCTICA; MELTING HISTORY; WEDDELL SEA; SHEET</t>
  </si>
  <si>
    <t>Sediment cores from cross-shelf troughs on the NE Antarctic Peninsula shelf recovered tills with variable shear strengths that represent different subglacial depositional regimes. In addition to detailed qualitative micromorphological descriptions, a quantitative method was applied, which revealed a higher abundance of boudins and intraclasts and a lower abundance of crushed and fractured grains in samples from the soft till compared with samples from the underlying stiff till. This is the first evidence of significant (micro-scale) differences between the two types of till and thus strengthens previous interpretations that were based primarily on shear strength. The differences between the soft and stiff till relate to a deforming continuum whereby the initial deposition of till as ice advanced across the shelf produced ductile structures before dewatering and compaction led to the formation of brittle structures such as crushed and fractured grains in the now stiff till. A change in ice-flow dynamics led to streaming flow and the deformation of the upper parts of the stiff till that was being reworked into a soft till. The soft till facilitated ice streaming, and progressive shearing led to the homogenization of the ice stream substrate, which was partially advected downstream. The resulting till thus contains poly-deformational structures, with deformation structures inherited from the stiff till being generally poorly preserved. Our micromorphological analysis of the soft till provides the first widespread sedimentological evidence of deformation across the palaeo-ice stream bed on the NE Antarctic Peninsula shelf.</t>
  </si>
  <si>
    <t>[Reinardy, Benedict T. I.; Hiemstra, John F.; Murray, Tavi] Swansea Univ, Sch Environm &amp; Soc, Swansea SA2 8PP, W Glam, Wales; [Larter, Robert D.] British Antarctic Survey, Cambridge CB3 0ET, England</t>
  </si>
  <si>
    <t>Swansea University; UK Research &amp; Innovation (UKRI); Natural Environment Research Council (NERC); NERC British Antarctic Survey</t>
  </si>
  <si>
    <t>Reinardy, BTI (corresponding author), Swansea Univ, Sch Environm &amp; Soc, Singleton Pk, Swansea SA2 8PP, W Glam, Wales.</t>
  </si>
  <si>
    <t>371404@swansea.ac.uk; j.hiemstra@swansea.ac.uk; t.murray@swansea.ac.uk; hilc@bas.ac.uk; rdla@bas.ac.uk</t>
  </si>
  <si>
    <t>Reinardy, Benedict/HKO-3273-2023; Hiemstra, John F/E-4192-2013</t>
  </si>
  <si>
    <t>Reinardy, Benedict/0000-0002-3409-6747; Larter, Robert/0000-0002-8414-7389; Murray, Tavi/0000-0001-6714-6512</t>
  </si>
  <si>
    <t>Natural Environment Research Council; NERC [bas0100027, bosc01001] Funding Source: UKRI; Natural Environment Research Council [bas0100027, bosc01001] Funding Source: researchfish</t>
  </si>
  <si>
    <t>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</si>
  <si>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This work forms a contribution to the Ice Sheets component of the British Antarctic Survey Polar Science for Planet Earth Programme. It was funded by the Natural Environment Research Council. We thank the officers and crew of RRS James Clark Ross for their skilful ice navigation, the British Geological Survey team for coring in Antarctic conditions during cruises JR48 and JR71 to the NE Antarctic Peninsula continental shelf in 2000 and 2002, and especially Carol Pudsey, Jeff Evans and Ali Graham for all their help. We are grateful to Nicolaj K. Larsen and Simon Carr for their useful reviews, which helped to improve the manuscript. We thank Guy Rothwell for support with sampling cores at BOSCORF (NOC Southampton) and Adrian Palmer for assistance with the preparation of the thin sections.</t>
  </si>
  <si>
    <t>10.1111/j.1502-3885.2010.00199.x</t>
  </si>
  <si>
    <t>WOS:000292106800008</t>
  </si>
  <si>
    <t>Finlayson, A; Golledge, N; Bradwell, T; Fabel, D</t>
  </si>
  <si>
    <t>Finlayson, Andrew; Golledge, Nick; Bradwell, Tom; Fabel, Derek</t>
  </si>
  <si>
    <t>Evolution of a Lateglacial mountain icecap in northern Scotland</t>
  </si>
  <si>
    <t>LOCH-LOMOND-READVANCE; YOUNGER DRYAS GLACIATION; GLACIER RECONSTRUCTION; EQUILIBRIUM-LINE; PRODUCTION-RATES; COSMOGENIC NUCLIDES; SCALING FACTORS; MODERN ANALOGS; WEST SCOTLAND; EXPOSURE AGES</t>
  </si>
  <si>
    <t>Detailed geomorphological mapping of the Beinn Dearg massif, northern Scotland, was conducted to examine the maximum (Younger Dryas) extent, and earlier interstadial evolution, of an icecap that existed during the Lateglacial period (14.7-11.7 cal. ka BP). Landform evidence indicates a plateau icecap configuration during the Younger Dryas. The interpreted age is supported by new cosmogenic exposure ages and previously reported interstadial sediments beyond the icecap margin. The reconstructed Younger Dryas Beinn Dearg icecap covered 176 km(2). Equilibrium line altitudes (ELAs) of similar to 570-580 m were calculated for the icecap as a whole. The empirically reconstructed icecap is compared with recent numerical model simulations. The two methods produce an icecap with a similar configuration; however, differences are apparent in the extent of eastern and western outlets (+/- 1-5 km), and in the spatial variation of ELAs. Results suggest that the numerical simulation overestimates the western and underestimates the eastern icecap extent. We attempt to quantify these differences in terms of icecap mass balance and assess their possible causes. Geomorphological evidence for the pre-Younger Dryas icecap configuration indicates that the Beinn Dearg massif remained an important source during earlier deglaciation. In contrast, the neighbouring Fannich mountains acted as an 'unzipping' zone, and were ice-free on their northern side by the Allerod (Greenland Interstadial 1c to 1a). Deglaciation continued over the western Beinn Dearg plateau, with the possibility that glaciers remained in some central and eastern catchments prior to (Younger Dryas) icecap (re) growth.</t>
  </si>
  <si>
    <t>[Finlayson, Andrew; Bradwell, Tom] British Geol Survey, Edinburgh EH9 3LA, Midlothian, Scotland; [Finlayson, Andrew] Univ Edinburgh, Inst Geog, Edinburgh EH8 9XP, Midlothian, Scotland; [Golledge, Nick] Victoria Univ Wellington, Antarctic Res Ctr, Wellington 6140, New Zealand; [Fabel, Derek] Univ Glasgow, Dept Geog &amp; Earth Sci, Glasgow G12 8QQ, Lanark, Scotland</t>
  </si>
  <si>
    <t>UK Research &amp; Innovation (UKRI); Natural Environment Research Council (NERC); NERC British Geological Survey; University of Edinburgh; Victoria University Wellington; University of Glasgow</t>
  </si>
  <si>
    <t>Finlayson, A (corresponding author), British Geol Survey, Murchison House,W Mains Rd, Edinburgh EH9 3LA, Midlothian, Scotland.</t>
  </si>
  <si>
    <t>afin@bgs.ac.uk; nick.golledge@vuw.ac.nz; tbrad@bgs.ac.uk; Derek.Fa-bel@ges.gla.ac.uk</t>
  </si>
  <si>
    <t>Fabel, Derek/A-2999-2010</t>
  </si>
  <si>
    <t>Fabel, Derek/0000-0003-2859-3293; Golledge, Nicholas/0000-0001-7676-8970; Bradwell, Tom/0000-0003-0947-3309</t>
  </si>
  <si>
    <t>BGS-University collaboration (BUFI) [E2152S60]; Natural Environment Research Council [bgs05002] Funding Source: researchfish; NERC [bgs05002] Funding Source: UKRI</t>
  </si>
  <si>
    <t>BGS-University collaboration (BUFI); Natural Environment Research Council(UK Research &amp; Innovation (UKRI)Natural Environment Research Council (NERC)); NERC(UK Research &amp; Innovation (UKRI)Natural Environment Research Council (NERC))</t>
  </si>
  <si>
    <t>Cosmogenic nuclide analyses were supported by a BGS-University collaboration (BUFI) award (E2152S60), made to NG and DF. Colin Ballantyne is thanked for his encouragement of this work. Maarten Krabbendam took the photographs in Fig. 8. He and Jon Merritt kindly commented on an earlier version of this manuscript. Doug Benn and Atle Nesje are thanked for their reviews, which lead to improvements in the paper. This paper is published with the permission of the Executive Director of the British Geological Survey (NERC).</t>
  </si>
  <si>
    <t>10.1111/j.1502-3885.2010.00202.x</t>
  </si>
  <si>
    <t>WOS:000292106800011</t>
  </si>
  <si>
    <t>Vaz, ABM; Rosa, LH; Vieira, MLA; de Garcia, V; Brandao, LR; Teixeira, LCRS; Moliné, M; Libkind, D; van Broock, M; Rosa, CA</t>
  </si>
  <si>
    <t>Vaz, Aline B. M.; Rosa, Luiz H.; Vieira, Mariana L. A.; de Garcia, Virginia; Brandao, Luciana R.; Teixeira, Lia C. R. S.; Moline, Martin; Libkind, Diego; van Broock, Maria; Rosa, Carlos A.</t>
  </si>
  <si>
    <t>THE DIVERSITY, EXTRACELLULAR ENZYMATIC ACTIVITIES AND PHOTOPROTECTIVE COMPOUNDS OF YEASTS ISOLATED IN ANTARCTICA</t>
  </si>
  <si>
    <t>yeasts; Antarctica; diversity; extracellular enzymes; mycosporines</t>
  </si>
  <si>
    <t>POLYPHASIC TAXONOMY; SP-NOV; FUNGI; PATAGONIA; BIODIVERSITY; ENVIRONMENTS; RHODOTORULA; STRAINS</t>
  </si>
  <si>
    <t>The diversity of yeasts collected from different sites in Antarctica (Admiralty Bay, King George Island and Port Foster Bay and Deception Island) and their ability to produce extracellular enzymes and mycosporines were studied. Samples were collected during the austral summer season, between November 2006 and January 2007, from the rhizosphere of Deschampsia antarctica, ornithogenic (penguin guano) soil, soil, marine and lake sediments, marine water and freshwater from lakes. A total of 89 isolates belonging to the following genera were recovered: Bensingtonia, Candida, Cryptococcus, Debaryomyces, Dioszegia, Exophiala, Filobasidium, Issatchenkia (Pichia), Kodamaea, Leucosporidium, Leucosporidiella, Metschnikowia, Nadsonia, Pichia, Rhodotorula, and Sporidiobolus, and the yeast-like fungi Aureobasidium, Leuconeurospora and Microglossum. Cryptococcus victoriae was the most frequently identified species. Several species isolated in our study have been previously reported to be Antarctic psychophilic yeasts, including Cr. antarcticus, Cr. victoriae, Dioszegia hungarica and Leucosporidium scottii. The cosmopolitan yeast species A. pullulans, C. zeylanoides, D. hansenii, I. orientalis, K. ohmeri, P. guilliermondii, Rh. mucilaginosa, and S. salmonicolor were also isolated. Five possible new species were identified. Sixty percent of the yeasts had at least one detectable extracellular enzymatic activity. Cryptococcus antarcticus, D. aurantiaca, D. crocea, D. hungarica, Dioszegia sp., E. xenobiotica, Rh. glaciales, Rh. laryngis, Microglossum sp. 1 and Microglossum sp. 2 produced mycosporines. Of the yeast isolates, 41.7% produced pigments and/or mycosporines and could be considered adapted to survive in Antarctica. Most of the yeasts had extracellular enzymatic activities at 4 degrees C and 20 degrees C, indicating that they could be metabolically active in the sampled substrates.</t>
  </si>
  <si>
    <t>[Vaz, Aline B. M.; Rosa, Luiz H.; Vieira, Mariana L. A.; Brandao, Luciana R.; Teixeira, Lia C. R. S.; Rosa, Carlos A.] Univ Fed Minas Gerais, Inst Ciencias Biol, Dept Microbiol, Belo Horizonte, MG, Brazil; [de Garcia, Virginia; Moline, Martin; Libkind, Diego; van Broock, Maria] Univ Nacl Comahue, CONICET, Inst Invest Biodiversidad &amp; Medio Ambiente, Lab Microbiol Aplicada &amp; Biotecnol, San Carlos De Bariloche, Rio Negro, Argentina</t>
  </si>
  <si>
    <t>Universidade Federal de Minas Gerais; Universidad Nacional del Comahue; Consejo Nacional de Investigaciones Cientificas y Tecnicas (CONICET)</t>
  </si>
  <si>
    <t>Rosa, CA (corresponding author), Univ Fed Minas Gerais, Inst Ciencias Biol, Dept Microbiol, Belo Horizonte, MG, Brazil.</t>
  </si>
  <si>
    <t>carlrosa@icb.ufmg.br</t>
  </si>
  <si>
    <t>Vaz, Aline BM/F-7684-2012; Teixeira, Lia/AFV-0851-2022</t>
  </si>
  <si>
    <t>Teixeira, Lia/0000-0002-2874-1973</t>
  </si>
  <si>
    <t>Brazilian Antarctic Program (PROANTAR); Fundacao do Amparo a Pesquisa do Estado de Minas Gerais (FAPEMIG); Coordenacao de Aperfeicoamento de Pessoal de Nivel Superior (CAPES); Conselho Nacional de Desenvolvimento Cientifico e Tecnologico (CNPq); Universidad Nacional del Comahue [B143]; ANPCyT Argentina [PICT 1176]</t>
  </si>
  <si>
    <t>Brazilian Antarctic Program (PROANTAR); Fundacao do Amparo a Pesquisa do Estado de Minas Gerais (FAPEMIG)(Fundacao de Amparo a Pesquisa do Estado de Minas Gerais (FAPEMIG)); Coordenacao de Aperfeicoamento de Pessoal de Nivel Superior (CAPES)(Coordenacao de Aperfeicoamento de Pessoal de Nivel Superior (CAPES)); Conselho Nacional de Desenvolvimento Cientifico e Tecnologico (CNPq)(Conselho Nacional de Desenvolvimento Cientifico e Tecnologico (CNPQ)); Universidad Nacional del Comahue; ANPCyT Argentina(ANPCyT)</t>
  </si>
  <si>
    <t>This study was made possible with financial and logistical support from the Brazilian Antarctic Program (PROANTAR). It is part of the API activity 403 MIDIAPI Microbial Diversity of Terrestrial and Maritime ecosystems in Antarctic Peninsula under the coordination of Dr. Vivian H. Pellizari, and contributes to the umbrella IPY activities of MERGE (Microbiological and Ecological Responses to Global Environmental Changes in Polar Regions), CAML (Census of Antarctic Marine Life) and SCARMarBIN (SCARMarine Biodiversity Information Network). This work was also supported by Fundacao do Amparo a Pesquisa do Estado de Minas Gerais (FAPEMIG), Coordenacao de Aperfeicoamento de Pessoal de Nivel Superior (CAPES), Conselho Nacional de Desenvolvimento Cientifico e Tecnologico (CNPq), Universidad Nacional del Comahue (B143) and ANPCyT Argentina (PICT 1176).</t>
  </si>
  <si>
    <t>10.1590/S1517-83822011000300012</t>
  </si>
  <si>
    <t>WOS:000297756800012</t>
  </si>
  <si>
    <t>Bernabò, P; Rebecchi, L; Jousson, O; Martínez-Guitarte, JL; Lencioni, V</t>
  </si>
  <si>
    <t>Bernabo, Paola; Rebecchi, Lorena; Jousson, Olivier; Luis Martinez-Guitarte, Jose; Lencioni, Valeria</t>
  </si>
  <si>
    <t>Thermotolerance and hsp70 heat shock response in the cold-stenothermal chironomid Pseudodiamesa branickii (NE Italy)</t>
  </si>
  <si>
    <t>CELL STRESS &amp; CHAPERONES</t>
  </si>
  <si>
    <t>Freshwater insects; Lethal temperatures; 70-kDa heat shock proteins; Thermal stress; Alpine streams</t>
  </si>
  <si>
    <t>CONTINUOUS UP-REGULATION; HEAT-SHOCK-COGNATE-70 GENE; MOLECULAR CHAPERONES; EXPRESSION; PROTEINS; DROSOPHILA; DIPTERA; CLONING; LARVAE; HEAT-SHOCK-PROTEIN-70</t>
  </si>
  <si>
    <t>To better understand the physiological capability of cold-stenothermal organisms to survive high-temperature stress, we analyzed the thermotolerance limits and the expression level of hsp70 genes under temperature stress in the alpine midge Pseudodiamesa branickii (Diptera Chironomidae). A lethal temperature (LT100) of 36A degrees C and a lethal temperature 50% (LT50) of 32.2A degrees C were found for the cold-stenothermal larvae after short-term shocks (1 h). Additional experiments revealed that the duration of the exposure negatively influenced survival, whereas a prior exposure to a less severe high temperature generated an increase in survival. To investigate the molecular basis of this high thermotolerance, the expression of the hsp70 gene family was surveyed via semi-quantitative reverse transcription-polymerase chain reaction analysis in treated larvae. The constitutive (hsc70) and inducible (hsp70) forms were both analyzed. Larvae of P. branickii showed a significant up-regulation of inducible hsp70 gene with increasing temperatures and an over-expression of both hsp70 and hsc70 by increasing the time of exposure. Different from that was shown in many cold-stenothermal Antarctic organisms, P. branickii was able to activate hsp70 genes transcription (equal to heat shock response) in response to thermal stress. Finally, the unclear relationship between hsp70 expression and survival led us to surmise that genes other than hsp70 and other processes apart from the biochemical processes might generate the high thermaltolerance of P. branickii larvae. These results and future high-throughput studies at both the transcriptome and proteome level will improve our ability to predict the future geographic distribution of this species within the context of global warming.</t>
  </si>
  <si>
    <t>[Bernabo, Paola; Lencioni, Valeria] Museo Tridentino Sci Nat, Sect Invertebrate Zool &amp; Hydrobiol, I-38122 Trento, Italy; [Bernabo, Paola; Rebecchi, Lorena] Univ Modena &amp; Reggio Emilia, Dept Biol, I-41125 Modena, Italy; [Bernabo, Paola; Jousson, Olivier] Univ Trento, Ctr Integrat Biol, I-38123 Trento, Italy; [Luis Martinez-Guitarte, Jose] Univ Nacl Educ Distancia, Fac Ciencias, Grp Biol &amp; Environm Toxixol, E-28040 Madrid, Spain</t>
  </si>
  <si>
    <t>Universita di Modena e Reggio Emilia; University of Trento; Universidad Nacional de Educacion a Distancia (UNED)</t>
  </si>
  <si>
    <t>Lencioni, V (corresponding author), Museo Tridentino Sci Nat, Sect Invertebrate Zool &amp; Hydrobiol, Via Calepina 14, I-38122 Trento, Italy.</t>
  </si>
  <si>
    <t>lencioni@mtsn.tn.it</t>
  </si>
  <si>
    <t>Lencioni, Valeria/G-1935-2011; Martinez-Guitarte, Jose-Luis/M-3990-2014; Jousson, Olivier/S-4397-2019; Jousson, Olivier/N-7000-2013; Lencioni, Valeria/O-4738-2019; Rebecchi, Lorena/E-1653-2015</t>
  </si>
  <si>
    <t>Lencioni, Valeria/0000-0002-4341-9923; Martinez-Guitarte, Jose-Luis/0000-0002-7722-864X; Jousson, Olivier/0000-0003-3344-7194; Lencioni, Valeria/0000-0002-4341-9923; Rebecchi, Lorena/0000-0001-5610-806X</t>
  </si>
  <si>
    <t>Autonomous Province of Trento (Italy); University and Scientific Research Service</t>
  </si>
  <si>
    <t>Autonomous Province of Trento (Italy)(Autonomous Province of Trento); University and Scientific Research Service</t>
  </si>
  <si>
    <t>This study was co-funded by the Autonomous Province of Trento (Italy), ACE-SAP project (Ecosistemi Alpini e Cambiamento Ambientale: Sensibilita e Potenziale Adattativo della biodiversita/Alpine Ecosystems in a Changing Environment: Biodiversity Sensitivity and Adaptive Potential; regulation number 23, June 12, 2008, of the University and Scientific Research Service). The authors thank Marcello Taglialatela Scafati, Gianluca Baccarani, and Flavia Toloni for their precious help in field activity and David Neale (Davis University, USA) for English revision.</t>
  </si>
  <si>
    <t>1355-8145</t>
  </si>
  <si>
    <t>1466-1268</t>
  </si>
  <si>
    <t>CELL STRESS CHAPERON</t>
  </si>
  <si>
    <t>Cell Stress Chaperones</t>
  </si>
  <si>
    <t>10.1007/s12192-010-0251-5</t>
  </si>
  <si>
    <t>Cell Biology</t>
  </si>
  <si>
    <t>780UD</t>
  </si>
  <si>
    <t>WOS:000291883900005</t>
  </si>
  <si>
    <t>Graham, JA; Stevens, DP; Heywood, KJ; Wang, ZM</t>
  </si>
  <si>
    <t>Graham, Jennifer A.; Stevens, David P.; Heywood, Karen J.; Wang, Zhaomin</t>
  </si>
  <si>
    <t>North Atlantic climate responses to perturbations in Antarctic Intermediate Water</t>
  </si>
  <si>
    <t>CLIMATE DYNAMICS</t>
  </si>
  <si>
    <t>Antarctic Intermediate Water; Perturbation; Atlantic</t>
  </si>
  <si>
    <t>CENTER COUPLED MODEL; THERMOHALINE CIRCULATION; SEA-ICE; OCEAN; VARIABILITY; TEMPERATURE; SIMULATION; TRANSPORTS; PACIFIC; VERSION</t>
  </si>
  <si>
    <t>Recent observations suggest Antarctic Intermediate Water (AAIW) properties are changing. The impact of such variations is explored using idealised perturbation experiments with a coupled climate model, HadCM3. AAIW properties are altered between 10 and 20 degrees S in the South Atlantic, maintaining constant potential density. The perturbed AAIW remains subsurface in the South Atlantic, but as it moves northwards, it surfaces and interacts with the atmosphere leading to density anomalies due to heat exchanges. For a cooler, fresher AAIW, there is a significant decrease in the mean North Atlantic sea surface temperature (SST), of up to 1 degrees C, during years 51-100. In the North Atlantic Current region there are persistent cold anomalies from 2,000 m depth to the surface, and in the overlying atmosphere. Atmospheric surface pressure increases over the mid-latitude Atlantic, and precipitation decreases over northwest Africa and southwest Europe. Surface heat flux anomalies show that these impacts are caused by changes in the ocean rather than atmospheric forcing. The SST response is associated with significant changes in the Atlantic meridional overturning circulation (MOC). After 50 years there is a decrease in the MOC that persists for the remainder of the simulation, resulting from changes in the column-averaged density difference between 30 degrees S and 60 degrees N. Rather than showing a linear response, a warmer, saltier AAIW also leads to a decreased MOC strength for years 51-100 and resulting cooling in the North Atlantic. The non-linearity can be attributed to opposing density responses as the perturbed water masses interact with the atmosphere.</t>
  </si>
  <si>
    <t>[Graham, Jennifer A.; Heywood, Karen J.] Univ E Anglia, Sch Environm Sci, Norwich NR4 7TJ, Norfolk, England; [Stevens, David P.] Univ E Anglia, Sch Math, Norwich NR4 7TJ, Norfolk, England; [Wang, Zhaomin] British Antarctic Survey, Cambridge CB3 0ET, England</t>
  </si>
  <si>
    <t>University of East Anglia; University of East Anglia; UK Research &amp; Innovation (UKRI); Natural Environment Research Council (NERC); NERC British Antarctic Survey</t>
  </si>
  <si>
    <t>Graham, JA (corresponding author), Univ E Anglia, Sch Environm Sci, Norwich NR4 7TJ, Norfolk, England.</t>
  </si>
  <si>
    <t>j.graham@uea.ac.uk</t>
  </si>
  <si>
    <t>; Heywood, Karen/L-1757-2016; Stevens, David/F-2509-2010</t>
  </si>
  <si>
    <t>Graham, Jennifer/0000-0002-1950-5266; Heywood, Karen/0000-0001-9859-0026; Stevens, David/0000-0002-7283-4405</t>
  </si>
  <si>
    <t>PhD studentship; CASE studentship with the British Antarctic Survey; NERC [bas0100028] Funding Source: UKRI; Natural Environment Research Council [bas0100028] Funding Source: researchfish</t>
  </si>
  <si>
    <t>PhD studentship; CASE studentship with the British Antarctic Survey; NERC(UK Research &amp; Innovation (UKRI)Natural Environment Research Council (NERC)); Natural Environment Research Council(UK Research &amp; Innovation (UKRI)Natural Environment Research Council (NERC))</t>
  </si>
  <si>
    <t>Funding has been provided by a PhD studentship for the UK Natural Environment Research Council. This work has also been supported by a CASE studentship with the British Antarctic Survey. The research presented in this paper was carried out on the High Performance Computing Cluster supported by the Research Computing Service at the University of East Anglia. We would like to thank Ian Stevens for his technical support in the initial stages of this project, and two anonymous reviewers for their useful comments.</t>
  </si>
  <si>
    <t>0930-7575</t>
  </si>
  <si>
    <t>1432-0894</t>
  </si>
  <si>
    <t>CLIM DYNAM</t>
  </si>
  <si>
    <t>Clim. Dyn.</t>
  </si>
  <si>
    <t>10.1007/s00382-010-0981-1</t>
  </si>
  <si>
    <t>800YG</t>
  </si>
  <si>
    <t>WOS:000293403000018</t>
  </si>
  <si>
    <t>Whitehouse, MJ; Atkinson, A; Rees, AP</t>
  </si>
  <si>
    <t>Whitehouse, M. J.; Atkinson, A.; Rees, A. P.</t>
  </si>
  <si>
    <t>Close coupling between ammonium uptake by phytoplankton and excretion by Antarctic krill, Euphausia superba</t>
  </si>
  <si>
    <t>Southern Ocean; South Georgia; Phytoplankton; Ammonium; Nitrate; Krill; Euphausia superba; Excretion; Nutrient regeneration</t>
  </si>
  <si>
    <t>SOUTH-GEORGIA; NITRATE UPTAKE; HIGH-NUTRIENT; NITROGEN; OCEAN; CHLOROPHYLL; TEMPERATURE; DYNAMICS; SUMMER; WATER</t>
  </si>
  <si>
    <t>In this study we examined the hypothesis that, under conditions of replete macronutrients and iron in the Southern Ocean, phytoplankton abundance and specific N uptake rates are influenced strongly by the processes of grazing and NH4 regeneration. NH4 and NO3 uptake rates by marine phytoplankton were measured to the northeast and northwest of the island of South Georgia during January-February 1998. Mean specific uptake rate for NO3 (vNO(3)) was 0.0026 h(-1) (range 0.0013-0.0065 h(-1)) and for NH4 (vNH(4)) was 0.0097 h(-1) (0.0014-0.0376 h(-1)). vNH(4) was related positively with NH4 availability, which ranged from 0.1 to 1.5 mmol m(-3) within the upper mixed layer. Ambient NH4 concentrations and vNH(4) were both positively related to local krill biomass values, computed from mean values along acoustic transect segments within 2 km of the uptake measurement stations. These biomass values ranged from similar to 1 g krill fresh mass m(-2) in the northwest to &gt;4 kg krill wet mass m(-2) in the northeast. In contrast to the variability found with NH4 concentrations and uptake rates, vNO(3) was more uniform across the sampling sites. Under these conditions, increasing NH4 concentration appeared to represent an additional N resource. However, high vNH(4) tended to be found for stations with lower phytoplankton standing stocks, across a total range of 0.24-20 mg chlorophyll a m(-3). These patterns suggest a coupling between phytoplankton biomass, vNH(4) and krill in this region of variable but high krill biomass. Locally high concentrations of krill in parts of the study area appeared to have two opposing effects. On the one hand they could graze down phytoplankton stocks, but on the other hand, their NH4 excretion supported enhanced uptake rates by the remaining, ungrazed cells. (C) 2011 Elsevier Ltd. All rights reserved.</t>
  </si>
  <si>
    <t>[Whitehouse, M. J.; Atkinson, A.] British Antarctic Survey, Nat Environm Res Council, Cambridge CB3 0ET, England; [Rees, A. P.] Plymouth Marine Lab, Plymouth PL1 3DH, Devon, England</t>
  </si>
  <si>
    <t>UK Research &amp; Innovation (UKRI); Natural Environment Research Council (NERC); NERC British Antarctic Survey; Plymouth Marine Laboratory</t>
  </si>
  <si>
    <t>Atkinson, A (corresponding author), British Antarctic Survey, Nat Environm Res Council, Madingley Rd, Cambridge CB3 0ET, England.</t>
  </si>
  <si>
    <t>aat@bas.ac.uk</t>
  </si>
  <si>
    <t>Atkinson, Angus/HOH-3417-2023</t>
  </si>
  <si>
    <t>Natural Environment Research Council [bas0100025] Funding Source: researchfish; NERC [bas0100025] Funding Source: UKRI</t>
  </si>
  <si>
    <t>10.1016/j.dsr.2011.03.006</t>
  </si>
  <si>
    <t>801GF</t>
  </si>
  <si>
    <t>WOS:000293425800001</t>
  </si>
  <si>
    <t>Hofmann, EE; Wiebe, PH; Costa, DP; Torres, JJ</t>
  </si>
  <si>
    <t>Hofmann, Eileen E.; Wiebe, Peter H.; Costa, Daniel P.; Torres, Joseph J.</t>
  </si>
  <si>
    <t>Introduction to understanding the linkages between Antarctic food webs and the environment: A synthesis of Southern Ocean GLOBEC studies</t>
  </si>
  <si>
    <t>PENINSULA CONTINENTAL-SHELF</t>
  </si>
  <si>
    <t>[Hofmann, Eileen E.] Old Dominion Univ, Ctr Coastal Phys Oceanog, Norfolk, VA 23508 USA; [Wiebe, Peter H.] Woods Hole Oceanog Inst, Dept Biol, Woods Hole, MA 02543 USA; [Costa, Daniel P.] Univ Calif Santa Cruz, Dept Ecol &amp; Evolutionary Biol, Santa Cruz, CA 95060 USA; [Torres, Joseph J.] Univ S Florida, Coll Marine Sci, St Petersburg, FL 33701 USA</t>
  </si>
  <si>
    <t>Old Dominion University; Woods Hole Oceanographic Institution; University of California System; University of California Santa Cruz; State University System of Florida; University of South Florida</t>
  </si>
  <si>
    <t>Hofmann, EE (corresponding author), Old Dominion Univ, Ctr Coastal Phys Oceanog, Norfolk, VA 23508 USA.</t>
  </si>
  <si>
    <t>hofmann@ccpo.odu.edu</t>
  </si>
  <si>
    <t>Carlos, Universidade Federal de São/W-8832-2019; Costa, Daniel Paul/E-2616-2013</t>
  </si>
  <si>
    <t>Carlos, Universidade Federal de São/0000-0002-0334-3899; Wiebe, Peter/0000-0002-6059-4651; Costa, Daniel Paul/0000-0002-0233-5782</t>
  </si>
  <si>
    <t>Directorate For Geosciences [0838937] Funding Source: National Science Foundation; Office of Polar Programs (OPP) [0838937] Funding Source: National Science Foundation</t>
  </si>
  <si>
    <t>Directorate For Geosciences(National Science Foundation (NSF)NSF - Directorate for Geosciences (GEO)); Office of Polar Programs (OPP)(National Science Foundation (NSF)NSF - Directorate for Geosciences (GEO))</t>
  </si>
  <si>
    <t>10.1016/j.dsr2.2011.02.001</t>
  </si>
  <si>
    <t>WOS:000292438600001</t>
  </si>
  <si>
    <t>Young, EF; Meredith, MP; Murphy, EJ; Carvalho, GR</t>
  </si>
  <si>
    <t>Young, Emma F.; Meredith, Michael P.; Murphy, Eugene J.; Carvalho, Gary R.</t>
  </si>
  <si>
    <t>High-resolution modelling of the shelf and open ocean adjacent to South Georgia, Southern Ocean</t>
  </si>
  <si>
    <t>Hydrodynamic modelling; Shelf-sea circulation; South Georgia; Southern Ocean</t>
  </si>
  <si>
    <t>KRILL EUPHAUSIA-SUPERBA; CIRCUMPOLAR CURRENT FRONT; SUB-ANTARCTIC ISLAND; SCOTIA SEA; PART I; CIRCULATION; TRANSPORT; NORTHWEST; CONNECTIONS; VARIABILITY</t>
  </si>
  <si>
    <t>The marine ecosystem on the shelf and open ocean adjacent to South Georgia is extraordinarily rich, with a history of commercial exploitation. Although much progress has been made, attempts at modelling (and hence better understanding) this system have consistently been hampered by the poor representation of key physical processes in global or regional ocean general circulation models. Here we present the development of a high-resolution 3D hydrodynamic model of the South Georgia shelf and the adjacent open ocean, including a novel method for prescribing freshwater fluxes. The ability of the model to reproduce the observed oceanography of the region is quantified by comparisons with data from tide gauges at South Georgia, with satellite-derived sea surface temperatures, and with an extensive CTD dataset collected during January-April 1995. Predicted cotidal charts for the diurnal tides O-1 and K-1 show a periodic amplification in both the current and elevation fields at the shelf edge, suggesting the presence of a diurnally forced continental shelf wave. This could have important implications for processes such as larval transport and retention. The comparison with CTD data reveals mean and root mean square errors in temperature (salinity) of -0.27 degrees C (-0.07) and 0.64 degrees C (0.23), respectively. Vertical profiles of potential temperature and salinity on the shelf agree acceptably well with observations, but there is a tendency for the model to under-predict the density contrast between surface and bottom waters. The main limitation on model accuracy is found to be the large-scale forcing. Releasing a passive tracer into the model, transport and retention pathways are identified, including a prevalence for tracer export from the shelf to the west of South Georgia, and a transport pathway linking South Georgia and Shag Rocks. Significantly, the model suggests this to be a unidirectional link, from South Georgia to Shag Rocks, with possible significance for fisheries management. The implications of these results in the context of the South Georgia ecosystem are discussed briefly, demonstrating the usefulness of this new tool for interdisciplinary studies of the region. (C) 2010 Elsevier Ltd. All rights reserved.</t>
  </si>
  <si>
    <t>[Young, Emma F.; Meredith, Michael P.; Murphy, Eugene J.] British Antarctic Survey, Cambridge CB3 0ET, England; [Carvalho, Gary R.] Univ Wales, Sch Biol Sci, Bangor, Gwynedd, Wales</t>
  </si>
  <si>
    <t>UK Research &amp; Innovation (UKRI); Natural Environment Research Council (NERC); NERC British Antarctic Survey; Bangor University</t>
  </si>
  <si>
    <t>Young, EF (corresponding author), British Antarctic Survey, Madingley Rd, Cambridge CB3 0ET, England.</t>
  </si>
  <si>
    <t>eyoung@bas.ac.uk</t>
  </si>
  <si>
    <t>murphy, eugene/GZL-1620-2022</t>
  </si>
  <si>
    <t>Young, Emma/0000-0002-7069-6109; Meredith, Michael/0000-0002-7342-7756</t>
  </si>
  <si>
    <t>Office of Science and Technology through EPSRC; AFI (Antarctic Funding Initiative) [BAFI/6/16]; Natural Environment Research Council [NE/C506464/1, bas0100025] Funding Source: researchfish; NERC [bas0100025] Funding Source: UKRI</t>
  </si>
  <si>
    <t>Office of Science and Technology through EPSRC(UK Research &amp; Innovation (UKRI)Engineering &amp; Physical Sciences Research Council (EPSRC)); AFI (Antarctic Funding Initiative); Natural Environment Research Council(UK Research &amp; Innovation (UKRI)Natural Environment Research Council (NERC)); NERC(UK Research &amp; Innovation (UKRI)Natural Environment Research Council (NERC))</t>
  </si>
  <si>
    <t>The Mapping and Geographic Information Centre, BAS, supplied bathymetry, South Georgia altimetry, and catchment area information. We are very grateful to John Huthnance (Proudman Oceanographic Laboratory (POL)) for advice on shelf waves, and to Jason Holt (POL) for useful discussions on the implementation of POLCOMS. We thank the OCCAM team at the National Oceanography Centre, Southampton, for providing OCCAM output, and Andrew Coward (NOCS) and Dave Stevens (University of East Anglia) for useful advice. CTD data were obtained from the U.S. National Oceanographic Data Centre. NOAA_OI_SST_V2 data was provided by the NOAA/OAR/ESRL PSD, Boulder, Colorado, USA, from their web site at http://www.cdc.noaa.gov/. We thank Sally Thorpe (BAS) for the advice on drifters. This work made use of the facilities of HPCx, the UK's national high-performance computing service, which is provided by EPCC at the University of Edinburgh and by CCLRC Daresbury Laboratory, and funded by the Office of Science and Technology through EPSRC's High End Computing Programme. This work forms part of AFI (Antarctic Funding Initiative) project BAFI/6/16.</t>
  </si>
  <si>
    <t>10.1016/j.dsr2.2009.11.003</t>
  </si>
  <si>
    <t>WOS:000292438600004</t>
  </si>
  <si>
    <t>Meredith, MP; Nicholls, KW; Renfrew, IA; Boehme, L; Biuw, M; Fedak, M</t>
  </si>
  <si>
    <t>Meredith, Michael P.; Nicholls, Keith W.; Renfrew, Ian A.; Boehme, Lars; Biuw, Martin; Fedak, Mike</t>
  </si>
  <si>
    <t>Seasonal evolution of the upper-ocean adjacent to the South Orkney Islands, Southern Ocean: Results from a lazy biological mooring</t>
  </si>
  <si>
    <t>South Orkney Islands; Southern Ocean; Weddell-Scotia Confluence; Upper-ocean seasonality; Sea ice production; Air-sea-ice interaction; Elephant seal</t>
  </si>
  <si>
    <t>ANTARCTIC SEA-ICE; HEAT-FLUX; PENINSULA; PHYTOPLANKTON; VARIABILITY; WATERS</t>
  </si>
  <si>
    <t>A serendipitous &gt; 8-month time series of hydrographic properties was obtained from the vicinity of the South Orkney Islands, Southern Ocean, by tagging a southern elephant seal (Mirounga leonine) on Signy Island with a Conductivity-Temperature-Depth/Satellite-Relay Data Logger (CTD-SRDL) in March 2007. Such a time series (including data from the austral autumn and winter) would have been extremely difficult to obtain via other means, and it illustrates with unprecedented temporal resolution the seasonal progression of upper-ocean water mass properties and stratification at this location. Sea ice production values of around 0.15-0.4 m month(-1) for April to July were inferred from the progression of salinity, with significant levels still in September (around 0.2 m month(-1)). However, these values presume that advective processes have negligible effect on the salinity changes observed locally; this presumption is seen to be inappropriate in this case, and it is argued that the ice production rates inferred are better considered as smeared averages for the region of the northwestern Weddell Sea upstream from the South Orkneys. The impact of such advective effects is illustrated by contrasting the observed hydrographic series with the output of a one-dimensional model of the upper-ocean forced with local fluxes. It is found that the difference in magnitude between local (modelled) and regional (inferred) ice production is significant, with estimates differing by around a factor of two. A halo of markedly low sea ice concentration around the South Orkneys during the austral winter offers at least a partial explanation for this, since it enabled stronger atmosphere/ocean fluxes to persist and hence stronger ice production to prevail locally compared with the upstream region. The year of data collection was an El Nino year, and it is well-established that this phenomenon can impact strongly on the surface ocean and ice field in this sector of the Southern Ocean, thus the possibility of our time series being atypical cannot be ruled out. Longer-term collection of in situ ocean data from this locality would be desirable, to address issues relating to interannual variability and long-term change. (C) 2011 Elsevier Ltd. All rights reserved.</t>
  </si>
  <si>
    <t>[Meredith, Michael P.; Nicholls, Keith W.] British Antarctic Survey, Cambridge CB3 0ET, England; [Renfrew, Ian A.] Univ E Anglia, Sch Environm Sci, Norwich NR4 7TJ, Norfolk, England; [Boehme, Lars; Biuw, Martin; Fedak, Mike] Univ St Andrews, Scottish Oceans Inst, Sea Mammal Res Unit, St Andrews KY16 8LB, Fife, Scotland</t>
  </si>
  <si>
    <t>UK Research &amp; Innovation (UKRI); Natural Environment Research Council (NERC); NERC British Antarctic Survey; University of East Anglia; University of St Andrews</t>
  </si>
  <si>
    <t>Meredith, MP (corresponding author), British Antarctic Survey, Madingley Rd, Cambridge CB3 0ET, England.</t>
  </si>
  <si>
    <t>mmm@bas.ac.uk</t>
  </si>
  <si>
    <t>Biuw, Martin/AAF-9895-2021; Renfrew, Ian A/E-4057-2010; Fedak, Michael/B-3987-2009; Boehme, Lars/B-6567-2009</t>
  </si>
  <si>
    <t>Renfrew, Ian/0000-0001-9379-8215; Meredith, Michael/0000-0002-7342-7756; Fedak, Michael/0000-0002-9569-1128; Biuw, Martin/0000-0001-8051-3399; Boehme, Lars/0000-0003-3513-6816</t>
  </si>
  <si>
    <t>Natural Environment Research Council; Directorate For Geosciences; Office of Polar Programs (OPP) [0823101] Funding Source: National Science Foundation; Natural Environment Research Council [smru10001, NE/E018289/1, bas0100028] Funding Source: researchfish; NERC [bas0100028, NE/E018289/1] Funding Source: UKRI</t>
  </si>
  <si>
    <t>Natural Environment Research Council(UK Research &amp; Innovation (UKRI)Natural Environment Research Council (NERC)); Directorate For Geosciences; Office of Polar Programs (OPP)(National Science Foundation (NSF)NSF - Directorate for Geosciences (GEO)); Natural Environment Research Council(UK Research &amp; Innovation (UKRI)Natural Environment Research Council (NERC)); NERC(UK Research &amp; Innovation (UKRI)Natural Environment Research Council (NERC))</t>
  </si>
  <si>
    <t>Andy Clarke (BAS) is thanked for access to the sea ice camera imagery, and much useful advice. Dave Sproson (UEA) is thanked for extracting the ECMWF operational analysis data, which has been downloaded from the British Atmospheric Data Centre. The Orcadas meteorological observations were downloaded from the British Antarctic Survey's meteorological database. Andrew Fleming from the BAS Mapping and Geographical Information Centre is thanked for assistance with the satellite sea ice data. We thank the two anonymous reviewers, whose comments helped us improve our original manuscript. Our elephant seal is thanked for being the least adventurous in the Southern Ocean. This research was funded by the Natural Environment Research Council.</t>
  </si>
  <si>
    <t>10.1016/j.dsr2.2009.07.008</t>
  </si>
  <si>
    <t>WOS:000292438600006</t>
  </si>
  <si>
    <t>The zooplankton of Marguerite Bay, western Antarctic Peninsula-Part II: Vertical distributions and habitat partitioning</t>
  </si>
  <si>
    <t>Antarctic krill; Euphausia superba; Thysanoessa macrura; Euphausia crystallorophias; Copepods; Ostracods; Pteropods; Vertical distribution</t>
  </si>
  <si>
    <t>KRILL-COPEPOD INTERACTIONS; EUPHAUSIA-SUPERBA DANA; LIFE-CYCLE STRATEGIES; EASTERN WEDDELL-SEA; MARGINAL ICE-ZONE; COMMUNITY STRUCTURE; AUSTRAL FALL; POPULATION-STRUCTURE; CTENOCALANUS-CITER; METRIDIA-GERLACHEI</t>
  </si>
  <si>
    <t>The vertical distribution patterns of the dominant zooplankton in the vicinity of Marguerite Bay on the west side of the Antarctic Peninsula were studied during austral fall of 2001 and 2002, using net and concurrent environmental data. Vertical distributions of zooplankton usually were similar to those reported for other Antarctic regions. Maximum abundances of the copepods Ctenocalanus spp. and Calanus propinquus, the euphausiids Euphausia superba, Euphausia crystallorophias, and Thysanoessa macrura, and appendicularians primarily occurred in shallow Antarctic Surface Water (&lt;100 m) or the upper pycnocline. The copepod, Oncaea spp., mysids, and ostracods had the deepest distributions (&gt;250 m), in warmer modified Circumpolar Deep Water. Other dominant copepods (Calanoides acutus, Metridia gerlachei, Oithona spp., Paraeuchaeta spp., and Rhincalanus gigas), pteropods, and chaetognaths had depths of maximum abundance within the pycnocline or in deeper warmer waters. Overlapping depth distributions suggest that E. superba would have the highest prey encounter rates with M. gerlachei, Ctenocalanus spp., C. propinquus, and Oithona spp. during fall, although most of the copepod community was deeper than the euphausiid community. Even though the three euphausiid species occupied similar depth ranges on average, at any given location E. superba, E. crystallorophias, and T. macrura depths of maximum abundance often did not overlap, suggesting vertical habitat partitioning behavior. The vertical patterns of copepods, euphausiids, amphipods, and mysids did not have a consistent association with the distributions of pigments, temperature, salinity, or density. Instead, the observed vertical distributions are mainly attributed to different behaviors, including seasonal vertical migration to deeper water for overwintering (i.e., C. acutus, R. gigas, ostracods, chaetognaths, pteropods) and vertical habitat partitioning to reduce competition (i.e., euphausiids). Migration into deep water and aggregation behavior (i.e., euphausiids) also reduce the risk of predation. (C) 2010 Elsevier Ltd. All rights reserved.</t>
  </si>
  <si>
    <t>[Marrari, Marina] NASA, Goddard Space Flight Ctr, Greenbelt, MD 20771 USA; [Daly, Kendra L.] Univ S Florida, Coll Marine Sci, St Petersburg, FL 33701 USA; [Timonin, Alexander; Semenova, Tatjana] Russian Acad Sci, PP Shirshov Oceanol Inst, Moscow 117218, Russia</t>
  </si>
  <si>
    <t>National Aeronautics &amp; Space Administration (NASA); NASA Goddard Space Flight Center; State University System of Florida; University of South Florida; Russian Academy of Sciences; Shirshov Institute of Oceanology</t>
  </si>
  <si>
    <t>Marrari, M (corresponding author), NASA, Goddard Space Flight Ctr, Greenbelt, MD 20771 USA.</t>
  </si>
  <si>
    <t>10.1016/j.dsr2.2010.12.006</t>
  </si>
  <si>
    <t>WOS:000292438600009</t>
  </si>
  <si>
    <t>Wiebe, PH; Ashjian, CJ; Lawson, GL; Piñones, A; Copley, NJ</t>
  </si>
  <si>
    <t>Wiebe, Peter H.; Ashjian, Carin J.; Lawson, Gareth L.; Pinones, Andrea; Copley, Nancy J.</t>
  </si>
  <si>
    <t>Horizontal and vertical distribution of euphausiid species on the Western Antarctic Peninsula U.S. GLOBEC Southern Ocean study site</t>
  </si>
  <si>
    <t>Antarctic krill; Euphausiid species; Distribution; Western Antarctic Peninsula; Marguerite Bay; Zooplankton</t>
  </si>
  <si>
    <t>BRANSFIELD STRAIT REGION; LARVAL KRILL; MARGUERITE BAY; THYSANOESSA-MACRURA; SEA-ICE; CONTINENTAL-SHELF; AUSTRAL FALL; WEDDELL SEA; SUPERBA; GROWTH</t>
  </si>
  <si>
    <t>The Western Antarctic Peninsula (WAP) is a site of high krill abundance and a likely source region for krill populations found to the north and east of the area. The U.S. GLOBEC Southern Ocean program studied factors that contribute to the overwintering success of krill in the region of Marguerite Bay, WAP. A MOCNESS net system was used to sample the vertical distribution and abundance of zooplankton relative to physical features (hydrography and circulation) during four broad-scale survey cruises in the fall and winter of 2001 and 2002. Four species were found throughout the study area on all four cruises: Euphausia superba, Euphausia crystallorophias. Euphausia triacantha, and Thysanoessa macrura. The species had significantly different horizontal and vertical distributions. Both E. superba and T. macrura were broadly distributed throughout the area, but the central 50% of their vertical distributions were distinct with E. superba most abundant in the upper 100 m in the coldest, freshest water (average temperature and salinity: -1.13 degrees C; 33.80) and T. macrura occurring between 100 and 250 m (at 0.01 degrees C; 34.228). E. crystailorophias had a more coastal distribution and was usually found deeper in slightly warmer and saltier water (-0.44 degrees C; 33.9982) than E. superba and either overlapped or was above T. macrura in depth. E. triacantha was much rarer and sporadically distributed in the study area and was found substantially deeper (center of distribution about 300 m) in the warmest saltiest water (1.40 degrees C; 34.65) than the other three euphausiid species. Larval distributions for E. superba indicated that at least some proportion of the populations resulted from reproduction and development on the continental shelf, and not solely from offshore reproduction and transport onto the shelf. A neutral particle tracking model was used to gain insight into the relative importance of shelf versus off-shelf origins for the larvae. The results suggest that a combination of offshore and onshore reproduction can account for the observed E. superba larval distributions in the U.S. SO GLOBEC study site. (C) 2010 Elsevier Ltd. All rights reserved.</t>
  </si>
  <si>
    <t>[Wiebe, Peter H.; Ashjian, Carin J.; Lawson, Gareth L.; Copley, Nancy J.] Woods Hole Oceanog Inst, Dept Biol, Woods Hole, MA 02543 USA; [Pinones, Andrea] Old Dominion Univ, CCPO, Norfolk, VA 23508 USA</t>
  </si>
  <si>
    <t>Woods Hole Oceanographic Institution; Old Dominion University</t>
  </si>
  <si>
    <t>Wiebe, PH (corresponding author), Woods Hole Oceanog Inst, Dept Biol, Woods Hole, MA 02543 USA.</t>
  </si>
  <si>
    <t>pwiebe@whoi.edu</t>
  </si>
  <si>
    <t>Copley, Nancy/0000-0003-1473-8789; Wiebe, Peter/0000-0002-6059-4651; Pinones, Andrea/0000-0002-1737-9016</t>
  </si>
  <si>
    <t>National Science Foundation (NSF) [OPP-9910307, OPP-0523332]</t>
  </si>
  <si>
    <t>National Science Foundation (NSF)(National Science Foundation (NSF))</t>
  </si>
  <si>
    <t>Thanks to the officers and crew of the RVIB Nathaniel B. Palmer and to the Raytheon Polar Services Technicians for their assistance during the four cruises. We also thank M. Vernet for providing the chlorophyll data. We gratefully acknowledge the assistance at sea from J. Warren, A. Girard, M. Taylor, K. Fisher, M. Dennett, and M. Butler and others. P. Hull enumerated some of the krill species abundances. Enumeration of the bulk of the plankton samples was conducted under contract by the Atlantic Reference Center, Huntsman Marine Science Center, and St. Andrews, New Brunswick, under the direction of Dr. Gerhard Pohle. This research was supported by National Science Foundation Grant OPP-9910307 to P. Wiebe, C. Ashjian, C. Davis, and S. Gallager and a NSF OPP-0523332 subcontract to C. Ashjian and P. Wiebe. This is GLOBEC contribution number ###.</t>
  </si>
  <si>
    <t>10.1016/j.dsr2.2010.11.015</t>
  </si>
  <si>
    <t>WOS:000292438600010</t>
  </si>
  <si>
    <t>Gourmelen, N; Kim, SW; Shepherd, A; Park, JW; Sundal, AV; Björnsson, H; Pálsson, F</t>
  </si>
  <si>
    <t>Gourmelen, N.; Kim, S. W.; Shepherd, A.; Park, J. W.; Sundal, A. V.; Bjornsson, H.; Palsson, F.</t>
  </si>
  <si>
    <t>Ice velocity determined using conventional and multiple-aperture InSAR</t>
  </si>
  <si>
    <t>ice velocity; InSAR; Multiple Aperture InSAR; Iceland; surge</t>
  </si>
  <si>
    <t>GLACIER; ICELAND</t>
  </si>
  <si>
    <t>We combine conventional Interferometric Synthetic Aperture Radar (InSAR) and Multiple Aperture InSAR (MAI) to determine the ice surface velocity on the Langjokull and Hofsjokull ice caps in Iceland in 1994. This approach allows the velocity of the 20 principal ice cap outlet glaciers to be fully resolved. We show that MAI leads to displacement estimates of finer resolution (15 versus 150 m) and superior precision (5 versus 15 cm) to those afforded by the alternative technique of speckle tracking. Using SAR data acquired in ascending and descending orbits, we show that ice flows within 15 degrees of the direction of maximum surface slope across 66% of the ice caps. It is therefore possible to determine ice displacement over the majority of the ice caps using a single SAR image pair, thereby reducing errors associated with temporal fluctuations in ice flow. (c) 2011 Elsevier B.V. All rights reserved.</t>
  </si>
  <si>
    <t>[Gourmelen, N.; Shepherd, A.; Park, J. W.; Sundal, A. V.] Univ Leeds, Sch Earth &amp; Environm, Leeds, W Yorkshire, England; [Kim, S. W.] Sejong Univ, Dept Geoinformat Engn, Seoul, South Korea; [Park, J. W.] Yonsei Univ, Seoul 120749, South Korea; [Bjornsson, H.; Palsson, F.] Univ Iceland, Inst Earth Sci, Reykjavik, Iceland</t>
  </si>
  <si>
    <t>University of Leeds; Sejong University; Yonsei University; University of Iceland</t>
  </si>
  <si>
    <t>Gourmelen, N (corresponding author), Univ Leeds, Sch Earth &amp; Environm, Leeds, W Yorkshire, England.</t>
  </si>
  <si>
    <t>N.Gourmelen@leeds.ac.uk</t>
  </si>
  <si>
    <t>Facility, NERC Geophysical Equipment/G-5260-2010; Pálsson, Finnur/B-7047-2016</t>
  </si>
  <si>
    <t>Shepherd, Andrew/0000-0002-4914-1299; Park, Jeong-Won/0000-0001-6122-0910</t>
  </si>
  <si>
    <t>European Space Agency; National Research Foundation of Korea (NRF); Ministry of Education, Science and Technology [2010-0028025]; UK Natural Environment Research Council Antarctic Funding Initiative [NE/E014089/1]; Philip Leverhulme Prize; Natural Environment Research Council [cpom20001, earth010006, NE/E014089/2, NE/E014089/1] Funding Source: researchfish; NERC [NE/E014089/2, NE/E014089/1, cpom20001] Funding Source: UKRI</t>
  </si>
  <si>
    <t>European Space Agency(European Space Agency); National Research Foundation of Korea (NRF)(National Research Foundation of Korea); Ministry of Education, Science and Technology(Ministry of Education, Science &amp; Technology (MEST), Republic of Korea); UK Natural Environment Research Council Antarctic Funding Initiative; Philip Leverhulme Prize(Leverhulme Trust); Natural Environment Research Council(UK Research &amp; Innovation (UKRI)Natural Environment Research Council (NERC)); NERC(UK Research &amp; Innovation (UKRI)Natural Environment Research Council (NERC))</t>
  </si>
  <si>
    <t>This work was supported by award from the European Space Agency Changing Earth Science Network program (N.G.), by award from the Basic Science Research Program of the National Research Foundation of Korea (NRF) and the Ministry of Education, Science and Technology (No. 2010-0028025) (S.W.K.) and by award from the UK Natural Environment Research Council Antarctic Funding Initiative (NE/E014089/1) and a Philip Leverhulme Prize (A.S.). The dataset was provided by the European Space Agency through the VECTRA consortium. Part of the SAR data processing has been performed using the freely available JPL code ROI_PAC. We thank Hyung-Sup Jung and Steven J. Palmer for their help and support, and two anonymous reviewers for comments that helped improve the manuscript.</t>
  </si>
  <si>
    <t>10.1016/j.epsl.2011.04.026</t>
  </si>
  <si>
    <t>WOS:000292797200016</t>
  </si>
  <si>
    <t>Hein, AS; Fogwill, CJ; Sugden, DE; Xu, S</t>
  </si>
  <si>
    <t>Hein, Andrew S.; Fogwill, Christopher J.; Sugden, David E.; Xu, Sheng</t>
  </si>
  <si>
    <t>Glacial/interglacial ice-stream stability in the Weddell Sea embayment, Antarctica</t>
  </si>
  <si>
    <t>Antarctic Ice Sheet; dynamic; stable; cosmogenic nuclide surface exposure age dating; Last Glacial Maximum; Miocene</t>
  </si>
  <si>
    <t>LAST GLACIAL MAXIMUM; MARIE-BYRD-LAND; EXPOSURE AGES; COSMOGENIC NUCLIDES; PRODUCTION-RATES; ROSS EMBAYMENT; HALF-LIFE; SHEET; BE-10; EROSION</t>
  </si>
  <si>
    <t>The resilience of the Antarctic Ice Sheet and its effect on global sea level depends on the dynamics of ice streams. Antarctic ice streams are known to be responsive to changes at the ocean interface and, as expected, most have thinned in response to ocean warming and sea-level rise since the List Glacial Maximum (LGM). Here we provide direct and unexpected evidence that points toward the glacial/interglacial stability of the Slessor and Recovery glaciers, ice streams of the East Antarctic Ice Sheet (EAIS) which merge with the West Antarctic Ice Sheet (WAIS) to form the Filchner Ice Shelf in the Weddell Sea embayment. Cosmogenic-nuclide measurements in the Shackleton Range suggest that the Slessor and Recovery ice streams were not significantly thicker than today during the LGM. We hypothesise that the glaciers did not thicken because the grounding line was not able to migrate seaward beyond the deep Thiel/Crary Trough beneath the Filchner Ice Shelf immediately offshore. This discovery reveals how a topographic threshold can affect the dynamics of ice streams. It also reduces uncertainties on the thickness, extent and volume of the Antarctic Ice Sheet in a large but unknown sector of the Antarctic Ice Sheet; it constrains the potential sea-level rise from Antarctica: it helps explain observed anomalies in glacio-isostatic adjustment: above all it suggests that the behaviour of the Atlantic-facing Weddell Sea sector of the WAIS contrasts with that of the Pacific-facing Ross and Amundsen Sea sectors. (c) 2011 Elsevier B.V. All rights reserved.</t>
  </si>
  <si>
    <t>[Hein, Andrew S.; Sugden, David E.] Univ Edinburgh, Sch GeoSci, Edinburgh EH8 9XP, Midlothian, Scotland; [Fogwill, Christopher J.] Univ New S Wales, Sch Biol Earth &amp; Environm Sci, Sydney, NSW 2052, Australia; [Fogwill, Christopher J.] Univ New S Wales, Climate Change Res Ctr, Sydney, NSW 2052, Australia; [Xu, Sheng] Scottish Univ Environm Res Ctr, E Kilbride G75 0QF, Lanark, Scotland</t>
  </si>
  <si>
    <t>University of Edinburgh; University of New South Wales Sydney; University of New South Wales Sydney; Scottish Universities Research &amp; Reactor Center</t>
  </si>
  <si>
    <t>Hein, AS (corresponding author), Univ Edinburgh, Sch GeoSci, Drummond St, Edinburgh EH8 9XP, Midlothian, Scotland.</t>
  </si>
  <si>
    <t>andy.hein@ed.ac.uk</t>
  </si>
  <si>
    <t>Fogwill, Chris/AAW-3502-2021; Hein, Andrew/JWO-3756-2024</t>
  </si>
  <si>
    <t>Fogwill, Chris/0000-0002-6471-1106; Hein, Andrew/0000-0003-3397-3813</t>
  </si>
  <si>
    <t>Natural Environment Research Council [NE/E018254/1] Funding Source: researchfish; NERC [NE/E018254/1] Funding Source: UKRI</t>
  </si>
  <si>
    <t>10.1016/j.epsl.2011.04.037</t>
  </si>
  <si>
    <t>WOS:000292797200022</t>
  </si>
  <si>
    <t>Hart, JK; Rose, KC; Martinez, K</t>
  </si>
  <si>
    <t>Hart, Jane K.; Rose, Kathryn C.; Martinez, Kirk</t>
  </si>
  <si>
    <t>Temporal englacial water content variability associated with a rapidly retreating glacier</t>
  </si>
  <si>
    <t>EARTH SURFACE PROCESSES AND LANDFORMS</t>
  </si>
  <si>
    <t>englacial hydrology; GPR; glacier water storage; Briksdalsbreen; western Norway</t>
  </si>
  <si>
    <t>SUBGLACIAL DRAINAGE SYSTEM; SPATIAL VARIABILITY; TEMPERATE GLACIERS; SEASONAL-CHANGES; WESTERN NORWAY; RADAR VELOCITY; ICE SHEETS; GREENLAND; FLOW; BRIKSDALSBREEN</t>
  </si>
  <si>
    <t>This study uses a combination of evidence from ground penetrating radar, borehole, video, and wireless probe data to assess temporal changes in englacial water content associated with Briksdalsbreen, a rapidly retreating Norwegian glacier. Over a 13 day period in 2006, ice radar-wave velocity varied between 0.135 m/ns (+/- 0.009) and 0.159 m/ns (+/- 0.003), and water content from 7.8% (+2.6, -2.8) to 2.5% (+0.9, -1.1) [derived from the Looyenga (Physica 31(3): 401-406, 1965) formula]. It is suggested that during warm precipitation free days, void spaces within the glacier become filled with water, resulting in low radar-wave velocity. This stored water then drained during cold, high precipitation days, allowing the radar-wave velocity to rise. These changes in englacial storage were caused by the enhanced crevassing generated by the newly floating ice margin, and were associated with accelerated glacier retreat. Copyright (C) 2011 John Wiley &amp; Sons, Ltd.</t>
  </si>
  <si>
    <t>[Hart, Jane K.; Rose, Kathryn C.] Univ Southampton, Sch Geog, Southampton, Hants, England</t>
  </si>
  <si>
    <t>University of Southampton</t>
  </si>
  <si>
    <t>Rose, KC (corresponding author), British Antarctic Survey, Madingley Rd, Cambridge CB3 0ET, England.</t>
  </si>
  <si>
    <t>kase@soton.ac.uk</t>
  </si>
  <si>
    <t>Hart, Jane/J-4321-2012</t>
  </si>
  <si>
    <t>Hart, Jane/0000-0002-2348-3944; Martinez, Kirk/0000-0003-3859-5700</t>
  </si>
  <si>
    <t>Royal Society; Paul Instrument Fund; ESPRC; NERC Geophysical Equipment Pool</t>
  </si>
  <si>
    <t>Royal Society(Royal Society); Paul Instrument Fund; ESPRC(UK Research &amp; Innovation (UKRI)Engineering &amp; Physical Sciences Research Council (EPSRC)); NERC Geophysical Equipment Pool</t>
  </si>
  <si>
    <t>The authors would like to thank the Glacsweb 2006 team for help with data collection (Al Riddoch, Ahmed Elsaify, Gang Zou, Paritosh Padhy, Celine Ragault, David Vaughan-Hirsch, Matthew Westoby) and Inge and Gro Melkevoll for help with logistics. Thanks also go to Bob Smith in the Cartographic Unit for figure preparation. This research was funded by the Royal Society, the Paul Instrument Fund and ESPRC, and supported by a GPR loan from the NERC Geophysical Equipment Pool.</t>
  </si>
  <si>
    <t>0197-9337</t>
  </si>
  <si>
    <t>1096-9837</t>
  </si>
  <si>
    <t>EARTH SURF PROC LAND</t>
  </si>
  <si>
    <t>Earth Surf. Process. Landf.</t>
  </si>
  <si>
    <t>10.1002/esp.2148</t>
  </si>
  <si>
    <t>785TE</t>
  </si>
  <si>
    <t>WOS:000292252000009</t>
  </si>
  <si>
    <t>Terauds, A; Chown, SL; Bergstrom, DM</t>
  </si>
  <si>
    <t>Terauds, Aleks; Chown, Steven L.; Bergstrom, Dana M.</t>
  </si>
  <si>
    <t>Spatial scale and species identity influence the indigenous-alien diversity relationship in springtails</t>
  </si>
  <si>
    <t>ECOLOGY</t>
  </si>
  <si>
    <t>biological invasions; Collembola; density; environmental favorability; invasion paradox; Macquarie Island; Australia; species identity; species richness; subantarctic</t>
  </si>
  <si>
    <t>GEOGRAPHICAL ECOLOGY; ENERGY AVAILABILITY; RECONCILING PATTERN; BIOTIC RESISTANCE; CLIMATE-CHANGE; INVASION; RICHNESS; BIODIVERSITY; INVASIBILITY; COEXISTENCE</t>
  </si>
  <si>
    <t>Although theory underlying the invasion paradox, or the change in the relationship between the richness of alien and indigenous species from negative to positive with increasing spatial scale, is well developed and much empirical work on the subject has been undertaken, most of the latter has concerned plants and to a lesser extent marine invertebrates. Here we therefore examine the extent to which the relationships between indigenous and alien species richness change from the local metacommunity to the interaction neighborhood scales, and the influences of abundance, species identity, and environmental favorability thereon, in springtails, a significant component of the soil fauna. Using a suite of modeling techniques, including generalized least squares and geographically weighted regressions to account for spatial autocorrelation or nonstationarity of the data, we show that the abundance and species richness of both indigenous and alien species at the metacommunity scale respond strongly to declining environmental favorability, represented here by altitude. Consequently, alien and indigenous diversity covary positively at this scale. By contrast, relationships are more complex at the interaction neighborhood scale, with the relationship among alien species richness and/or density and the density of indigenous species varying between habitats, being negative in some, but positive in others. Additional analyses demonstrated a strong influence of species identity, with negative relationships identified at the interaction neighborhood scale involving alien hypogastrurid springtails, a group known from elsewhere to have negative effects on indigenous species in areas where they have been introduced. By contrast, diversity relationships were positive with the other alien species. These results are consistent with both theory and previous empirical findings for other taxa, that interactions among indigenous and alien species change substantially with spatial scale and that environmental favorability may play a key role in explaining the larger scale patterns. However, they also suggest that the interactions may be affected by the identity of the species concerned, especially at the interaction neighborhood scale.</t>
  </si>
  <si>
    <t>[Terauds, Aleks; Chown, Steven L.] Univ Stellenbosch, Dept Bot &amp; Zool, Ctr Invas Biol, ZA-7602 Matieland, South Africa; [Bergstrom, Dana M.] Australian Antarctic Div, Dept Sustainabil Environm Water Populat &amp; Communi, Kingston, Tas 7050, Australia</t>
  </si>
  <si>
    <t>Stellenbosch University; Australian Antarctic Division</t>
  </si>
  <si>
    <t>Terauds, A (corresponding author), Univ Stellenbosch, Dept Bot &amp; Zool, Ctr Invas Biol, Private Bag X1, ZA-7602 Matieland, South Africa.</t>
  </si>
  <si>
    <t>aleks.terauds@gmail.com</t>
  </si>
  <si>
    <t>Chown, Steven/ABD-7646-2021; Bergstrom, Dana/AAC-2837-2022; Terauds, Aleks/A-4991-2010; Chown, Steven/H-3347-2011</t>
  </si>
  <si>
    <t>Bergstrom, Dana/0000-0001-8484-8954; Chown, Steven/0000-0001-6069-5105; Terauds, Aleks/0000-0001-7804-6648</t>
  </si>
  <si>
    <t>Australian Antarctic Division; Centre for Invasion Biology</t>
  </si>
  <si>
    <t>We thank Christine Hanel for technical assistance at Macquarie Island, Justine Shaw for discussion, Melodie McGeoch and two anonymous reviewers for comments on a previous version of the manuscript, and the Tasmanian Parks and Wildlife Service for permission to conduct research on Macquarie Island. This work was jointly funded by the Australian Antarctic Division and the Centre for Invasion Biology.</t>
  </si>
  <si>
    <t>0012-9658</t>
  </si>
  <si>
    <t>1939-9170</t>
  </si>
  <si>
    <t>Ecology</t>
  </si>
  <si>
    <t>10.1890/10-2216.1</t>
  </si>
  <si>
    <t>Environmental Sciences &amp; Ecology</t>
  </si>
  <si>
    <t>793IR</t>
  </si>
  <si>
    <t>WOS:000292814300008</t>
  </si>
  <si>
    <t>Leaper, R; Hill, NA; Edgar, GJ; Ellis, N; Lawrence, E; Pitcher, CR; Barrett, NS; Thomson, R</t>
  </si>
  <si>
    <t>Leaper, R.; Hill, N. A.; Edgar, G. J.; Ellis, N.; Lawrence, E.; Pitcher, C. R.; Barrett, N. S.; Thomson, R.</t>
  </si>
  <si>
    <t>Predictions of beta diversity for reef macroalgae across southeastern Australia</t>
  </si>
  <si>
    <t>ECOSPHERE</t>
  </si>
  <si>
    <t>beta diversity; conservation planning; generalized dissimilarity modeling; gradient forest modeling; macroalgae; subtidal rocky reefs</t>
  </si>
  <si>
    <t>MARINE PROTECTED AREAS; COMMUNITY COMPOSITION; SOUTHERN SHELVES; SPATIAL PATTERN; RANDOM FORESTS; WAVE EXPOSURE; BIODIVERSITY; CONSERVATION; TEMPERATE; KELP</t>
  </si>
  <si>
    <t>We analyzed and predicted spatial patterns of turnover in macroalgal community composition (beta diversity) that accounted for broad-scale environmental gradients using two contrasting community modelling methods, Generalised Dissimilarity Modelling (GDM) and Gradient Forest Modelling (GFM). Percentage cover data from underwater macroalgal surveys of subtidal rocky reefs along the southeastern coastline of continental Australia and northern coastline of Tasmania were combined with 0.01 degrees-resolution gridded environmental variables, to develop statistical models of beta diversity. GDM, a statistical approach based on a matrix regression, and GFM, a machine learning approach based on ensemble tree based methods, were used to fit models and generate predictions of beta diversity within unsurveyed areas across the region of interest. Patterns of macroalgal beta diversity predicted by both methods were remarkably congruent and showed a similar and striking change in community composition from eastern South Australia to western Victoria and northern Tasmania. Macroalgal communities differed markedly in predicted composition between the open coast and inshore locations. A distinct algal community was predicted for the enclosed Port Philip Bay in Victoria. Sea surface temperature standard deviation and average contributed most to changes in beta diversity for both the GDM and GFM models; changes in wave exposure and oxygen also influenced beta diversity in the GDM model, while salinity and exposure contributed substantially to the GFM model. The GDM and GFM analyses allowed us to model and predict spatial patterns of beta diversity in macroalgal communities comprising &gt; 180 species over 6600 km of coastline. These outputs advance regional-scale conservation management by allowing planners to interpolate from point source ecological data to assess the distribution of biodiversity across their full domain of interest. The congruence between methods suggests that strong environmental gradients related to temperature and exposure are the common drivers of community change in this region.</t>
  </si>
  <si>
    <t>[Leaper, R.; Hill, N. A.; Edgar, G. J.; Barrett, N. S.; Thomson, R.] Univ Tasmania, Inst Marine &amp; Antarctic Studies, Hobart, Tas 7001, Australia; [Ellis, N.; Lawrence, E.; Pitcher, C. R.] CSIRO Math Informat &amp; Stat, Brisbane, Qld 4001, Australia; [Ellis, N.; Lawrence, E.; Pitcher, C. R.] CSIROs Wealth Oceans Flagship, Brisbane, Qld 4001, Australia</t>
  </si>
  <si>
    <t>University of Tasmania; Commonwealth Scientific &amp; Industrial Research Organisation (CSIRO); Commonwealth Scientific &amp; Industrial Research Organisation (CSIRO)</t>
  </si>
  <si>
    <t>Leaper, R (corresponding author), Univ Tasmania, Inst Marine &amp; Antarctic Studies, Private Bag 49, Hobart, Tas 7001, Australia.</t>
  </si>
  <si>
    <t>rebecca.leaper@utas.edu.au</t>
  </si>
  <si>
    <t>Hill, Nicole/AAI-7323-2021; Pitcher, C. Roland/A-2368-2012; Edgar, Graham/C-8341-2013; Lawrence, Emma/A-5584-2009; Edgar, Graham/AAY-3797-2020; Barrett, Neville/J-7593-2014; Ellis, Nick/B-4310-2009; Thomson, Russell/H-5653-2012</t>
  </si>
  <si>
    <t>Hill, Nicole/0000-0001-9329-6717; Edgar, Graham/0000-0003-0833-9001; Edgar, Graham/0000-0003-0833-9001; Barrett, Neville/0000-0002-6167-1356; Ellis, Nick/0000-0001-8761-5128; Thomson, Russell/0000-0003-4949-4120</t>
  </si>
  <si>
    <t>Commonwealth Environment Research Facilities (CERF) program, an Australian Government initiative</t>
  </si>
  <si>
    <t>Commonwealth Environment Research Facilities (CERF) program, an Australian Government initiative(Australian Government)</t>
  </si>
  <si>
    <t>This work has been funded through the Commonwealth Environment Research Facilities (CERF) program, an Australian Government initiative supporting world class, public-good research. The CERF Marine Biodiversity Hub is a collaborative partnership between the University of Tasmania, CSIRO Wealth from Oceans Flagship, Geoscience Australia, Australian Institute of Marine Science and Museum Victoria. We thank Piers Dunstan and Bill Venables for statistical advice, Glenn Manion for providing the GDM implementation and Scott Foster for valuable comments on earlier drafts of this manuscript. We also thank Bryan McDonald and Laurie Ferns for facilitating the South Australian and Victorian surveys respectively, and Carolina Zagal for database development.</t>
  </si>
  <si>
    <t>2150-8925</t>
  </si>
  <si>
    <t>Ecosphere</t>
  </si>
  <si>
    <t>10.1890/ES11-00089.1</t>
  </si>
  <si>
    <t>V30IX</t>
  </si>
  <si>
    <t>WOS:000208810800001</t>
  </si>
  <si>
    <t>van den Hoff, J</t>
  </si>
  <si>
    <t>van den Hoff, John</t>
  </si>
  <si>
    <t>Recoveries of juvenile Giant Petrels in regions of ocean productivity: potential implications for population change</t>
  </si>
  <si>
    <t>eastern boundary current; Giant Petrel; Macronectes sp.; population change; upwelling</t>
  </si>
  <si>
    <t>MACRONECTES-HALLI; EL-NINO; REPRODUCTIVE-PERFORMANCE; CURRENT SYSTEM; CLIMATE-CHANGE; FISHERIES; NORTHERN; TRENDS; DIET; VARIABILITY</t>
  </si>
  <si>
    <t>Explaining long-term population change for migratory seabirds such as Giant Petrels (Macronectes spp.) has proven elusive because only aspects of adult life-histories have been studied. There is a paucity of demographic data for juveniles however; there is a considerable amount of leg-band recovery location data for younger age-classes. Nestlings were leg-banded at two sub-Antarctic islands, and at two higher latitude Antarctic breeding colonies. Bands were most often recovered in winter within six months of liberation. Banded fledglings were recovered in known productive upwelling biomes. The birds had travelled between 350 and 6150 km downwind from their natal colonies to reach these biomes. The distances fledglings travelled to reach the biomes were correlated with the observed population trends at their natal colonies; negative/positive population trends were correlated with great/lesser distances travelled. This study highlights the potential importance juvenile life-history attributes when considering population change for long-lived seabird species, and identifies rich upwelling regions such as the Humboldt and Benguelen Currents that might be important foraging areas for this and other Procellariiform species with high conservation values.</t>
  </si>
  <si>
    <t>Australian Antarctic Div, Kingston, Tas 7050, Australia</t>
  </si>
  <si>
    <t>van den Hoff, J (corresponding author), Australian Antarctic Div, 203 Channel Highway, Kingston, Tas 7050, Australia.</t>
  </si>
  <si>
    <t>john_van@aad.gov.au</t>
  </si>
  <si>
    <t>10.1890/ES11-00083.1</t>
  </si>
  <si>
    <t>WOS:000208810800003</t>
  </si>
  <si>
    <t>Kojadinovic, J; Jackson, CH; Cherel, Y; Jackson, GD; Bustarnante, P</t>
  </si>
  <si>
    <t>Kojadinovic, Jessica; Jackson, Christine H.; Cherel, Yves; Jackson, George D.; Bustarnante, Paco</t>
  </si>
  <si>
    <t>Multi-elemental concentrations in the tissues of the oceanic squid Todarodes filippovae from Tasmania and the southern Indian Ocean</t>
  </si>
  <si>
    <t>ECOTOXICOLOGY AND ENVIRONMENTAL SAFETY</t>
  </si>
  <si>
    <t>Cephalopod; Southern Indian Ocean; Tasmania; Metals; Bioaccumulation; Consumption guidelines</t>
  </si>
  <si>
    <t>CUTTLEFISH SEPIA-OFFICINALIS; PLASMA-MASS SPECTROMETRY; HEAVY-METALS; SUBCELLULAR-DISTRIBUTION; TRACE-ELEMENTS; NONESSENTIAL ELEMENTS; CEPHALOPOD FISHERIES; ELEDONE-CIRRHOSA; DIGESTIVE GLAND; LIFE-CYCLE</t>
  </si>
  <si>
    <t>This study investigates 14 elements (Ag, As, Cd, Co, Cr, Cu, Fe, Hg, Mn, Ni, Pb, Se, V and Zn) in the tissues of the oceanic ommastrephid squid Todarodes filippovae from waters surrounding Ile Amsterdam (southern Indian Ocean) and Tasmania (Australia). As for other cephalopod species, the digestive gland and branchial hearts showed the highest concentrations of many elements (Ag, Cd, Se, V and Zn, and Cr and Ni, respectively) highlighting their role in bioaccumulation and detoxification processes. With the exception of As and Hg, the muscles showed relatively low trace element concentrations. Squid size was positively correlated to Ag, As, Cd, Hg and Zn concentrations in Tasmanian squid and negatively correlated to all but Hg and Zn concentrations in lie Amsterdam squid. Furthermore, no differences in elemental concentrations were noted between sexes. There were, however, some differences between mated and non-mated females from Tasmania. Comparing elemental concentrations in squid from both islands, higher concentrations of Cd, Co, Cr, Ni, Pb and V in squid sampled in Ile Amsterdam reflect different exposure conditions. When considering T. filippovae as a dietary resource for humans it should be noted that, given their Hg content, squids from lie Amsterdam are not recommended for consumption on a regular basis. Moreover, regardless of the squid's origin, digestive glands should be avoided as Cd and Hg concentrations were above the European Union authorized limits in these organs. (C) 2011 Elsevier Inc. All rights reserved.</t>
  </si>
  <si>
    <t>[Kojadinovic, Jessica; Bustarnante, Paco] Univ La Rochelle, CNRS, UMR 6250, Littoral Environm &amp; Soc LIENSs, F-17042 La Rochelle, France; [Jackson, Christine H.; Jackson, George D.] Univ Tasmania, Inst Antarctic &amp; So Ocean Studies, Hobart, Tas 7001, Australia; [Cherel, Yves] CNRS, UPR 1934, Ctr Etudes Biol Chize, F-79360 Villiers En Bois, France</t>
  </si>
  <si>
    <t>La Rochelle Universite; Centre National de la Recherche Scientifique (CNRS); University of Tasmania; Centre National de la Recherche Scientifique (CNRS)</t>
  </si>
  <si>
    <t>Kojadinovic, J (corresponding author), Clos St Jean, Chemin Castagnet, F-64160 Barinque, France.</t>
  </si>
  <si>
    <t>jessica.kojadinovic@gmail.com</t>
  </si>
  <si>
    <t>Jackson, George D/AAI-7315-2021; Bustamante, Paco/G-5833-2011</t>
  </si>
  <si>
    <t>Bustamante, Paco/0000-0003-3877-9390</t>
  </si>
  <si>
    <t>LIENSs (University of La Rochelle); Hermon Slade grant</t>
  </si>
  <si>
    <t>We are grateful to G. Duhamel, P. Pruvost, the crew of the research vessel La Curieuse and the crew of the Adriatic Pearl from Tasmania who participated in the sampling effort. We also thank A. Martino for her implication in the analytical process. The field work at Amsterdam was supported financially and logistically by the Institut Polaire Francais Paul Emile Victor (IPEV, Programme No. 109, H. Weimerskirch). The analytical investigations were supported financially by the LIENSs (University of La Rochelle) and by a Hermon Slade grant awarded to G.D. Jackson. We also thank the referees for their helpful comments on the manuscript.</t>
  </si>
  <si>
    <t>0147-6513</t>
  </si>
  <si>
    <t>1090-2414</t>
  </si>
  <si>
    <t>ECOTOX ENVIRON SAFE</t>
  </si>
  <si>
    <t>Ecotox. Environ. Safe.</t>
  </si>
  <si>
    <t>10.1016/j.ecoenv.2011.03.015</t>
  </si>
  <si>
    <t>Environmental Sciences; Toxicology</t>
  </si>
  <si>
    <t>Environmental Sciences &amp; Ecology; Toxicology</t>
  </si>
  <si>
    <t>781TY</t>
  </si>
  <si>
    <t>WOS:000291960600018</t>
  </si>
  <si>
    <t>Yuan, LX; Sun, LG; Wei, GJ; Long, NY; Xie, ZQ; Wang, YH</t>
  </si>
  <si>
    <t>Yuan, Linxi; Sun, Liguang; Wei, Gangjian; Long, Nanye; Xie, Zhouqing; Wang, Yuhong</t>
  </si>
  <si>
    <t>9,400 yr B.P.: the mortality of mollusk shell (Mya truncata) at high Arctic is associated with a sudden cooling event</t>
  </si>
  <si>
    <t>ENVIRONMENTAL EARTH SCIENCES</t>
  </si>
  <si>
    <t>9,400 yr BP; Cooling event; Shell fragments; delta O-18; Ny-Alesund</t>
  </si>
  <si>
    <t>HOLOCENE CLIMATE; NORTH-ATLANTIC; PHACOSOMA-JAPONICUM; ICE-CORE; SVALBARD; KONGSFJORDEN; SPITSBERGEN; RECORDS; GREENLAND; ISOTOPE</t>
  </si>
  <si>
    <t>An 118-cm-long, well-preserved sediment profile was collected from a paleo-notch formed by ocean wave action before rising to the terrace on Ny-lesund, Svalbard, Norway. A large number of mollusk shell fragments, predominantly Mya truncata, were found in the sediment profile. AMS C-14 dating and stable oxygen and carbon isotope analyses were performed on the shell fragments samples. The reservoir-corrected radiocarbon ages averaged similar to 9,400 yr B.P., which accurately dates the raised terrace and the upper marine limit after Kongsfjorden was completely deglaciated. The calibrated aragonite isotopic temperature equation was established for Ny-lesund by comparing the delta O-18 profiles of modern mollusks as follows: T (A degrees C) = 16.26 - 3.68(delta O-18(aragonite-PDB) - delta O-18(water-VSMOW)). The reconstructed paleotemperature range was -0.52 to +4.78A degrees C, warmer than today by about 1A degrees C, which was further confirmed by reconstructed sea surface temperature (SST) in west Svalbard. Moreover, the mortality of mollusks was very likely caused by an abrupt cooling event at about 9,400 yr B.P., which was triggered by reduced insolation, weakened thermohaline circulation, and abruptly decreased SST. More evidences for this distinct but short cooling event centered at about 9,400 yr B.P. were found in Northern Siberia, North Atlantic, Alps, and Eastern Europe.</t>
  </si>
  <si>
    <t>[Yuan, Linxi; Sun, Liguang; Xie, Zhouqing] Univ Sci &amp; Technol China, Inst Polar Environm, Hefei 230026, Anhui, Peoples R China; [Wei, Gangjian] Chinese Acad Sci, Key Lab Marginal Sea Geol, Guangzhou 510640, Guangdong, Peoples R China; [Long, Nanye] Univ Wisconsin, Dept Anim Sci, Madison, WI 53706 USA; [Wang, Yuhong] NIH, Chem Genom Ctr, Bethesda, MD 20892 USA</t>
  </si>
  <si>
    <t>Chinese Academy of Sciences; University of Science &amp; Technology of China, CAS; Chinese Academy of Sciences; University of Wisconsin System; University of Wisconsin Madison; National Institutes of Health (NIH) - USA; NIH National Center for Advancing Translational Sciences (NCATS)</t>
  </si>
  <si>
    <t>Sun, LG (corresponding author), Univ Sci &amp; Technol China, Inst Polar Environm, Hefei 230026, Anhui, Peoples R China.</t>
  </si>
  <si>
    <t>slg@ustc.edu.cn</t>
  </si>
  <si>
    <t>xie, zhouqing/P-9661-2019; Yuan, Linxi/Y-9313-2019; wei, gangjian/F-6513-2013</t>
  </si>
  <si>
    <t>Yuan, Linxi/0000-0002-1043-8933;</t>
  </si>
  <si>
    <t>Chinese Arctic and Antarctic Administration (CAAA); 973 Program [2010CB428902]</t>
  </si>
  <si>
    <t>Chinese Arctic and Antarctic Administration (CAAA); 973 Program(National Basic Research Program of China)</t>
  </si>
  <si>
    <t>We appreciate Prof. Steven D. Emslie (North Carolina State University) for their critical comments and revision to improve this manuscript. Thanks are sent to Prof. Fridtjof Mehlum (University of Oslo) for helpful discussion during Arctic Science Submit Week 2009 (ASSW2009). We also thank an anonymous reviewer for his valuable critical comments in improving manuscript. Authors wish to thank the Chinese Arctic and Antarctic Administration (CAAA) for supporting. This research was funded by 973 Program (Grant No 2010CB428902).</t>
  </si>
  <si>
    <t>1866-6280</t>
  </si>
  <si>
    <t>1866-6299</t>
  </si>
  <si>
    <t>ENVIRON EARTH SCI</t>
  </si>
  <si>
    <t>Environ. Earth Sci.</t>
  </si>
  <si>
    <t>10.1007/s12665-010-0808-8</t>
  </si>
  <si>
    <t>Environmental Sciences; Geosciences, Multidisciplinary; Water Resources</t>
  </si>
  <si>
    <t>Environmental Sciences &amp; Ecology; Geology; Water Resources</t>
  </si>
  <si>
    <t>782WJ</t>
  </si>
  <si>
    <t>WOS:000292043100019</t>
  </si>
  <si>
    <t>da Rosa, KK</t>
  </si>
  <si>
    <t>da Rosa, Katia Kellem</t>
  </si>
  <si>
    <t>ALTIMETRIC DETERMINATION AND DEM GENERATION FOR GLACIER WANDA, KING GEORGE ISLAND, BY GLOBAL POSITIONING SYSTEM AND TRIGONOMETRICAL LEVELING</t>
  </si>
  <si>
    <t>GEOAMBIENTE ON-LINE</t>
  </si>
  <si>
    <t>GPS; positioning relative altimetric determination; monitoring of glaciers</t>
  </si>
  <si>
    <t>This study aims to determine orthometric heights and the generation of three-dimensional model of the surface at Wanda glacier located on King George Island, Antarctic Peninsula. Due to logistical difficulties in accessibility of these environments, data from Numerical Models of Terrain must be allow obtaining volumetric data of glaciers for temporal analysis and inference of the direction of ice flow and also changes in glacial dynamics. The GPS data, obtained by the static relative fast method with a single frequency topographic receiver, were post-processed for differential correction and the coordinates and altitude for the ellipsoid were converted to the local topographic system by calculating the geoid undulation based on geopotential model EGM96. With the obtained data was generated three-dimensional model of the surface to Wanda glacier, which indicates a profile with a slope toward the front area. This drop may be related to the topography of the basement rock. A topographic surface with a greater slope observed with the model can provide a local acceleration of the ice flow velocity for Wanda glacier.</t>
  </si>
  <si>
    <t>[da Rosa, Katia Kellem] Univ Fed Rio Grande do Sul, Geociencias, Porto Alegre, RS, Brazil</t>
  </si>
  <si>
    <t>Universidade Federal do Rio Grande do Sul</t>
  </si>
  <si>
    <t>da Rosa, KK (corresponding author), Univ Fed Rio Grande do Sul, Geociencias, Porto Alegre, RS, Brazil.</t>
  </si>
  <si>
    <t>katiakellem@gmail.com</t>
  </si>
  <si>
    <t>da Rosa, Kátia Kellem/AAO-8367-2020</t>
  </si>
  <si>
    <t>da Rosa, Kátia Kellem/0000-0003-0977-9658</t>
  </si>
  <si>
    <t>UNIV FEDERAL GOIAS, DEPT GEOGRAFIA</t>
  </si>
  <si>
    <t>JATAI</t>
  </si>
  <si>
    <t>CAMPUS JATAI, RUA RIACHUELO, JATAI, GO 75804-020, BRAZIL</t>
  </si>
  <si>
    <t>1679-9860</t>
  </si>
  <si>
    <t>Geoambiente On-line</t>
  </si>
  <si>
    <t>JUL-DEC</t>
  </si>
  <si>
    <t>V53CB</t>
  </si>
  <si>
    <t>WOS:000210334400005</t>
  </si>
  <si>
    <t>Griffith, EM; Paytan, A; Eisenhauer, A; Bullen, TD; Thomas, E</t>
  </si>
  <si>
    <t>Griffith, Elizabeth M.; Paytan, Adina; Eisenhauer, Anton; Bullen, Thomas D.; Thomas, Ellen</t>
  </si>
  <si>
    <t>Seawater calcium isotope ratios across the Eocene-Oligocene transition</t>
  </si>
  <si>
    <t>GEOLOGY</t>
  </si>
  <si>
    <t>ANTARCTIC GLACIATION; CA ISOTOPES; PLANKTONIC-FORAMINIFERA; COMPENSATION DEPTH; PACIFIC-OCEAN; CYCLE; FRACTIONATION; CARBONATE; EVOLUTION; RECORD</t>
  </si>
  <si>
    <t>During the Eocene-Oligocene transition (EOT, ca. 34 Ma), Earth's climate cooled significantly from a greenhouse to an icehouse climate, while the calcite (CaCO3) compensation depth (CCD) in the Pacific Ocean increased rapidly. Fluctuations in the CCD could result from various processes that create an imbalance between calcium (Ca) sources to, and sinks from, the ocean (e. g., weathering and CaCO3 deposition), with different effects on the isotopic composition of dissolved Ca in the oceans due to differences in the Ca isotopic composition of various inputs and outputs. We used Ca isotope ratios (delta Ca-44/40) of coeval pelagic marine barite and bulk carbonate to evaluate changes in the marine Ca cycle across the EOT. We show that the permanent deepening of the CCD was not accompanied by a pronounced change in seawater delta Ca-44/40, whereas time intervals in the Neogene with smaller carbonate depositional changes are characterized by seawater delta Ca-44/40 shifts. This suggests that the response of seawater delta Ca-44/40 to changes in weathering fluxes and to imbalances in the oceanic alkalinity budget depends on the chemical composition of seawater. A minor and transient fluctuation in the Ca isotope ratio of bulk carbonate may reflect a change in isotopic fractionation associated with CaCO3 precipitation from seawater due to a combination of factors, including changes in temperature and/or in the assemblages of calcifying organisms.</t>
  </si>
  <si>
    <t>[Griffith, Elizabeth M.] Kent State Univ, Dept Geol, Kent, OH 44242 USA; [Griffith, Elizabeth M.; Paytan, Adina] Univ Calif Santa Cruz, Inst Marine Sci, Santa Cruz, CA 95064 USA; [Eisenhauer, Anton] Leibniz Inst Meereswissensch IFM GEOMAR, D-24148 Kiel, Germany; [Bullen, Thomas D.] US Geol Survey, Div Water Resources, Branch Reg Res, Menlo Pk, CA 94025 USA; [Thomas, Ellen] Yale Univ, Dept Geol &amp; Geophys, New Haven, CT 06520 USA; [Thomas, Ellen] Wesleyan Univ, Dept Earth &amp; Environm Sci, Middletown, CT 06459 USA</t>
  </si>
  <si>
    <t>University System of Ohio; Kent State University; Kent State University Kent; Kent State University Salem; University of California System; University of California Santa Cruz; Helmholtz Association; GEOMAR Helmholtz Center for Ocean Research Kiel; United States Department of the Interior; United States Geological Survey; Yale University; Wesleyan University</t>
  </si>
  <si>
    <t>Griffith, EM (corresponding author), Kent State Univ, Dept Geol, 221 McGilvrey Hall, Kent, OH 44242 USA.</t>
  </si>
  <si>
    <t>Griffith, Elizabeth/KBB-3072-2024; Thomas, Ellen/JVO-1734-2024; Eisenhauer, Anton/K-6454-2012</t>
  </si>
  <si>
    <t>Thomas, Ellen/0000-0002-7141-9904; Griffith, Elizabeth/0000-0002-7919-4551</t>
  </si>
  <si>
    <t>National Science Foundaiton [OCE-0449732]; National Defense Science and Engineering</t>
  </si>
  <si>
    <t>National Science Foundaiton; National Defense Science and Engineering</t>
  </si>
  <si>
    <t>Samples were provided by the Integrated Ocean Drilling Program. This work was supported by National Science Foundaiton CAREER grant OCE-0449732 (Paytan) and National Defense Science and Engineering Graduate Fellowship and National Science Foundation Graduate Research Fellowship (Griffith). This is a contribution to EuroCLIMATE project 04 ECLIM FP08 CASIOPEIA.</t>
  </si>
  <si>
    <t>0091-7613</t>
  </si>
  <si>
    <t>10.1130/G31872.1</t>
  </si>
  <si>
    <t>778TQ</t>
  </si>
  <si>
    <t>WOS:000291729600019</t>
  </si>
  <si>
    <t>Jakobsson, M; Anderson, JB; Nitsche, FO; Dowdeswell, JA; Gyllencreutz, R; Kirchner, N; Mohammad, R; O'Regan, M; Alley, RB; Anandakrishnan, S; Eriksson, B; Kirshner, A; Fernandez, R; Stolldorf, T; Minzoni, R; Majewski, W</t>
  </si>
  <si>
    <t>Jakobsson, Martin; Anderson, John B.; Nitsche, Frank O.; Dowdeswell, Julian A.; Gyllencreutz, Richard; Kirchner, Nina; Mohammad, Rezwan; O'Regan, Matthew; Alley, Richard B.; Anandakrishnan, Sridhar; Eriksson, Bjorn; Kirshner, Alexandra; Fernandez, Rodrigo; Stolldorf, Travis; Minzoni, Rebecca; Majewski, Wojciech</t>
  </si>
  <si>
    <t>Geological record of ice shelf break-up and grounding line retreat, Pine Island Bay, West Antarctica</t>
  </si>
  <si>
    <t>SEA; GLACIER; RATES</t>
  </si>
  <si>
    <t>The catastrophic break-ups of the floating Larsen A and B ice shelves (Antarctica) in 1995 and 2002 and associated acceleration of glaciers that flowed into these ice shelves were among the most dramatic glaciological events observed in historical time. This raises a question about the larger West Antarctic ice shelves. Do these shelves, with their much greater glacial discharge, have a history of collapse? Here we describe features from the seafloor in Pine Island Bay, West Antarctica, which we interpret as having been formed during a massive ice shelf break-up and associated grounding line retreat. This evidence exists in the form of seafloor landforms that we argue were produced daily as a consequence of tidally influenced motion of mega-icebergs maintained upright in an iceberg armada produced from the disintegrating ice shelf and retreating grounding line. The break-up occurred prior to ca. 12 ka and was likely a response to rapid sea-level rise or ocean warming at that time.</t>
  </si>
  <si>
    <t>[Jakobsson, Martin; Gyllencreutz, Richard; O'Regan, Matthew; Eriksson, Bjorn] Stockholm Univ, Dept Geol Sci, S-10691 Stockholm, Sweden; [Anderson, John B.; Kirshner, Alexandra; Fernandez, Rodrigo; Stolldorf, Travis; Minzoni, Rebecca] Rice Univ, Dept Earth Sci, Houston, TX 77005 USA; [Nitsche, Frank O.] Columbia Univ, Lamont Doherty Earth Observ, Palisades, NY 10964 USA; [Dowdeswell, Julian A.] Univ Cambridge, Scott Polar Res Inst, Cambridge CB2 1ER, England; [Kirchner, Nina] Stockholm Univ, Dept Phys Geog &amp; Quaternary, S-10691 Stockholm, Sweden; [Alley, Richard B.; Anandakrishnan, Sridhar] Penn State Univ, Dept Geosci, University Pk, PA 16802 USA; [Majewski, Wojciech] Polish Acad Sci, Inst Paleobiol, PL-00818 Warsaw, Poland</t>
  </si>
  <si>
    <t>Stockholm University; Rice University; Columbia University; University of Cambridge; Stockholm University; Pennsylvania Commonwealth System of Higher Education (PCSHE); Pennsylvania State University; Pennsylvania State University - University Park; Polish Academy of Sciences; Institute of Paleobiology of the Polish Academy of Sciences</t>
  </si>
  <si>
    <t>Jakobsson, M (corresponding author), Stockholm Univ, Dept Geol Sci, S-10691 Stockholm, Sweden.</t>
  </si>
  <si>
    <t>Jakobsson, Martin/JAN-6828-2023; O'Regan, Matt/B-2157-2010; Anderson, John/B-1011-2012; Jakobsson, Martin/F-6214-2010; Nitsche, Frank O/A-9343-2009; Anandakrishnan, Sridhar/JCN-5026-2023; Fernandez, Rodrigo/GRF-1350-2022; Kirshner, Alexandra E/E-5151-2011; Fernandez, Rodrigo/ABC-8361-2020; O'Regan, Matt/P-6277-2019; Majewski, Wojciech/D-9255-2017</t>
  </si>
  <si>
    <t>Nitsche, Frank O/0000-0002-4137-547X; O'Regan, Matt/0000-0002-6046-1488; Totten, Rebecca L./0000-0002-8227-2848; Fernandez, Rodrigo/0000-0003-4226-6010; Kirchner, Nina/0000-0002-6371-5527; Majewski, Wojciech/0000-0002-5407-1782; Dowdeswell, Julian/0000-0003-1369-9482; Gyllencreutz, Richard/0000-0003-3193-8598; Jakobsson, Martin/0000-0002-9033-3559</t>
  </si>
  <si>
    <t>Swedish Research Council; Swedish Royal Academy of Sciences; Knut and Alice Wallenberg Foundation; Bert Bolin Centre for Climate Research at Stockholm University; NSF [ANT-0838735, ANT-0837925, 0424589]; Office of Polar Programs (OPP); Directorate For Geosciences [0837925] Funding Source: National Science Foundation</t>
  </si>
  <si>
    <t>Swedish Research Council(Swedish Research Council); Swedish Royal Academy of Sciences; Knut and Alice Wallenberg Foundation(Knut &amp; Alice Wallenberg Foundation); Bert Bolin Centre for Climate Research at Stockholm University; NSF(National Science Foundation (NSF)); Office of Polar Programs (OPP); Directorate For Geosciences(National Science Foundation (NSF)NSF - Directorate for Geosciences (GEO))</t>
  </si>
  <si>
    <t>The expedition was carried out as collaboration between Swedish Polar Research Secretariat, the Swedish Research Council, and the U.S. National Science Foundation (NSF). We thank the captain and crew of the icebreaker Oden. Financial support was received from the Swedish Research Council, the Swedish Royal Academy of Sciences through a grant financed by the Knut and Alice Wallenberg Foundation, and the Bert Bolin Centre for Climate Research at Stockholm University. F. Nitsche was supported by NSF grant ANT-0838735, Anderson was supported by NSF-ARRA (American Recovery and Reinvestment Act) grant ANT-0837925, and Alley and Anandakrishnan were supported by NSF grant 0424589.</t>
  </si>
  <si>
    <t>1943-2682</t>
  </si>
  <si>
    <t>10.1130/G32153.1</t>
  </si>
  <si>
    <t>WOS:000291729600021</t>
  </si>
  <si>
    <t>Santora, JA; Ralston, S; Sydeman, WJ</t>
  </si>
  <si>
    <t>Santora, Jarrod A.; Ralston, Stephen; Sydeman, William J.</t>
  </si>
  <si>
    <t>Spatial organization of krill and seabirds in the central California Current</t>
  </si>
  <si>
    <t>acoustics; Cassin's auklet; Euphausia pacifica; interannual; sooty shearwater; spatial ecology; Thysanoessa spinifera</t>
  </si>
  <si>
    <t>EUPHAUSIA-PACIFICA; ANTARCTIC KRILL; POPULATION BIOLOGY; VARIABILITY; ABUNDANCE; PREY; PATTERNS; SEA; AGGREGATION; ASSOCIATION</t>
  </si>
  <si>
    <t>The hypothesis that krill and krill-predator spatial organization and abundance co-vary interannually was tested by investigating the spatial organization of krill and planktivorous seabirds in the central California Current ecosystem over 5 years of varying oceanographic conditions, 2002-2006. To measure the abundance and distribution of krill, data were integrated from large-scale hydroacoustic surveys and station-based net samples, and these data linked to concurrent shipboard visual surveys of seabirds. Acoustically based estimates of the relative abundance of krill were correlated with net samples of Euphausia pacifica, suggesting that acoustic signals mainly reflected the distribution of this numerically dominant species. The distribution and abundance of krill displayed marked changes over years, but the characteristic spatial scale of krill and seabirds remained similar (1-4 nautical miles), confirming the hypothesis of covariance in spatial structure. Krill and the seabird species investigated showed similar habitat associations, i.e. the outer shelf and shelf-slope region, showing that the at-sea distributions of seabirds can provide information on the presence/absence of krill patches. The results also underscore the importance of measuring spatial organization as well as relative abundance in promoting better understanding of predator-prey and marine ecosystem dynamics.</t>
  </si>
  <si>
    <t>[Santora, Jarrod A.; Sydeman, William J.] Farallon Inst Adv Ecosyst Res, Petaluma, CA 94952 USA; [Ralston, Stephen] SW Fisheries Sci Ctr, NOAA Fisheries, Santa Cruz, CA 95060 USA</t>
  </si>
  <si>
    <t>National Oceanic Atmospheric Admin (NOAA) - USA</t>
  </si>
  <si>
    <t>Santora, JA (corresponding author), Farallon Inst Adv Ecosyst Res, POB 750756, Petaluma, CA 94952 USA.</t>
  </si>
  <si>
    <t>jasantora@gmail.com</t>
  </si>
  <si>
    <t>California Ocean Protection Council; California Sea Grant [OPC-ENV-07]; NASA [NNX09AU39G]; NASA [105636, NNX09AU39G] Funding Source: Federal RePORTER</t>
  </si>
  <si>
    <t>California Ocean Protection Council; California Sea Grant; NASA(National Aeronautics &amp; Space Administration (NASA)); NASA(National Aeronautics &amp; Space Administration (NASA))</t>
  </si>
  <si>
    <t>We thank members of the NOAA-NMFS JRS team, including Keith Sakuma, Ken Baltz, and John Field, as well as Baldo Marinovic, for providing information from net data on relative abundance. Acoustic processing was greatly enhanced through collaboration with the NOAA-NMFS US Antarctic Marine Living Resources programme, and we are grateful for the assistance and support of Anthony Cossio and Christian Reiss in facilitating the acoustic analyses. We also thank several anonymous reviewers and Keith Reid for suggestions that greatly improved the paper. Funding for the project was made possible through a grant to WJS and Steven J. Bograd from the California Ocean Protection Council and California Sea Grant (OPC-ENV-07) and to Francisco Chavez and Brian Wells from NASA (project NNX09AU39G).</t>
  </si>
  <si>
    <t>10.1093/icesjms/fsr046</t>
  </si>
  <si>
    <t>810YS</t>
  </si>
  <si>
    <t>WOS:000294167800003</t>
  </si>
  <si>
    <t>Christy, JH</t>
  </si>
  <si>
    <t>Christy, John H.</t>
  </si>
  <si>
    <t>Timing of Hatching and Release of Larvae by Brachyuran Crabs: Patterns, Adaptive Significance and Control</t>
  </si>
  <si>
    <t>INTEGRATIVE AND COMPARATIVE BIOLOGY</t>
  </si>
  <si>
    <t>ESTUARINE TERRESTRIAL CRAB; FIDDLER-CRABS; PLANKTIVOROUS FISHES; REPRODUCTIVE-CYCLES; HARRISII BRACHYURA; INTERTIDAL CRABS; EMBRYO MASSES; UCA-PUGILATOR; CHEMICAL CUES; RHYTHMS</t>
  </si>
  <si>
    <t>Most semiterrestrial, intertidal and shallow subtidal brachyuran crabs that live in tropical and warm temperate estuaries, bays and protected coasts world-wide release their planktonic larvae near the times of nocturnal high tides on the larger amplitude tides in the biweekly or monthly cycles of tidal amplitude. Crab larvae usually emigrate quickly to the sea where they develop to return as postlarvae to settle in habitats suitable for their survival. Predators of larvae are more abundant where larvae are released than where they develop, suggesting that this migration from estuaries to the sea reduces predation on larvae. Crabs with larvae that are relatively well-protected by spines and cryptic colors do not emigrate and often lack strong reproductive cycles, lending support to this explanation. Adults control the timing of the release of larvae with respect to the biweekly and monthly cycles of tidal amplitude by controlling when they court and mate and females control when development begins by controlling when they ovulate and allow their eggs to be fertilized by stored sperm. By changing the time they breed, fiddler crabs (Uca terpsichores) compensate for the effects of spatial and temporal variation in incubation temperature on development rates so that embryos are ready to hatch at the appropriate time. Control of the diel and tidal timing of hatching and of release of larvae varies with where adults live. Females of the more terrestrial species often move from protected incubation sites, sometimes far from water, and they largely control the precise time, both, of hatching and of release of larvae. Females of intertidal species also may influence when embryos begin to hatch. Upon hatching, a chemical cue is released that stimulates the female to pump her abdomen, causing rapid hatching and release of all larvae in her clutch. Embryos, rather than females, largely control hatching in subtidal species, perhaps because females incubate their eggs where they release their larvae. Topics for further study include the mechanism whereby adults regulate the timing of breeding, the mechanisms by which females control development rates of embryos, the nature of communication between females and embryos that leads to precise and synchronous hatching by the number (often thousands) of embryos in a clutch, and the causes of selection for such precision. The timing of hatching and of release of larvae by cold-temperate, Arctic, and Antarctic species and by fully terrestrial and freshwater tropical species has received little attention.</t>
  </si>
  <si>
    <t>Smithsonian Trop Res Inst, Panama City, Panama</t>
  </si>
  <si>
    <t>Smithsonian Institution; Smithsonian Tropical Research Institute</t>
  </si>
  <si>
    <t>Christy, JH (corresponding author), Smithsonian Trop Res Inst, MRC 0580-08,Apartado 0843-03092, Panama City, Panama.</t>
  </si>
  <si>
    <t>christyj@si.edu</t>
  </si>
  <si>
    <t>Society for Integrative and Comparative Biology (SICB); Society for Integrative and Comparative Biology (SICB), Division of Animal Behavior (DAB); Society for Integrative and Comparative Biology (SICB), Division of Comparative Physiology and Biochemistry (DCPB); Society for Integrative and Comparative Biology (SICB), Division of Developmental and Cellular Biology (DDCB); Society for Integrative and Comparative Biology (SICB), Division of Evolutionary Developmental Biology (DEDB); Society for Integrative and Comparative Biology (SICB), Division of Invertebrate Zoology (DIZ); US National Science Foundation [IOS-1036933]; Smithsonian Tropical Research Institute</t>
  </si>
  <si>
    <t>Society for Integrative and Comparative Biology (SICB); Society for Integrative and Comparative Biology (SICB), Division of Animal Behavior (DAB); Society for Integrative and Comparative Biology (SICB), Division of Comparative Physiology and Biochemistry (DCPB); Society for Integrative and Comparative Biology (SICB), Division of Developmental and Cellular Biology (DDCB); Society for Integrative and Comparative Biology (SICB), Division of Evolutionary Developmental Biology (DEDB); Society for Integrative and Comparative Biology (SICB), Division of Invertebrate Zoology (DIZ); US National Science Foundation(National Science Foundation (NSF)); Smithsonian Tropical Research Institute(Smithsonian InstitutionSmithsonian Tropical Research Institute)</t>
  </si>
  <si>
    <t>Funding of this symposium and my participation in it was provided by the Society for Integrative and Comparative Biology (SICB), and the following Divisions within the Society: Animal Behavior (DAB), Comparative Physiology and Biochemistry (DCPB), Developmental and Cellular Biology (DDCB), Evolutionary Developmental Biology (DEDB), and Invertebrate Zoology (DIZ), and by the US National Science Foundation (IOS-1036933). The Smithsonian Tropical Research Institute supported my research on the reproductive behavior and biology of the fiddler crabs of Panama.</t>
  </si>
  <si>
    <t>1540-7063</t>
  </si>
  <si>
    <t>1557-7023</t>
  </si>
  <si>
    <t>INTEGR COMP BIOL</t>
  </si>
  <si>
    <t>Integr. Comp. Biol.</t>
  </si>
  <si>
    <t>10.1093/icb/icr013</t>
  </si>
  <si>
    <t>786MY</t>
  </si>
  <si>
    <t>WOS:000292313800006</t>
  </si>
  <si>
    <t>Fok, MC; Glocer, A; Zheng, Q; Horne, RB; Meredith, NP; Albert, JM; Nagai, T</t>
  </si>
  <si>
    <t>Fok, M. -C.; Glocer, A.; Zheng, Q.; Horne, R. B.; Meredith, N. P.; Albert, J. M.; Nagai, T.</t>
  </si>
  <si>
    <t>Recent developments in the radiation belt environment model</t>
  </si>
  <si>
    <t>Radiation belts; Storm and substorm; Wave-particle interactions; Space weather</t>
  </si>
  <si>
    <t>PITCH-ANGLE DIFFUSION; RELATIVISTIC ELECTRONS; RING CURRENT; GEOMAGNETIC STORMS; INNER MAGNETOSPHERE; LOSS MECHANISMS; MAGNETIC-FIELD; ACCELERATION; WAVES; COEFFICIENTS</t>
  </si>
  <si>
    <t>The fluxes of energetic particles in the radiation belts are found to be strongly controlled by the solar wind conditions. In order to understand and predict the radiation particle intensities, we have developed a physics-based Radiation Belt Environment (RBE) model that considers the influences from the solar wind, ring current and plasmasphere. Recently, an improved calculation of wave-particle interactions has been incorporated. In particular, the model now includes cross diffusion in energy and pitch-angle. We find that the exclusion of cross diffusion could cause significant overestimation of electron flux enhancement during storm recovery. The RBE model is also connected to MHD fields so that the response of the radiation belts to fast variations in the global magnetosphere can be studied. We are able to reproduce the rapid flux increase during a substorm dipolarization on 4 September 2008. The timing is much shorter than the time scale of wave associated acceleration. Published by Elsevier Ltd.</t>
  </si>
  <si>
    <t>[Fok, M. -C.; Glocer, A.; Zheng, Q.] NASA, Goddard Space Flight Ctr, Geospace Phys Lab, Greenbelt, MD 20771 USA; [Zheng, Q.] Univ Maryland, Dept Astron, College Pk, MD 20742 USA; [Horne, R. B.; Meredith, N. P.] British Antarctic Survey, Div Phys Sci, Cambridge CB3 0ET, England; [Albert, J. M.] USAF, Res Lab, Hanscom AFB, MA USA; [Nagai, T.] Tokyo Inst Technol, Dept Earth &amp; Planetary Sci, Tokyo 152, Japan</t>
  </si>
  <si>
    <t>National Aeronautics &amp; Space Administration (NASA); NASA Goddard Space Flight Center; University System of Maryland; University of Maryland College Park; UK Research &amp; Innovation (UKRI); Natural Environment Research Council (NERC); NERC British Antarctic Survey; United States Department of Defense; United States Air Force; Tokyo Institute of Technology</t>
  </si>
  <si>
    <t>Fok, MC (corresponding author), NASA, Goddard Space Flight Ctr, Geospace Phys Lab, Greenbelt, MD 20771 USA.</t>
  </si>
  <si>
    <t>mei-ching.h.fok@nasa.gov</t>
  </si>
  <si>
    <t>Meredith, Nigel P/C-5806-2018; Albert, Jay/AAV-6860-2020; Horne, Richard B/U-3764-2019; Glocer, Alex/C-9512-2012; Fok, Mei-Ching/D-1626-2012</t>
  </si>
  <si>
    <t>Albert, Jay/0000-0001-9494-7630; Horne, Richard B/0000-0002-0412-6407; Meredith, Nigel/0000-0001-5032-3463; Glocer, Alex/0000-0001-9843-9094; Fok, Mei-Ching/0000-0001-9500-866X</t>
  </si>
  <si>
    <t>NASA Science Mission Directorate, Heliophysics Division [936723.02.01.06.78, 936723.02.01.01.27]; NERC [bas0100023] Funding Source: UKRI; Grants-in-Aid for Scientific Research [22540458] Funding Source: KAKEN; Natural Environment Research Council [bas0100023] Funding Source: researchfish</t>
  </si>
  <si>
    <t>NASA Science Mission Directorate, Heliophysics Division(National Aeronautics &amp; Space Administration (NASA)); NERC(UK Research &amp; Innovation (UKRI)Natural Environment Research Council (NERC)); Grants-in-Aid for Scientific Research(Ministry of Education, Culture, Sports, Science and Technology, Japan (MEXT)Japan Society for the Promotion of ScienceGrants-in-Aid for Scientific Research (KAKENHI)); Natural Environment Research Council(UK Research &amp; Innovation (UKRI)Natural Environment Research Council (NERC))</t>
  </si>
  <si>
    <t>This research was supported by NASA Science Mission Directorate, Heliophysics Division, Living With a Star Targeted Research and Technology Program, under Work Breakdown Structures: 936723.02.01.06.78 and 936723.02.01.01.27.</t>
  </si>
  <si>
    <t>10.1016/j.jastp.2010.09.033</t>
  </si>
  <si>
    <t>WOS:000294093500019</t>
  </si>
  <si>
    <t>Griffies, SM; Winton, M; Donner, LJ; Horowitz, LW; Downes, SM; Farneti, R; Gnanadesikan, A; Hurlin, WJ; Lee, HC; Liang, Z; Palter, JB; Samuels, BL; Wittenberg, AT; Wyman, BL; Yin, JJ; Zadeh, N</t>
  </si>
  <si>
    <t>Griffies, Stephen M.; Winton, Michael; Donner, Leo J.; Horowitz, Larry W.; Downes, Stephanie M.; Farneti, Riccardo; Gnanadesikan, Anand; Hurlin, William J.; Lee, Hyun-Chul; Liang, Zhi; Palter, Jaime B.; Samuels, Bonita L.; Wittenberg, Andrew T.; Wyman, Bruce L.; Yin, Jianjun; Zadeh, Niki</t>
  </si>
  <si>
    <t>The GFDL CM3 Coupled Climate Model: Characteristics of the Ocean and Sea Ice Simulations</t>
  </si>
  <si>
    <t>ANTARCTIC CIRCUMPOLAR CURRENT; THERMOHALINE CIRCULATION; WATER; HEAT; TRANSPORT; ATMOSPHERE; ATLANTIC; VOLUME; DEEP; FLUX</t>
  </si>
  <si>
    <t>This paper documents time mean simulation characteristics from the ocean and sea ice components in a new coupled climate model developed at the NOAA Geophysical Fluid Dynamics Laboratory (GFDL). The GFDL Climate Model version 3 (CM3) is formulated with effectively the same ocean and sea ice components as the earlier CM2.1 yet with extensive developments made to the atmosphere and land model components. Both CM2.1 and CM3 show stable mean climate indices, such as large-scale circulation and sea surface temperatures (SSTs). There are notable improvements in the CM3 climate simulation relative to CM2.1, including a modified SST bias pattern and reduced biases in the Arctic sea ice cover. The authors anticipate SST differences between CM2.1 and CM3 in lower latitudes through analysis of the atmospheric fluxes at the ocean surface in corresponding Atmospheric Model Intercomparison Project (AMIP) simulations. In contrast, SST changes in the high latitudes are dominated by ocean and sea ice effects absent in AMIP simulations. The ocean interior simulation in CM3 is generally warmer than in CM2.1, which adversely impacts the interior biases.</t>
  </si>
  <si>
    <t>[Griffies, Stephen M.; Winton, Michael; Donner, Leo J.; Horowitz, Larry W.; Gnanadesikan, Anand; Hurlin, William J.; Lee, Hyun-Chul; Liang, Zhi; Samuels, Bonita L.; Wittenberg, Andrew T.; Wyman, Bruce L.; Zadeh, Niki] NOAA, GFDL, Princeton, NJ 08542 USA; [Downes, Stephanie M.; Palter, Jaime B.] Princeton Univ, Atmospher &amp; Ocean Sci Program, Princeton, NJ 08544 USA; [Farneti, Riccardo] Abdus Salaam Int Ctr Theoret Phys, Earth Syst Phys Sect, Trieste, Italy; [Lee, Hyun-Chul; Liang, Zhi; Zadeh, Niki] High Performance Technol Inc, Princeton, NJ USA; [Yin, Jianjun] Univ Arizona, Dept Geosci, Tucson, AZ 85721 USA</t>
  </si>
  <si>
    <t>National Oceanic Atmospheric Admin (NOAA) - USA; National Oceanic Atmospheric Admin (NOAA) - USA; Princeton University; Abdus Salam International Centre for Theoretical Physics (ICTP); High Performance Technologies, Inc. (HPTi); University of Arizona</t>
  </si>
  <si>
    <t>Griffies, SM (corresponding author), NOAA, GFDL, 201 Forrestal Rd, Princeton, NJ 08542 USA.</t>
  </si>
  <si>
    <t>stephen.griffies@noaa.gov</t>
  </si>
  <si>
    <t>Gnanadesikan, Anand/A-2397-2008; Zadeh, Niki/F-4532-2014; Griffies, Stephen Matthew/N-9144-2019; Farneti, Riccardo/B-5183-2011; Keyes, Dennis/AAZ-9285-2021; Downes, Stephanie/A-1424-2012; Wittenberg, Andrew T/G-9619-2013; Horowitz, Larry W/D-8048-2014; Palter, Jaime B/B-9484-2011; Zadeh, Niki/N-9914-2019</t>
  </si>
  <si>
    <t>Zadeh, Niki/0000-0002-0025-0769; Griffies, Stephen Matthew/0000-0002-3711-236X; Farneti, Riccardo/0000-0001-7781-6436; Wittenberg, Andrew T/0000-0003-1680-8963; Horowitz, Larry W/0000-0002-5886-3314; Gnanadesikan, Anand/0000-0001-5784-1116; Palter, Jaime/0000-0002-2656-8062</t>
  </si>
  <si>
    <t>10.1175/2011JCLI3964.1</t>
  </si>
  <si>
    <t>790LW</t>
  </si>
  <si>
    <t>WOS:000292590500023</t>
  </si>
  <si>
    <t>Walters, KR; Serianni, AS; Voituron, Y; Sformo, T; Barnes, BM; Duman, JG</t>
  </si>
  <si>
    <t>Walters, Kent R., Jr.; Serianni, Anthony S.; Voituron, Yann; Sformo, Todd; Barnes, Brian M.; Duman, John G.</t>
  </si>
  <si>
    <t>A thermal hysteresis-producing xylomannan glycolipid antifreeze associated with cold tolerance is found in diverse taxa</t>
  </si>
  <si>
    <t>JOURNAL OF COMPARATIVE PHYSIOLOGY B-BIOCHEMICAL SYSTEMIC AND ENVIRONMENTAL PHYSIOLOGY</t>
  </si>
  <si>
    <t>Freeze tolerance; Antifreeze proteins; Cryoprotection; Cold adaptation; Antifreeze glycolipid</t>
  </si>
  <si>
    <t>CUCUJUS-CLAVIPES; FREEZE TOLERANCE; DENDROIDES CANADENSIS; OVERWINTERING INSECT; LITHOBIUS-FORFICATUS; ANTARCTIC FISHES; ICE NUCLEATORS; PROTEINS; BEETLE; MEMBRANE</t>
  </si>
  <si>
    <t>The presence of large-molecular-mass, thermal hysteresis (TH)-producing antifreezes (e.g., antifreeze proteins) has been reported in numerous and diverse taxa, including representative species of fish, arthropods, plants, fungi, and bacteria. However, relatively few of these antifreeze molecules have been chemically characterized. We screened diverse species by subjecting their homogenates to ice-affinity purification and discovered the presence of a newly identified class of antifreeze, a xylomannan-based TH-producing glycolipid that was previously reported in one species of freeze-tolerant Alaskan beetle. We isolated xylomannan-based antifreeze glycolipids from one plant species, six insect species, and the first frog species to be shown to produce a large-molecular-mass antifreeze. H-1 NMR spectra of the ice-purified molecules isolated from these diverse freeze-tolerant and freeze-avoiding organisms were nearly identical, indicating that the chemical structures of the glycolipids were highly similar. Although the exact functions remain uncertain, it appears that antifreeze glycolipids play a role in cold tolerance.</t>
  </si>
  <si>
    <t>[Walters, Kent R., Jr.; Duman, John G.] Univ Notre Dame, Dept Biol Sci, Notre Dame, IN 46556 USA; [Serianni, Anthony S.] Univ Notre Dame, Dept Chem &amp; Biochem, Notre Dame, IN 46556 USA; [Voituron, Yann] Univ Lyon 1, Physiol Regulat Energet Cellulaires &amp; Mol UMR CNR, F-69622 Villeurbanne, France; [Sformo, Todd; Barnes, Brian M.] Univ Alaska Fairbanks, Inst Arct Biol, Fairbanks, AK 99775 USA</t>
  </si>
  <si>
    <t>University of Notre Dame; University of Notre Dame; Universite Claude Bernard Lyon 1; University of Alaska System; University of Alaska Fairbanks</t>
  </si>
  <si>
    <t>Walters, KR (corresponding author), Univ Illinois, Dept Entomol, 320 Morrill Hall,505 S Goodwin Ave, Urbana, IL 61801 USA.</t>
  </si>
  <si>
    <t>kwalte2@life.illinois.edu</t>
  </si>
  <si>
    <t>Voituron, Yann/0000-0003-0572-7199; Sformo, Todd/0000-0003-4833-2007</t>
  </si>
  <si>
    <t>National Science Foundation [OPP-0117104, IOS-0618342]</t>
  </si>
  <si>
    <t>This work was supported by National Science Foundation grants OPP-0117104 and IOS-0618342 to JD and BB.</t>
  </si>
  <si>
    <t>10.1007/s00360-011-0552-8</t>
  </si>
  <si>
    <t>779SY</t>
  </si>
  <si>
    <t>WOS:000291803400005</t>
  </si>
  <si>
    <t>Liebner, S; Zeyer, J; Wagner, D; Schubert, C; Pfeiffer, EM; Knoblauch, C</t>
  </si>
  <si>
    <t>Liebner, Susanne; Zeyer, Josef; Wagner, Dirk; Schubert, Carsten; Pfeiffer, Eva-Maria; Knoblauch, Christian</t>
  </si>
  <si>
    <t>Methane oxidation associated with submerged brown mosses reduces methane emissions from Siberian polygonal tundra</t>
  </si>
  <si>
    <t>JOURNAL OF ECOLOGY</t>
  </si>
  <si>
    <t>aquatic mosses; Arctic; biomarker; ecophysiology; methanotrophy; peatland; permafrost; plant-microbe interaction; polygonal tundra; stable isotope probing</t>
  </si>
  <si>
    <t>OXIDIZING BACTERIA; FATTY-ACIDS; LENA DELTA; CARBON; LAKE; ABUNDANCE; RHIZOSPHERE; BIOMARKERS; STEROLS; SOILS</t>
  </si>
  <si>
    <t>1. Methane (CH4) oxidation (methanotrophy) associated with submerged brown moss species occurs in polygonal tundra environments of the Siberian Arctic. Methanotrophic bacteria living in close association with mosses are thus not restricted to Sphagnum species and low-pH peatlands. 2. Moss-associated methane oxidation (MAMO) can be an effective buffer for CH4 emissions from permafrost-affected tundra, a region that is of high importance for the global greenhouse gas budget. Combining biogeochemical and molecular approaches revealed that MAMO in polygonal ponds exceeds methanotrophic activity in terrestrial sites by up to two orders of magnitude. 3. Moss-associated methane oxidation is not only promoted by submerged conditions but also by light exposure. Polygonal ponds covered by the brown moss Scorpidium scorpioides became a net sink for atmospheric CH4 (-1.7 me CH4 m(-2) day(-1)) when exposed to sunlight but a CH4 source (21.6 mg CH4 m(-2) day(-1)) in the absence of light. 4. Based on stable isotope probing with (CH4)-C-13, carbon deriving from CH4 was incorporated into the bacterial fatty acids 16:1 omega 7 and 18:1 omega 9/omega 7 common in methanotrophs and into plant phytol, sitosterol and stigmastanol, all of which are highly abundant in moss biomass. 5. Synthesis. A mutualistic symbiosis between methanotrophic bacteria and brown mosses reduces CH4 emissions from Arctic polygonal tundra by at least 5%. Both partners benefit from this association: the moss from the additional CO2 supplied through methane oxidation and the methane-oxidizing bacteria from the oxygen produced through photosynthesis. Considering that submerged mosses are widely abundant in the polar region, MAMO may have a major impact on carbon turnover rates in Arctic freshwater environments.</t>
  </si>
  <si>
    <t>[Liebner, Susanne; Zeyer, Josef] Fed Inst Technol ETH, Inst Biogeochem &amp; Pollutant Dynam IBP, CH-8092 Zurich, Switzerland; [Wagner, Dirk] Alfred Wegener Inst Polar &amp; Marine Res, Res Unit Potsdam, D-14473 Potsdam, Germany; [Schubert, Carsten] Eawag, Biogeochem Surf, CH-6047 Kastanienbaum, Switzerland; [Pfeiffer, Eva-Maria; Knoblauch, Christian] Univ Hamburg, Inst Soil Sci, D-20146 Hamburg, Germany</t>
  </si>
  <si>
    <t>Swiss Federal Institutes of Technology Domain; ETH Zurich; Helmholtz Association; Alfred Wegener Institute, Helmholtz Centre for Polar &amp; Marine Research; Swiss Federal Institutes of Technology Domain; Swiss Federal Institute of Aquatic Science &amp; Technology (EAWAG); University of Hamburg</t>
  </si>
  <si>
    <t>Liebner, S (corresponding author), Univ Tromso, Dept Arctic &amp; Marine Biol, N-9037 Tromso, Norway.</t>
  </si>
  <si>
    <t>susanne.liebner@uit.no</t>
  </si>
  <si>
    <t>Schubert, Carsten/GQQ-1673-2022; Knoblauch, Christian/L-6776-2015; Liebner, Susanne/R-3749-2019; Wagner, Dirk/C-3932-2012</t>
  </si>
  <si>
    <t>Knoblauch, Christian/0000-0002-7147-1008; Liebner, Susanne/0000-0002-9389-7093; Wagner, Dirk/0000-0001-5064-497X; Schubert, Carsten J./0000-0003-1668-5967; Pfeiffer, Eva-Maria/0000-0003-3332-8830</t>
  </si>
  <si>
    <t>DAAD (German Academic Exchange Service); DFG (German Research Foundation)</t>
  </si>
  <si>
    <t>DAAD (German Academic Exchange Service)(Deutscher Akademischer Austausch Dienst (DAAD)); DFG (German Research Foundation)(German Research Foundation (DFG))</t>
  </si>
  <si>
    <t>We sincerely thank Jurgen Klawitter for assigning the moss species and the crew of the Expeditions LENA 2008 and LENA 2009, in particular our Russian partners Dimitry Yu. Bolshiyanov, Sasha Makarov (Arctic Antarctic Research Institute), Alexander Yu. Dereviagin (Moscow State University), Dmitri V. Melnitschenko (Hydro Base Tiksi) and Alexander Yu. Gukov (Lena Delta Reserve) for logistic support. Gijs Nobbe from Eawag and Birgit Schwinge front the Institute of Soil Science are acknowledged for their work in the stable isotope laboratories and Benjamin Runcle for editing the English. This research was enabled through funding by the DAAD (German Academic Exchange Service) to S.L. and the DFG (German Research Foundation) to C.K.</t>
  </si>
  <si>
    <t>0022-0477</t>
  </si>
  <si>
    <t>1365-2745</t>
  </si>
  <si>
    <t>J ECOL</t>
  </si>
  <si>
    <t>J. Ecol.</t>
  </si>
  <si>
    <t>10.1111/j.1365-2745.2011.01823.x</t>
  </si>
  <si>
    <t>Plant Sciences; Ecology</t>
  </si>
  <si>
    <t>Plant Sciences; Environmental Sciences &amp; Ecology</t>
  </si>
  <si>
    <t>788BG</t>
  </si>
  <si>
    <t>WOS:000292419800004</t>
  </si>
  <si>
    <t>Charmantier, A; Buoro, M; Gimenez, O; Weimerskirch, H</t>
  </si>
  <si>
    <t>Charmantier, A.; Buoro, M.; Gimenez, O.; Weimerskirch, H.</t>
  </si>
  <si>
    <t>Heritability of short-scale natal dispersal in a large-scale foraging bird, the wandering albatross</t>
  </si>
  <si>
    <t>JOURNAL OF EVOLUTIONARY BIOLOGY</t>
  </si>
  <si>
    <t>Bayesian framework; heritability; liability to disperse; local scale; natal dispersal; seabird; threshold model</t>
  </si>
  <si>
    <t>QUANTITATIVE GENETIC-PARAMETERS; LINEAR MIXED MODELS; DIOMEDEA-EXULANS; INDIAN-OCEAN; NATURAL-POPULATIONS; PRACTICAL GUIDE; LIFE-HISTORY; CONSEQUENCES; FISHERIES; DYNAMICS</t>
  </si>
  <si>
    <t>Natal dispersal is a key life history trait for the evolution and adaptation of wild populations. Although its evolution has repeatedly been related to the social and environmental context faced by individuals, parent-offspring regressions have also highlighted a possible heritable component. In this study, we explore heritability of natal dispersal, at the scale of the sub-Antarctic Possession Island, for a large-scale foraging seabird, the Wandering albatross Diomedea exulans, exploiting a pedigree spanning over four decades and a maximum of four generations. The comparison of three different methods shows that heritability on the liability scale can vary drastically depending on the type of model (heritability from 6% to 86%), with a notable underestimation by restricted maximum likelihood animal models (6%) compared to Bayesian animal models (36%). In all cases, however, our results point to significant additive genetic variance in the individual propensity to disperse, after controlling for substantial effects of sex and natal colony. These results reveal promising evolutionary potential for short-scale natal dispersal, which could play a critical role for the long-term persistence of this species on the long run.</t>
  </si>
  <si>
    <t>[Charmantier, A.; Buoro, M.; Gimenez, O.] Ctr Ecol Fonct &amp; Evolut, UMR 5175, Campus CNRS, Montpellier 5, France; [Buoro, M.] INRA, UMR Ecobiop, Quartier Ibarron St Pees, France; [Weimerskirch, H.] Ctr Etud Biol Chize, CNRS UPR1934, Villiers En Bois, France</t>
  </si>
  <si>
    <t>Universite PSL; Ecole Pratique des Hautes Etudes (EPHE); Institut Agro; Montpellier SupAgro; CIRAD; Centre National de la Recherche Scientifique (CNRS); Institut de Recherche pour le Developpement (IRD); Universite Paul-Valery; Universite de Montpellier; INRAE</t>
  </si>
  <si>
    <t>Charmantier, A (corresponding author), Ctr Ecol Fonct &amp; Evolut, UMR 5175, Campus CNRS, Montpellier 5, France.;Charmantier, A (corresponding author), Ctr Ecol Fonct &amp; Evolut, UMR 5175, 1919 Route Mende, F-34293 Montpellier 5, France.</t>
  </si>
  <si>
    <t>anne.charmantier@cefe.cnrs.fr</t>
  </si>
  <si>
    <t>Weimerskirch, Henri/F-5562-2013; Weimerskirch, Henri/K-7306-2019; Gimenez, Olivier/G-4281-2010</t>
  </si>
  <si>
    <t>Weimerskirch, Henri/0000-0002-0457-586X; Buoro, Mathieu/0000-0001-7053-3767; Gimenez, Olivier/0000-0001-7001-5142</t>
  </si>
  <si>
    <t>IPEV [109]; Agence Nationale de la Recherche [ANR-08-JCJC-0041-01, ANR-08-JCJC-0028-01]</t>
  </si>
  <si>
    <t>IPEV; Agence Nationale de la Recherche(Agence Nationale de la Recherche (ANR))</t>
  </si>
  <si>
    <t>The long-term monitoring programmes on the Crozet Islands are funded by IPEV (Program number 109). We thank all the people involved in the mark-recapture programmes on Crozet since 1966 and Dominique Besson for the data management. We thank Pierre Jouventin who stimulated this collaborative study. Alastair Wilson, Jarrod Hadfield, Blandine Doligez and Michael Morrissey provided useful discussions and help with the analysis. We are grateful for the work of two anonymous reviewers that helped improve the manuscript. This project was funded by the Agence Nationale de la Recherche (grants ANR-08-JCJC-0041-01 to AC and ANR-08-JCJC-0028-01 to OG).</t>
  </si>
  <si>
    <t>1010-061X</t>
  </si>
  <si>
    <t>1420-9101</t>
  </si>
  <si>
    <t>J EVOLUTION BIOL</t>
  </si>
  <si>
    <t>J. Evol. Biol.</t>
  </si>
  <si>
    <t>10.1111/j.1420-9101.2011.02281.x</t>
  </si>
  <si>
    <t>Ecology; Evolutionary Biology; Genetics &amp; Heredity</t>
  </si>
  <si>
    <t>Environmental Sciences &amp; Ecology; Evolutionary Biology; Genetics &amp; Heredity</t>
  </si>
  <si>
    <t>791WK</t>
  </si>
  <si>
    <t>WOS:000292698700010</t>
  </si>
  <si>
    <t>Galarza-Muñoz, G; Soto-Morales, SI; Holmgren, M; Rosenthal, JJC</t>
  </si>
  <si>
    <t>Galarza-Munoz, Gaddiel; Soto-Morales, Sonia I.; Holmgren, Miguel; Rosenthal, Joshua J. C.</t>
  </si>
  <si>
    <t>Physiological adaptation of an Antarctic Na+/K+-ATPase to the cold</t>
  </si>
  <si>
    <t>Antarctica; ion channels; ion transporters; Na+/K+-ATPase; octopus; temperature adaptation</t>
  </si>
  <si>
    <t>SODIUM-POTASSIUM PUMP; CURRENT-VOLTAGE RELATIONSHIP; CYTOSOLIC MALATE-DEHYDROGENASES; DIFFERENT THERMAL ENVIRONMENTS; PIG VENTRICULAR MYOCYTES; NA/K PUMP; TEMPERATURE ADAPTATION; XENOPUS-OOCYTES; MOLECULAR ACTIVITY; HOMEOVISCOUS ADAPTATION</t>
  </si>
  <si>
    <t>Because enzymatic activity is strongly suppressed by the cold, polar poikilotherms face significant adaptive challenges. For example, at 0 degrees C the catalytic activity of a typical enzyme from a temperate organism is reduced by more than 90%. Enzymes embedded in the plasma membrane, such as the Na+/K+-ATPase, may be even more susceptible to the cold because of thermal effects on the lipid bilayer. Accordingly, adaptive changes in response to the cold may include adjustments to the enzyme or the surrounding lipid environment, or synergistic changes to both. To assess the contribution of the enzyme itself, we cloned orthologous Na+/K+-ATPase alpha-subunits from an Antarctic (Pareledone sp.; -1.8 degrees C) and a temperate octopus (Octopus bimaculatus; similar to 18 degrees C), and compared their turnover rates and temperature sensitivities in a heterologous expression system. The primary sequences of the two pumps were found to be highly similar (97% identity), with most differences being conservative changes involving hydrophobic residues. The physiology of the pumps was studied using an electrophysiological approach in intact Xenopus oocytes. The voltage dependence of the pumps was equivalent. However, at room temperature the maximum turnover rate of the Antarctic pump was found to be 25% higher than that of the temperate pump. In addition, the Antarctic pump exhibited a lower temperature sensitivity, leading to significantly higher relative activity at lower temperatures. Orthologous Na+/K+ pumps were then isolated from two tropical and two Arctic octopus. The temperature sensitivities of these pumps closely matched those of the temperate and Antarctic pumps, respectively. Thus, reduced thermal sensitivity appears to be a common mechanism driving cold adaptation in the Na+/K+-ATPase.</t>
  </si>
  <si>
    <t>[Holmgren, Miguel] Natl Inst Neurol Disorders &amp; Stroke, Mol Neurophysiol Sect, NIH, Bethesda, MD 20892 USA; [Galarza-Munoz, Gaddiel; Soto-Morales, Sonia I.; Rosenthal, Joshua J. C.] Univ Puerto Rico, Inst Neurobiol, San Juan, PR 00901 USA; [Rosenthal, Joshua J. C.] Univ Puerto Rico, Dept Biochem, San Juan, PR 00901 USA</t>
  </si>
  <si>
    <t>National Institutes of Health (NIH) - USA; NIH National Institute of Neurological Disorders &amp; Stroke (NINDS); University of Puerto Rico; University of Puerto Rico</t>
  </si>
  <si>
    <t>Holmgren, M (corresponding author), Natl Inst Neurol Disorders &amp; Stroke, Mol Neurophysiol Sect, NIH, Bethesda, MD 20892 USA.</t>
  </si>
  <si>
    <t>holmgren@ninds.nih.gov; rosenthal.joshua@gmail.com</t>
  </si>
  <si>
    <t>NSF [IBN-0344070, 0206200]; NIH (NINDS); RCMI [G12 RR 03051]; NIH [2 U54 NS039405-06, 1R01NS64259, S06GM08102]; NCRR [P20 RR16470]; University of Puerto Rico Biology Department</t>
  </si>
  <si>
    <t>NSF(National Science Foundation (NSF)); NIH (NINDS)(United States Department of Health &amp; Human ServicesNational Institutes of Health (NIH) - USANIH National Institute of Neurological Disorders &amp; Stroke (NINDS)); RCMI; NIH(United States Department of Health &amp; Human ServicesNational Institutes of Health (NIH) - USA); NCRR(United States Department of Health &amp; Human ServicesNational Institutes of Health (NIH) - USANIH National Center for Research Resources (NCRR)); University of Puerto Rico Biology Department</t>
  </si>
  <si>
    <t>We would like to thank Dr Chris DeVries for kindly providing samples of Pareledone sp. from McMurdo Station, Antarctica. We also thank the Section on Instrumentation of the National Institute of Mental Health for technical assistance. This work was directly supported by NSF IBN-0344070, NIH 2 U54 NS039405-06, NIH 1R01NS64259 and the Intramural Research Program of the NIH (NINDS). Part of the work was conducted in the Molecular Biology Core Facility at the Institute of Neurobiology, which is supported by RCMI grant no. G12 RR 03051. Some DNA sequencing was performed at the Sequencing and Genotyping facility, University of Puerto Rico-Rio Piedras, which is supported in part by NCRR-AABRE grant no. P20 RR16470, NIH-SCORE grant no. S06GM08102, University of Puerto Rico Biology Department, and NSF-CREST grant no. 0206200. Deposited in PMC for release after 12 months.</t>
  </si>
  <si>
    <t>1477-9145</t>
  </si>
  <si>
    <t>10.1242/jeb.048744</t>
  </si>
  <si>
    <t>774LC</t>
  </si>
  <si>
    <t>WOS:000291386300012</t>
  </si>
  <si>
    <t>Roberts, J; Xavier, JC; Agnew, DJ</t>
  </si>
  <si>
    <t>Roberts, J.; Xavier, J. C.; Agnew, D. J.</t>
  </si>
  <si>
    <t>The diet of toothfish species Dissostichus eleginoides and Dissostichus mawsoni with overlapping distributions</t>
  </si>
  <si>
    <t>JOURNAL OF FISH BIOLOGY</t>
  </si>
  <si>
    <t>Antarctic; bathyal; CCAMLR; dietary overlap; prey distribution</t>
  </si>
  <si>
    <t>PATAGONIAN TOOTHFISH; SOUTH GEORGIA; ROSS SEA; SHAG ROCKS; NOTOTHENIIDAE; PERCIFORMES; COMPETITION; FISHERY; SHELF; SMITT</t>
  </si>
  <si>
    <t>The diets of Antarctic toothfish Dissostichus mawsoni and Patagonian toothfish Dissostichus eleginoides were examined around the South Sandwich Islands in the Southern Ocean, one of few regions with overlapping populations of the two species. Despite large differences in the proportion of stomachs containing prey (76.2% of D. mawsoni compared to 7.2% of D. eleginoides), diet composition was broadly similar (Schoener overlap index of 74.4% based on prey mass) with finfishes (particularly macrourids and muraenolepidids) and cephalopods (mainly Kondakovia longimana) comprising &gt; 90% of the prey mass of both species. Predation rates of the main fish prey, as mean counts per stomach sampled, were spatially correlated with their relative abundance around the islands derived from fishery by-catch data, suggesting a general lack of prey selectivity. This study supports the view that bathyal Dissostichus are opportunistic carnivores and finds that D. mawsoni and D. eleginoides occupy a similar trophic niche and are likely to compete for prey in regions where both are distributed. The large increase in rate of prey occurrence and size of prey in D. mawsoni stomachs relative to D. eleginoides suggests, however, species differences in feeding behaviour, which may reflect the increased metabolic demands of a cold-water adapted physiology. [Correction added after online publication 13 June 2011: spelling of species name corrected] (C) 2011 The Authors Journal of Fish Biology (C) 2011 The Fisheries Society of the British Isles</t>
  </si>
  <si>
    <t>[Roberts, J.; Agnew, D. J.] Univ London Imperial Coll Sci Technol &amp; Med, Div Biol, Ascot SL5 7PY, Berks, England; [Xavier, J. C.] Univ Coimbra, Inst Marine Res, Dept Life Sci, P-3001401 Coimbra, Portugal; [Xavier, J. C.] British Antarctic Survey, NERC, Cambridge CB3 0ET, England; [Agnew, D. J.] MRAG Ltd, London W1J 5PN, England</t>
  </si>
  <si>
    <t>Imperial College London; Universidade de Coimbra; UK Research &amp; Innovation (UKRI); Natural Environment Research Council (NERC); NERC British Antarctic Survey</t>
  </si>
  <si>
    <t>Roberts, J (corresponding author), Univ London Imperial Coll Sci Technol &amp; Med, Div Biol, Silwood Pk Campus,Buckhurst Rd, Ascot SL5 7PY, Berks, England.</t>
  </si>
  <si>
    <t>james.o.roberts@imperial.ac.uk</t>
  </si>
  <si>
    <t>Xavier, José/KFB-6739-2024</t>
  </si>
  <si>
    <t>/0000-0002-9621-6660</t>
  </si>
  <si>
    <t>Government of South Georgia; South Sandwich Islands; Foundation for Science and Technology; Ministry of Science, Technology and Higher Education (Portugal); NERC [bas0100025] Funding Source: UKRI; Natural Environment Research Council [bas0100025] Funding Source: researchfish</t>
  </si>
  <si>
    <t>Government of South Georgia; South Sandwich Islands; Foundation for Science and Technology; Ministry of Science, Technology and Higher Education (Portugal); NERC(UK Research &amp; Innovation (UKRI)Natural Environment Research Council (NERC)); Natural Environment Research Council(UK Research &amp; Innovation (UKRI)Natural Environment Research Council (NERC))</t>
  </si>
  <si>
    <t>The authors would like to thank G. Dolan (New Zealand Ministry of Fisheries) J. Fenaughty (Silvifish Resources Limited), A. Cameron and the crew of the San Aspiring (Sanford Limited) for assistance with sampling at sea. Also, A. Black (Marine Resources Assessment Group Ltd), L. Kenny, J. Ashburner, M. Belchier (all British Antarctic Survey) and S. Du Grave (Oxford Museum of Natural History) for assistance with sampling and taxonomic identification in the laboratory, as well as two anonymous referees for their useful comments on earlier versions of this manuscript. This work has the support of the Government of South Georgia and the South Sandwich Islands and the Foundation for Science and Technology, Ministry of Science, Technology and Higher Education (Portugal).</t>
  </si>
  <si>
    <t>0022-1112</t>
  </si>
  <si>
    <t>1095-8649</t>
  </si>
  <si>
    <t>J FISH BIOL</t>
  </si>
  <si>
    <t>J. Fish Biol.</t>
  </si>
  <si>
    <t>10.1111/j.1095-8649.2011.03005.x</t>
  </si>
  <si>
    <t>786VL</t>
  </si>
  <si>
    <t>WOS:000292335900010</t>
  </si>
  <si>
    <t>Sallée, JB; Speer, K; Rintoul, SR</t>
  </si>
  <si>
    <t>Sallee, J. B.; Speer, K.; Rintoul, S. R.</t>
  </si>
  <si>
    <t>Mean-flow and topographic control on surface eddy-mixing in the Southern Ocean</t>
  </si>
  <si>
    <t>JOURNAL OF MARINE RESEARCH</t>
  </si>
  <si>
    <t>ANTARCTIC CIRCUMPOLAR CURRENT; POLAR FRONT; GENERAL-CIRCULATION; MULTIPLE JETS; MIXED-LAYER; TRANSPORT; DIFFUSIVITY; TURBULENCE; SEA; TRAJECTORIES</t>
  </si>
  <si>
    <t>Surface cross-stream eddy diffusion in the Southern Ocean is estimated by monitoring dispersion of particles numerically advected with observed satellite altimetry velocity fields. To gain statistical significance and accuracy in the resolution of the jets, more than 1,5 million particles are released every 6 months over 16 years and advected for one year. Results are analyzed in a dynamic height coordinate system. Cross-stream eddy diffusion is highly inhomogenous. Diffusivity is larger on the equatorward flank of the Antarctic Circumpolar Current (ACC) along eddy stagnation bands, where eddy displacement speed approaches zero. Along such bands, diffusivities reach typical values of 3500 m(2) s(-1). Local maxima of about 8-12.10(3) m(2) s(-1) occur in the energetic western boundary current systems. In contrast, diffusivity is lower in the core of the Antarctic Circumpolar Current with values of 1500-3000 m(2) s(-1), and continues to decrease south of the main ACC system. The distribution of eddy diffusion is set at three scales: at circumpolar scale, the mean flow reduces diffusion in the ACC and enhances it on the equatorward side of the current; at basin scale, diffusion is enhanced in the energetic western boundary current extension regions; at regional scale, diffusion is enhanced in the wake of large topographic obstacles. We find that the zonally average structure of eddy diffusion can be explained by theory which takes mean flow into account; however, local values depend on eddy propagation, not simply described by a single wave speed, and topography.</t>
  </si>
  <si>
    <t>[Sallee, J. B.] British Antarctic Survey, Cambridge CB3 0ET, England; [Speer, K.] Florida State Univ, Dept Oceanog, Tallahassee, FL 32306 USA; [Rintoul, S. R.] CSIRO CMAR CAWCR ACE CRC, Hobart, Tas 7000, Australia</t>
  </si>
  <si>
    <t>UK Research &amp; Innovation (UKRI); Natural Environment Research Council (NERC); NERC British Antarctic Survey; State University System of Florida; Florida State University; Commonwealth Scientific &amp; Industrial Research Organisation (CSIRO)</t>
  </si>
  <si>
    <t>Sallée, JB (corresponding author), British Antarctic Survey, Madingley Rd, Cambridge CB3 0ET, England.</t>
  </si>
  <si>
    <t>jbsallee@gmail.com</t>
  </si>
  <si>
    <t>SALLEE, Jean baptiste/HDO-5355-2022; Rintoul, Stephen R/A-1471-2012; sallée, jean-baptiste/A-5837-2010</t>
  </si>
  <si>
    <t>Rintoul, Stephen R/0000-0002-7055-9876;</t>
  </si>
  <si>
    <t>NSF [OCE-0622670, OCE 0822075]; Antarctic Climate and Ecosystems Cooperative Research Centre (ACE-CRC); Australian Climate Change Science Program; Natural Environment Research Council [bas0100028] Funding Source: researchfish; NERC [bas0100028] Funding Source: UKRI; Directorate For Geosciences; Division Of Ocean Sciences [0927583] Funding Source: National Science Foundation</t>
  </si>
  <si>
    <t>NSF(National Science Foundation (NSF)); Antarctic Climate and Ecosystems Cooperative Research Centre (ACE-CRC)(Australian GovernmentDepartment of Industry, Innovation and ScienceCooperative Research Centres (CRC) Programme); Australian Climate Change Science Program; Natural Environment Research Council(UK Research &amp; Innovation (UKRI)Natural Environment Research Council (NERC)); NERC(UK Research &amp; Innovation (UKRI)Natural Environment Research Council (NERC)); Directorate For Geosciences; Division Of Ocean Sciences(National Science Foundation (NSF)NSF - Directorate for Geosciences (GEO))</t>
  </si>
  <si>
    <t>KS acknowledges support from NSF OCE-0622670 and NSF OCE 0822075, and dearly appreciated the outbursts of interest in observations that Melvin would come by to express from time to time. SR was supported by the Australian Government's Cooperative Research Centres Programme through the Antarctic Climate and Ecosystems Cooperative Research Centre (ACE-CRC) and by the Australian Climate Change Science Program. The authors thank L. L. Fu for providing the velocity of propagation of the ocean eddy variability.</t>
  </si>
  <si>
    <t>SEARS FOUNDATION MARINE RESEARCH</t>
  </si>
  <si>
    <t>NEW HAVEN</t>
  </si>
  <si>
    <t>YALE UNIV, KLINE GEOLOGY LAB, 210 WHITNEY AVENUE, NEW HAVEN, CT 06520-8109 USA</t>
  </si>
  <si>
    <t>0022-2402</t>
  </si>
  <si>
    <t>1543-9542</t>
  </si>
  <si>
    <t>J MAR RES</t>
  </si>
  <si>
    <t>J. Mar. Res.</t>
  </si>
  <si>
    <t>JUL-NOV</t>
  </si>
  <si>
    <t>4-6</t>
  </si>
  <si>
    <t>10.1357/002224011799849408</t>
  </si>
  <si>
    <t>909KB</t>
  </si>
  <si>
    <t>WOS:000301562300015</t>
  </si>
  <si>
    <t>Catry, P; Granadeiro, JP; Ramos, J; Phillips, RA; Oliveira, P</t>
  </si>
  <si>
    <t>Catry, Paulo; Granadeiro, Jose Pedro; Ramos, Jaime; Phillips, Richard A.; Oliveira, Paulo</t>
  </si>
  <si>
    <t>Either taking it easy or feeling too tired: old Cory's Shearwaters display reduced activity levels while at sea</t>
  </si>
  <si>
    <t>JOURNAL OF ORNITHOLOGY</t>
  </si>
  <si>
    <t>Calonectris diomedea; Senescence; Age; Long-lived bird; Selvagem</t>
  </si>
  <si>
    <t>AGE-RELATED DECLINE; LONG-LIVED BIRD; PHYSICAL-ACTIVITY; CALONECTRIS-DIOMEDEA; TERMINAL INVESTMENT; LOCOMOTOR-ACTIVITY; SENESCENCE; PERFORMANCE; BEHAVIOR; PHYTOHEMAGGLUTININ</t>
  </si>
  <si>
    <t>It has long been known that birds change their behaviour, reproductive performance and survival as they mature, including in the first few years after recruitment into the breeding population. However, and contrasting with the description of patterns of actuarial and reproductive senescence in later years, there are surprisingly few studies documenting changes in behaviour in old individuals. Such studies are important, as birds provide particularly interesting models for studying the biology of senescence. It has been suggested that, unlike mammals, birds may remain physically fit until an advanced age, yet this has limited empirical support. In this paper, we used activity (immersion) loggers to show that old (&gt; 26 years) Cory's Shearwaters Calonectris diomedea are less active when foraging at sea, spend more time resting on the water and have a smaller number of take-offs and landings during darkness, when compared to experienced mid-aged individuals (13-20 years old). Old individuals also tended to have reduced immune response against an experimental challenge using phytohaemagglutinin. These results are in line with observed reductions in activity levels with age in a wide range of non-avian taxa, and may suggest that old seabirds are physically less fit than younger individuals. Alternatively, old birds might simply be more experienced and their reduction in activity might reflect a strategic regulation of investment in different activities. Our study illustrates the potential for gaining insights into avian aging patterns and processes by looking into the behaviour of model organisms. We therefore encourage more research focusing on behavioural parameters that may reflect variations in physical condition or strategic choices, during both the breeding and non-breeding seasons.</t>
  </si>
  <si>
    <t>[Catry, Paulo] ISPA, Ecoethol Res Unit, P-1149041 Lisbon, Portugal; [Granadeiro, Jose Pedro] Museu Nacl Hist Nat, CESAM, Lisbon, Portugal; [Ramos, Jaime] Univ Coimbra, Dept Zool, IMAR Inst Marine Res, Coimbra, Portugal; [Phillips, Richard A.] British Antarctic Survey, Nat Environm Res Council, Cambridge CB3 0ET, England; [Oliveira, Paulo] Secretaria Reg Ambiente &amp; Recursos Nat, Serv Parque Nat Madeira, Funchal, Portugal</t>
  </si>
  <si>
    <t>Instituto Superior Psicologia Aplicada (ISPA); Universidade de Lisboa; Universidade de Coimbra; UK Research &amp; Innovation (UKRI); Natural Environment Research Council (NERC); NERC British Antarctic Survey</t>
  </si>
  <si>
    <t>Catry, P (corresponding author), ISPA, Ecoethol Res Unit, Rua Jardim Tabaco 34, P-1149041 Lisbon, Portugal.</t>
  </si>
  <si>
    <t>Ramos, Jaime A./B-6616-2018; Granadeiro, José Pedro/E-8060-2011; Catry, Paulo/I-5408-2013</t>
  </si>
  <si>
    <t>Ramos, Jaime A./0000-0002-9533-987X; Granadeiro, José Pedro/0000-0002-7207-3474; Catry, Paulo/0000-0003-3000-0522</t>
  </si>
  <si>
    <t>Fundacao para a Ciencia e a Tecnologia (FCT-Portugal) [PDCT/MAR/58778/2004]; FCT [BPD/11631/02, SFRH/BPD/30031/2006]; Programa Plurianual [331/94]; NERC [bas0100025] Funding Source: UKRI; Natural Environment Research Council [bas0100025] Funding Source: researchfish; Fundação para a Ciência e a Tecnologia [SFRH/BPD/30031/2006, PDCT/MAR/58778/2004] Funding Source: FCT</t>
  </si>
  <si>
    <t>Fundacao para a Ciencia e a Tecnologia (FCT-Portugal)(Fundacao para a Ciencia e a Tecnologia (FCT)); FCT(Fundacao para a Ciencia e a Tecnologia (FCT)); Programa Plurianual; NERC(UK Research &amp; Innovation (UKRI)Natural Environment Research Council (NERC)); Natural Environment Research Council(UK Research &amp; Innovation (UKRI)Natural Environment Research Council (NERC)); Fundação para a Ciência e a Tecnologia(Fundacao para a Ciencia e a Tecnologia (FCT))</t>
  </si>
  <si>
    <t>Parque Natural da Madeira, and particularly Dilia Menezes provided permissions to carry out the work and, together with the wardens at the Nature Reserve where this study took place, gave important logistical support. Hany Alonso, Rafael Matias, Maria Dias, Miguel Lecoq, Rui Rebelo, Filipe Moniz, Ana Leal, Ricardo Martins and others helped with fieldwork. The manuscript benefited from the comments of two anonymous referees. This study is an output from a project on the ecology and senescence in Cory's Shearwaters (PDCT/MAR/58778/2004) supported by Fundacao para a Ciencia e a Tecnologia (FCT-Portugal) and FEDER. P. Catry benefited from postdoctoral fellowships from FCT (BPD/11631/02 and SFRH/BPD/30031/2006) and further support was received through Programa Plurianual (UI&amp;D 331/94).</t>
  </si>
  <si>
    <t>2193-7192</t>
  </si>
  <si>
    <t>2193-7206</t>
  </si>
  <si>
    <t>J ORNITHOL</t>
  </si>
  <si>
    <t>J. Ornithol.</t>
  </si>
  <si>
    <t>10.1007/s10336-010-0616-7</t>
  </si>
  <si>
    <t>777HB</t>
  </si>
  <si>
    <t>WOS:000291605400005</t>
  </si>
  <si>
    <t>Dehnhard, N; Poisbleau, M; Demongin, L; Quillfeldt, P</t>
  </si>
  <si>
    <t>Dehnhard, Nina; Poisbleau, Maud; Demongin, Laurent; Quillfeldt, Petra</t>
  </si>
  <si>
    <t>Do leucocyte profiles reflect temporal and sexual variation in body condition over the breeding cycle in Southern Rockhopper Penguins?</t>
  </si>
  <si>
    <t>Southern Rockhopper Penguin; Breeding biology; Immunology; G/L ratios; Body condition; Stress</t>
  </si>
  <si>
    <t>REPRODUCING GREAT TITS; HEALTH STATE INDEXES; ECOLOGICAL FACTORS; PARUS-MAJOR; STRESS; CHRYSOCOME; CORTICOSTERONE; DIMORPHISM; HEMATOLOGY; CAPACITY</t>
  </si>
  <si>
    <t>Southern Rockhopper Penguins (Eudyptes chrysocome chrysocome) have a strongly synchronised breeding cycle with a fixed pattern of nest attendance for males and females. We studied leucocyte profiles and the development of granulocyte/lymphocyte (G/L) ratios as an indicator of stress. Variation in G/L ratios were related to sex and breeding stage, but not individual body condition. G/L ratios were similar for males and females during the first part of the incubation period (shared incubation, when males and females both attend the nest), but in the second part of the incubation (single incubation, only one adult attends the nest), females had significantly higher G/L ratios and a lower body condition than males. The lowest G/L ratios were recorded during the crSche of the chicks at the end of the breeding season. Our results show that G/L ratios in breeding Southern Rockhopper Penguins on the population-scale reflect the temporally and sexually different timing of fasting and refeeding related to the breeding cycle. However, this measurement was not sensitive enough to reveal an effect of body condition on G/L ratios on an individual scale.</t>
  </si>
  <si>
    <t>[Dehnhard, Nina; Poisbleau, Maud; Demongin, Laurent; Quillfeldt, Petra] Max Planck Inst Ornithol, Vogelwarte Radolfzell, D-78315 Radolfzell am Bodensee, Germany; [Poisbleau, Maud; Demongin, Laurent] Univ Antwerp, Dept Biol, B-2610 Antwerp, Belgium</t>
  </si>
  <si>
    <t>Max Planck Society; University of Antwerp</t>
  </si>
  <si>
    <t>Dehnhard, N (corresponding author), Max Planck Inst Ornithol, Vogelwarte Radolfzell, Schlossallee 2, D-78315 Radolfzell am Bodensee, Germany.</t>
  </si>
  <si>
    <t>dehnhard@orn.mpg.de</t>
  </si>
  <si>
    <t>Dehnhard, Nina/H-6160-2016; Quillfeldt, Petra/A-9549-2009; Poisbleau, Maud/B-9968-2014</t>
  </si>
  <si>
    <t>Dehnhard, Nina/0000-0002-4182-2698; Quillfeldt, Petra/0000-0002-4450-8688;</t>
  </si>
  <si>
    <t>Deutsche Forschungsgemeinschaft DFG [Qu 148/1-ff]</t>
  </si>
  <si>
    <t>Deutsche Forschungsgemeinschaft DFG(German Research Foundation (DFG))</t>
  </si>
  <si>
    <t>We are grateful to the New Island Conservation Trust for permission to work on the island. We thank Ian, Maria and Georgina Strange, and Dan Birch for their support during the field season. Thanks are also extended to Helen Otley, Falkland Islands Government and the British Antarctic Survey for logistic help. Our study was funded by a grant provided by the Deutsche Forschungsgemeinschaft DFG (Qu 148/1-ff). All work was approved by the Falkland Islands Government (Environmental Planning Office). We would like to thank Jill Lodde Greives and two anonymous referees for helpful comments on this manuscript.</t>
  </si>
  <si>
    <t>10.1007/s10336-011-0658-5</t>
  </si>
  <si>
    <t>WOS:000291605400027</t>
  </si>
  <si>
    <t>Lenn, YD; Chereskin, TK; Sprintall, J; McClean, JL</t>
  </si>
  <si>
    <t>Lenn, Yueng-Djern; Chereskin, Teresa K.; Sprintall, Janet; McClean, Julie L.</t>
  </si>
  <si>
    <t>Near-Surface Eddy Heat and Momentum Fluxes in the Antarctic Circumpolar Current in Drake Passage</t>
  </si>
  <si>
    <t>SOUTHERN-OCEAN; FLOAT OBSERVATIONS; MEAN FLOW; VARIABILITY; CIRCULATION; MODEL; DRIVEN; WIND; TEMPERATURE; TRANSPORT</t>
  </si>
  <si>
    <t>The authors present new estimates of the eddy momentum and heat fluxes from repeated high-resolution upper-ocean velocity and temperature observations in Drake Passage and interpret their role in the regional Antarctic Circumpolar Current (ACC) momentum balance. The observations span 7 yr and are compared to eddy fluxes estimated from a 3-yr set of output archived from an eddy-resolving global Parallel Ocean Program (POP) numerical simulation. In both POP and the observations, the stream-averaged cross-stream eddy momentum fluxes ((u'v') over bar) correspond to forcing consistent with both a potential vorticity flux into the axis of the Subantarctic Front (SAF) and a sharpening of all three main ACC fronts through Drake Passage. Further, the POP analysis indicates that the mean momentum advection terms reflect the steering of the mean ACC fronts and are not fully balanced by the eddy momentum forcing, which instead impacts the strength and number of ACC fronts. The comparison between POP and observed eddy heat fluxes was less favorable partly because of model bias in the water mass stratification. Observed cross-stream eddy heat fluxes ((v'T') over bar) are generally surface intensified and poleward in the ACC fronts, with values up to approximately -290 +/- 80 kW m(-2) in the Polar and Southern ACC Fronts. Interfacial form stresses F-T, derived from observed eddy heat fluxes in the SAF, show little depth dependence below the Ekman layer. Although F-T appears to balance the surface wind stress directly, the estimated interfacial form stress divergence is only an order of magnitude greater than the eddy momentum forcing in the SAF. Thus, although the eddy momentum forcing is of secondary importance in the momentum balance, its effect is not entirely negligible.</t>
  </si>
  <si>
    <t>[Lenn, Yueng-Djern] Bangor Univ, Sch Ocean Sci, Menai Bridge LL59 5AB, Anglesey, Wales; [Chereskin, Teresa K.; Sprintall, Janet; McClean, Julie L.] Univ Calif San Diego, Scripps Inst Oceanog, La Jolla, CA 92093 USA</t>
  </si>
  <si>
    <t>Bangor University; University of California System; University of California San Diego; Scripps Institution of Oceanography</t>
  </si>
  <si>
    <t>Lenn, YD (corresponding author), Bangor Univ, Sch Ocean Sci, Menai Bridge LL59 5AB, Anglesey, Wales.</t>
  </si>
  <si>
    <t>y.lenn@bangor.ac.uk</t>
  </si>
  <si>
    <t>Chereskin, Teresa/0000-0003-1214-0978; Lenn, Yueng-Djern/0000-0001-6031-523X</t>
  </si>
  <si>
    <t>National Science Foundation (NSF); Division of Ocean Sciences (OCE) [OPP-9816226/-0338103, OCE-0327544, OPP-0003618, OCE 0549225]; Office of Science, U.S Department of Energy [DE-FG02-05ER64119]; NERC [NE/H016007/1] Funding Source: UKRI; Natural Environment Research Council [NE/H016007/1] Funding Source: researchfish; Directorate For Geosciences; Office of Polar Programs (OPP) [0838750] Funding Source: National Science Foundation</t>
  </si>
  <si>
    <t>National Science Foundation (NSF)(National Science Foundation (NSF)); Division of Ocean Sciences (OCE)(National Science Foundation (NSF)NSF - Directorate for Geosciences (GEO)); Office of Science, U.S Department of Energy(United States Department of Energy (DOE)); NERC(UK Research &amp; Innovation (UKRI)Natural Environment Research Council (NERC)); Natural Environment Research Council(UK Research &amp; Innovation (UKRI)Natural Environment Research Council (NERC)); Directorate For Geosciences; Office of Polar Programs (OPP)(National Science Foundation (NSF)NSF - Directorate for Geosciences (GEO))</t>
  </si>
  <si>
    <t>We acknowledge the National Science Foundation (NSF) Office of Polar Programs (OPP) and Division of Ocean Sciences (OCE) for sponsoring the ADCP and XBT observing programs on the LMG and this research through Grants OPP-9816226/-0338103, OCE-0327544, OPP-0003618, and OCE 0549225. Additional support was provided by the Office of Science, U.S Department of Energy through Research Grant DE-FG02-05ER64119. The global POP simulation was carried out by Julie McClean and Matthew Maltrud (LANL) as part of a Department of Defense High Performance Computing Modernization Program (HPCMP) grand challenge grant at the Maui High Performance Computing Center (MHPCC). We are also grateful to the captain and crew of the ARSV Laurence M. Gould and to Raytheon Polar Services Corporation for their excellent technical and logistical support on the cruises. Eric Firing, Jules Hummon, and Sharon Escher have made invaluable contributions to the ADCP data collection, processing, and editing. Conversations with Sarah Gille, Paola Cessi, Alexa Griesel, Jeff Polton, and Chris Wilson have provided helpful additional insight into the problem.</t>
  </si>
  <si>
    <t>10.1175/JPO-D-10-05017.1</t>
  </si>
  <si>
    <t>802LP</t>
  </si>
  <si>
    <t>WOS:000293513200007</t>
  </si>
  <si>
    <t>Kawaguchi, S; Kilpatrick, R; Roberts, L; King, RA; Nicol, S</t>
  </si>
  <si>
    <t>Kawaguchi, So; Kilpatrick, Robbie; Roberts, Lisa; King, Robert A.; Nicol, Stephen</t>
  </si>
  <si>
    <t>Ocean-bottom krill sex</t>
  </si>
  <si>
    <t>JOURNAL OF PLANKTON RESEARCH</t>
  </si>
  <si>
    <t>Antarctic krill; mating behaviour; underwater camera; Southern Ocean; animation</t>
  </si>
  <si>
    <t>EUPHAUSIA-SUPERBA; ANTARCTIC KRILL</t>
  </si>
  <si>
    <t>For the first time the entire sequence of the mating behaviour of Antarctic krill (Euphausia superba) in the wild is captured on underwater video. This footage also provides evidence that mating can take place near the seafloor at depths of 400-700 m. This observation challenges the generally accepted concept of the pelagic lifestyle of krill. The mating behaviour observed most closely resembles the mating behaviour reported for a decapod shrimp (Penaeus). The implications of the new observation are also discussed.</t>
  </si>
  <si>
    <t>[Kawaguchi, So; Kilpatrick, Robbie; King, Robert A.; Nicol, Stephen] Australian Antarctic Div, Dept Sustainabil Environm Water Populat &amp; Communi, Kingston, Tas 7050, Australia</t>
  </si>
  <si>
    <t>Kawaguchi, S (corresponding author), Australian Antarctic Div, Dept Sustainabil Environm Water Populat &amp; Communi, Channel Highway, Kingston, Tas 7050, Australia.</t>
  </si>
  <si>
    <t>so.kawaguchi@aad.gov.au</t>
  </si>
  <si>
    <t>King, Robert/0000-0002-4650-2335; Kawaguchi, So/0000-0002-2042-5095; Roberts, Lisa/0000-0002-7570-7524</t>
  </si>
  <si>
    <t>Australian Antarctic Division, the Australian Fisheries Research and Development Corporation; Australian Fisheries Management Authority</t>
  </si>
  <si>
    <t>Australian Antarctic Division, the Australian Fisheries Research and Development Corporation(Fisheries R&amp;D Corp); Australian Fisheries Management Authority</t>
  </si>
  <si>
    <t>This work was supported by the Australian Antarctic Division, the Australian Fisheries Research and Development Corporation, industry stakeholders (Petuna Sealord and Austral Fisheries), and the Australian Fisheries Management Authority.</t>
  </si>
  <si>
    <t>0142-7873</t>
  </si>
  <si>
    <t>J PLANKTON RES</t>
  </si>
  <si>
    <t>J. Plankton Res.</t>
  </si>
  <si>
    <t>10.1093/plankt/fbr006</t>
  </si>
  <si>
    <t>Marine &amp; Freshwater Biology; Oceanography</t>
  </si>
  <si>
    <t>776NN</t>
  </si>
  <si>
    <t>Green Submitted, Green Published, hybrid</t>
  </si>
  <si>
    <t>WOS:000291542300013</t>
  </si>
  <si>
    <t>Holden, PB; Edwards, NR; Wolff, EW; Valdes, PJ; Singarayer, JS</t>
  </si>
  <si>
    <t>Holden, P. B.; Edwards, N. R.; Wolff, E. W.; Valdes, P. J.; Singarayer, J. S.</t>
  </si>
  <si>
    <t>The Mid-Brunhes Event and West Antarctic Ice Sheet stability</t>
  </si>
  <si>
    <t>Mid-Brunhes Event; West Antarctic Ice Sheet; interglacials; glacial cycles; GENIE</t>
  </si>
  <si>
    <t>CLIMATE VARIABILITY; SEA-LEVEL; BENEATH; RECORD; GREENLAND; COLLAPSE; EROSION; STREAMS</t>
  </si>
  <si>
    <t>The complex cyclical nature of Pleistocene climate, driven by the evolving orbital configuration of the Earth, is well known but not well understood. A major climatic transition took place at the Mid-Brunhes Event (MBE), ca. 430 ka ago after which the amplitude of the ca. 100 ka climate oscillations increased, with substantially warmer interglacials, including periods warmer than present. Recent modelling has indicated that while the timing of these warmer-than-present transient (WPT) events is consistent with southern warming clue to a deglaciation-forced slowdown of the Atlantic Meridional Overturning Circulation, the magnitude of warming requires a local amplification, for which a candidate is the feedback of significant West Antarctic Ice Sheet (WAIS) retreat. We here extend this argument, based on the absence of WPTs in the early ice core record (450-800 ka ago), to hypothesize that the MBE could be a manifestation of decreased WAIS stability, triggered by ongoing subglacial erosion. Copyright (C) 2011 John Wiley &amp; Sons, Ltd.</t>
  </si>
  <si>
    <t>[Holden, P. B.; Edwards, N. R.] Open Univ, Milton Keynes MK7 6AA, Bucks, England; [Wolff, E. W.] British Antarctic Survey, Cambridge CB3 0ET, England; [Valdes, P. J.; Singarayer, J. S.] Univ Bristol, Sch Geog Sci, Bristol BS8 1TH, Avon, England</t>
  </si>
  <si>
    <t>Open University - UK; UK Research &amp; Innovation (UKRI); Natural Environment Research Council (NERC); NERC British Antarctic Survey; University of Bristol</t>
  </si>
  <si>
    <t>Holden, PB (corresponding author), Open Univ, Milton Keynes MK7 6AA, Bucks, England.</t>
  </si>
  <si>
    <t>p.b.holden@open.ac.uk</t>
  </si>
  <si>
    <t>Wolff, Eric W/D-7925-2014; Holden, Philip/K-6152-2013; Valdes, Paul/T-2004-2019; Valdes, Paul J/C-4129-2013</t>
  </si>
  <si>
    <t>Wolff, Eric W/0000-0002-5914-8531; Holden, Philip/0000-0002-2369-0062; Valdes, Paul/0000-0002-1902-3283; Edwards, Neil/0000-0001-6045-8804</t>
  </si>
  <si>
    <t>UK Natural Environment Research Council through QUEST-DESIRE [NE/E007600/1]; NERC [NE/E007600/1, bas0100024] Funding Source: UKRI; Natural Environment Research Council [NE/E007600/1, bas0100024] Funding Source: researchfish</t>
  </si>
  <si>
    <t>UK Natural Environment Research Council through QUEST-DESIRE; NERC(UK Research &amp; Innovation (UKRI)Natural Environment Research Council (NERC)); Natural Environment Research Council(UK Research &amp; Innovation (UKRI)Natural Environment Research Council (NERC))</t>
  </si>
  <si>
    <t>This work was funded by the UK Natural Environment Research Council through QUEST-DESIRE (NE/E007600/1). We are grateful for the thorough reviews of two anonymous referees.</t>
  </si>
  <si>
    <t>10.1002/jqs.1525</t>
  </si>
  <si>
    <t>WOS:000293098300004</t>
  </si>
  <si>
    <t>Pugh, RS; McCave, IN</t>
  </si>
  <si>
    <t>Pugh, Robert S.; McCave, I. Nick</t>
  </si>
  <si>
    <t>PARTICLE SIZE MEASUREMENT OF DIATOMS WITH INFERENCE OF THEIR PROPERTIES: COMPARISON OF THREE TECHNIQUES</t>
  </si>
  <si>
    <t>JOURNAL OF SEDIMENTARY RESEARCH</t>
  </si>
  <si>
    <t>LASER-DIFFRACTION; SETTLING VELOCITY; SORTABLE SILT; CURRENT SPEED; SEDIMENTS; OCEAN; SHAPE; IRON; PALEOCEANOGRAPHY; AGGREGATION</t>
  </si>
  <si>
    <t>Diatom-rich sediments are common in several oceanic regions, especially the Southern Ocean. Some of these are strongly affected by bottom currents and are expected to be sorted by the flow. Examination of data on diatoms' response by instruments commonly used for size measurement is presented here. Diatoms are silt- to fine sand-size, filigree silica structures of many shapes with high porosity, thus both the bulk density and shape strongly influence the size that is calculated from measurements. We document the particle size of diatoms measured by instruments based on settling velocity (Sedigraph), electrical resistance pulse counting (Coulter counter), and laser diffraction (Malvern laser sizer). The Malvern laser consistently measures the largest diameters, followed by the Coulter counter and then settling-based techniques. Relationships between these inferred sizes (all expressed as quartz-equivalent spherical diameters) have implications for the physical properties of diatom tests. Earlier work has demonstrated that laser diffraction responds to the particles' external projected area. The effects of both low effective density and irregular shape of diatoms (compared with terrigenous grains) on their settling velocity causes the Sedigraph to indicate relatively small diameters. Shape effects are less pronounced for quasi-spherical diatom species. The Coulter counter records the diatoms' solid volume and is relatively unaffected by their density or shape. The measurement of different physical parameters by these instruments offers a basis for estimation of diatom porosity (fluid-occupied volume within the test). Measurements of the external diameter and solid volume allow estimates of porosity Phi. For (laser) sizes &gt; 20 mu m this Phi = 75-95%, which can be quite well modeled as a perforated spherical shell of wall thickness similar to 1-1.5 mu m. For paleocurrent interpretations, a settling-based technique makes Sedigraph measurements of particle size the most useful, but the visual size is best given by laser.</t>
  </si>
  <si>
    <t>[Pugh, Robert S.; McCave, I. Nick] Univ Cambridge, Dept Earth Sci, Godwin Lab Palaeoclimate Res, Cambridge CB2 3EQ, England; [Pugh, Robert S.] British Antarctic Survey, Cambridge CB3 0HT, England</t>
  </si>
  <si>
    <t>University of Cambridge; UK Research &amp; Innovation (UKRI); Natural Environment Research Council (NERC); NERC British Antarctic Survey</t>
  </si>
  <si>
    <t>Pugh, RS (corresponding author), Univ Cambridge, Dept Earth Sci, Godwin Lab Palaeoclimate Res, Downing St, Cambridge CB2 3EQ, England.</t>
  </si>
  <si>
    <t>mccave@esc.cam.ac.uk</t>
  </si>
  <si>
    <t>McCave, I. Nick/O-3992-2018; McCave, Nick N/G-7323-2016</t>
  </si>
  <si>
    <t>McCave, I. Nick/0000-0002-4702-5489; McCave, Nick N/0000-0002-4702-5489</t>
  </si>
  <si>
    <t>Natural Environment Research Council at Cambridge [NER/S/A/2003/11321]; NERC [bas0100026] Funding Source: UKRI; Natural Environment Research Council [bas0100026] Funding Source: researchfish</t>
  </si>
  <si>
    <t>Natural Environment Research Council at Cambridge; NERC(UK Research &amp; Innovation (UKRI)Natural Environment Research Council (NERC)); Natural Environment Research Council(UK Research &amp; Innovation (UKRI)Natural Environment Research Council (NERC))</t>
  </si>
  <si>
    <t>This work was completed during RSP's tenure of a Natural Environment Research Council Ph.D. studentship at Cambridge (NER/S/A/2003/11321). Dr. Carol Pudsey (formerly British Antarctic Survey) co-supervised the initial stages of the project and supplied the sediment samples. We are grateful to Gillian Foreman and Ian Marshall for laboratory assistance. We would also like to thank Dr. Claus-Dieter Hillenbrand, Dr. Carol Pudsey, and Prof. Paul Komar for helpful comments on earlier versions of this manuscript. We are most grateful for the time and attention paid by reviewers Simon Blott and Sarah Spaulding and editor Kyle Straub on an admittedly somewhat obscure topic, which has proved most helpful.</t>
  </si>
  <si>
    <t>SEPM-SOC SEDIMENTARY GEOLOGY</t>
  </si>
  <si>
    <t>TULSA</t>
  </si>
  <si>
    <t>6128 EAST 38TH ST, STE 308, TULSA, OK 74135-5814 USA</t>
  </si>
  <si>
    <t>1527-1404</t>
  </si>
  <si>
    <t>1938-3681</t>
  </si>
  <si>
    <t>J SEDIMENT RES</t>
  </si>
  <si>
    <t>J. Sediment. Res.</t>
  </si>
  <si>
    <t>7-8</t>
  </si>
  <si>
    <t>10.2110/jsr.2011.43</t>
  </si>
  <si>
    <t>794LQ</t>
  </si>
  <si>
    <t>WOS:000292898800010</t>
  </si>
  <si>
    <t>Ravindra, R; Mohan, R</t>
  </si>
  <si>
    <t>Ravindra, Rasik; Mohan, Rahul</t>
  </si>
  <si>
    <t>Three Decades of Polar Science in India</t>
  </si>
  <si>
    <t>[Ravindra, Rasik; Mohan, Rahul] Natl Ctr Antarctic &amp; Ocean Res, Vasco Da Gama 403804, Goa, India</t>
  </si>
  <si>
    <t>Ravindra, R (corresponding author), Natl Ctr Antarctic &amp; Ocean Res, Vasco Da Gama 403804, Goa, India.</t>
  </si>
  <si>
    <t>rasik@ncaor.org; rahulmohangupta@gmail.com</t>
  </si>
  <si>
    <t>10.1007/s12594-011-0060-1</t>
  </si>
  <si>
    <t>WOS:000295167800001</t>
  </si>
  <si>
    <t>Pond, DW; Tarling, GA</t>
  </si>
  <si>
    <t>Pond, David W.; Tarling, Geraint A.</t>
  </si>
  <si>
    <t>Phase transitions of wax esters adjust buoyancy in diapausing Calanoides acutus</t>
  </si>
  <si>
    <t>LIMNOLOGY AND OCEANOGRAPHY</t>
  </si>
  <si>
    <t>CALANUS-FINMARCHICUS; LIFE-CYCLE; MARINE COPEPOD; NORTH-ATLANTIC; SPERM WHALE; FATTY-ACIDS; OCEAN; LIPIDS; SEA; ZOOPLANKTON</t>
  </si>
  <si>
    <t>We study the composition and biophysical properties of wax esters extracted from the Antarctic copepod, Calanoides acutus, to explore if these factors adjust buoyancy in diapausing copepods. Levels of wax ester in the copepods were correlated with depth, with deeper animals containing higher amounts. An unsaturation index was used to determine the proportions of polyunsaturated wax esters in the oil sac of the copepods. The proportion of polyunsaturated wax ester in copepods that had descended to depth was always close to 50% and attributable to high amounts of the diatom biomarker fatty acid 20:5(n-3) contained in these storage lipids. High-pressure differential scanning calorimetry indicated that wax esters with such high levels of unsaturation exhibited unusual properties, changing from a liquid to a solid phase at pressures and temperatures below 500 m in the ocean. The dense, solid wax esters reduce the overall buoyancy of the lipid-rich copepods at depth and help facilitate neutral buoyancy. The composition of wax esters is a key factor in buoyancy control in these organisms during diapause.</t>
  </si>
  <si>
    <t>[Pond, David W.; Tarling, Geraint A.] British Antarctic Survey, Nat Environm Res Council, Cambridge CB3 0ET, England</t>
  </si>
  <si>
    <t>Pond, DW (corresponding author), British Antarctic Survey, Nat Environm Res Council, Cambridge CB3 0ET, England.</t>
  </si>
  <si>
    <t>dwpo@bas.ac.uk</t>
  </si>
  <si>
    <t>British Antarctic Survey; Natural Environment Research Council [bas0100025] Funding Source: researchfish; NERC [bas0100025] Funding Source: UKRI</t>
  </si>
  <si>
    <t>British Antarctic Survey; Natural Environment Research Council(UK Research &amp; Innovation (UKRI)Natural Environment Research Council (NERC)); NERC(UK Research &amp; Innovation (UKRI)Natural Environment Research Council (NERC))</t>
  </si>
  <si>
    <t>This research was funded under the British Antarctic Survey 'Ecosystem' programme.</t>
  </si>
  <si>
    <t>AMER SOC LIMNOLOGY OCEANOGRAPHY</t>
  </si>
  <si>
    <t>WACO</t>
  </si>
  <si>
    <t>5400 BOSQUE BLVD, STE 680, WACO, TX 76710-4446 USA</t>
  </si>
  <si>
    <t>0024-3590</t>
  </si>
  <si>
    <t>LIMNOL OCEANOGR</t>
  </si>
  <si>
    <t>Limnol. Oceanogr.</t>
  </si>
  <si>
    <t>10.4319/lo.2011.56.4.1310</t>
  </si>
  <si>
    <t>Limnology; Oceanography</t>
  </si>
  <si>
    <t>816LZ</t>
  </si>
  <si>
    <t>WOS:000294603400011</t>
  </si>
  <si>
    <t>Schmidt, K; Atkinson, A; Steigenberger, S; Fielding, S; Lindsay, MCM; Pond, DW; Tarling, GA; Klevjer, TA; Allen, CS; Nicol, S; Achterberg, EP</t>
  </si>
  <si>
    <t>Schmidt, Katrin; Atkinson, Angus; Steigenberger, Sebastian; Fielding, Sophie; Lindsay, Margaret C. M.; Pond, David W.; Tarling, Geraint A.; Klevjer, Thor A.; Allen, Claire S.; Nicol, Stephen; Achterberg, Eric P.</t>
  </si>
  <si>
    <t>Seabed foraging by Antarctic krill: Implications for stock assessment, bentho-pelagic coupling, and the vertical transfer of iron</t>
  </si>
  <si>
    <t>SOUTH SHETLAND ISLANDS; EUPHAUSIA-SUPERBA; SCOTIA SEA; FEEDING-BEHAVIOR; TROPHIC ECOLOGY; ROSS SEA; DIET; FOOD; ICE; ZOOPLANKTON</t>
  </si>
  <si>
    <t>A compilation of more than 30 studies shows that adult Antarctic krill (Euphausia superba) may frequent benthic habitats year-round, in shelf as well as oceanic waters and throughout their circumpolar range. Net and acoustic data from the Scotia Sea show that in summer 2-20% of the population reside at depths between 200 and 2000 m, and that large aggregations can form above the seabed. Local differences in the vertical distribution of krill indicate that reduced feeding success in surface waters, either due to predator encounter or food shortage, might initiate such deep migrations and results in benthic feeding. Fatty acid and microscopic analyses of stomach content confirm two different foraging habitats for Antarctic krill: the upper ocean, where fresh phytoplankton is the main food source, and deeper water or the seabed, where detritus and copepods are consumed. Krill caught in upper waters retain signals of benthic feeding, suggesting frequent and dynamic exchange between surface and seabed. Krill contained up to 260 nmol iron per stomach when returning from seabed feeding. About 5% of this iron is labile, i.e., potentially available to phytoplankton. Due to their large biomass, frequent benthic feeding, and acidic digestion of particulate iron, krill might facilitate an input of new iron to Southern Ocean surface waters. Deep migrations and foraging at the seabed are significant parts of krill ecology, and the vertical fluxes involved in this behavior are important for the coupling of benthic and pelagic food webs and their elemental repositories.</t>
  </si>
  <si>
    <t>[Schmidt, Katrin; Atkinson, Angus; Fielding, Sophie; Pond, David W.; Tarling, Geraint A.; Allen, Claire S.] British Antarctic Survey, Nat Environm Res Council, Cambridge CB3 0ET, England; [Steigenberger, Sebastian; Achterberg, Eric P.] Univ Southampton, Natl Oceanog Ctr Southampton, Southampton, Hants, England; [Lindsay, Margaret C. M.; Nicol, Stephen] Australian Antarctic Div, Kingston, Tas, Australia; [Klevjer, Thor A.] Univ Oslo, Dept Biol, Oslo, Norway</t>
  </si>
  <si>
    <t>UK Research &amp; Innovation (UKRI); Natural Environment Research Council (NERC); NERC British Antarctic Survey; NERC National Oceanography Centre; University of Southampton; Australian Antarctic Division; University of Oslo</t>
  </si>
  <si>
    <t>Schmidt, K (corresponding author), British Antarctic Survey, Nat Environm Res Council, Cambridge CB3 0ET, England.</t>
  </si>
  <si>
    <t>kasc@bas.ac.uk</t>
  </si>
  <si>
    <t>Achterberg, Eric P/C-5820-2009; Fielding, Sophie/E-5137-2012; Atkinson, Angus/HOH-3417-2023</t>
  </si>
  <si>
    <t>Natural Environment Research Council [AFI5/09]; British Antarctic Survey; Natural Environment Research Council [NE/E006833/1, bas0100025, NE/F014635/1, NE/F01547X/1] Funding Source: researchfish; NERC [NE/F01547X/1, NE/E006833/1, bas0100025, NE/F014635/1] Funding Source: UKRI</t>
  </si>
  <si>
    <t>Natural Environment Research Council(UK Research &amp; Innovation (UKRI)Natural Environment Research Council (NERC)); British Antarctic Survey; Natural Environment Research Council(UK Research &amp; Innovation (UKRI)Natural Environment Research Council (NERC)); NERC(UK Research &amp; Innovation (UKRI)Natural Environment Research Council (NERC))</t>
  </si>
  <si>
    <t>Special thanks to A. Clarke, J. Gutt, P. Tyler, D. Bowden, and D. Gerdes for providing unpublished information on E. superba at the seabed. We thank J. Roe, J. Watt, A. Prior, L. Jones, C. Charman, M. Belchier, M. Collins, K. Ross, and S. Clarke for sampling krill during their cruises. A. Milton and M. Patey gave technical support during trace metal analysis. We are grateful to V. Siegel and E. Pakhomov for supplying vertical krill distribution data to the krillbase'' dataset, and to H. Venables, E. Pakhomov, and two anonymous reviewers for constructive discussion of our results. The photographic survey off Terre Adelie was part of the International Polar Year project Census of Marine Life Collaborative (CEAMARC voyage 1). This study was funded by the Natural Environment Research Council grant AFI5/09 and the Discovery 2010 Programme of the British Antarctic Survey.</t>
  </si>
  <si>
    <t>1939-5590</t>
  </si>
  <si>
    <t>10.4319/lo.2011.56.4.1411</t>
  </si>
  <si>
    <t>WOS:000294603400019</t>
  </si>
  <si>
    <t>Macdonald, R; Baginski, B; Leat, PT; White, JC; Dzierzanowski, P</t>
  </si>
  <si>
    <t>Macdonald, R.; Baginski, B.; Leat, P. T.; White, J. C.; Dzierzanowski, P.</t>
  </si>
  <si>
    <t>Mineral stability in peralkaline silicic rocks: Information from trachytes of the Menengai volcano, Kenya</t>
  </si>
  <si>
    <t>LITHOS</t>
  </si>
  <si>
    <t>Menengai volcano; Peralkaline trachytes and rhyolites; Mineral stability fields; Mineral composition; QUILF</t>
  </si>
  <si>
    <t>FELDSPAR-LIQUID EQUILIBRIA; MCDERMITT CALDERA COMPLEX; EAST-AFRICAN RIFT; MN-TI OXIDES; TRACE-ELEMENT; FRACTIONAL CRYSTALLIZATION; EXPERIMENTAL CONSTRAINTS; ETHIOPIAN RIFT; CANARY-ISLANDS; NEVADA-OREGON</t>
  </si>
  <si>
    <t>Electron microprobe analyses are presented for phenocrysts and matrix glass in peralkaline, silica-oversaturated trachytes from the Menengai volcano, Kenya Rift Valley. The dominant phenocryst assemblage is alkali feldspar-hedenbergite-fayalite-titanomagnetite-apatite. Aenigmatite. amphibole and quartz occur rarely in more peralkaline rocks. QUILF calculations indicate that the trachytic magmas crystallised at temperatures of 854-870 degrees C. at relatively low oxidation states (Delta FMQ -1.6 to -1.7) and silica activity (a(SiO2) (Qtz) of 0.60-0.66). The new analyses are used, along with published data, to outline the distribution of the main phases in the compositional spectrum of peralkaline quartz trachytes and rhyolites. There is uncertainty about the nature, or even existence, of a low-temperature zone in the alkali feldspar primary phase region, the equivalent of the thermal valley in the haplogranite system. Quartz phenocrysts may appear early or late in the crystallisation sequence, even in rocks of similar bulk composition, its appearance perhaps being a function of the F content of the melts. Whereas hedenbergite and fayalite show fairly systematic compositional trends with increasing host rock peralkalinity. amphibole compositions are variable, for reasons not yet understood. Aenigmatite crystallisation is at least partly controlled by oxygen fugacity and silica activity. With rare exceptions, ilmenite and titanomagnetite are incompatible phases but the factors controlling their relative stabilities are not clear. It appears that peralkaline trachyte-rhyolite sequences evolve along many crystallisation paths, the paths perhaps being strongly influenced by pH(2)O, pF(2), melt F/Cl ratios and perhaps total pressure. (C) 2011 Elsevier B.V. All rights reserved.</t>
  </si>
  <si>
    <t>[Macdonald, R.; Baginski, B.; Dzierzanowski, P.] Univ Warsaw, IGMiP Fac Geol, PL-02089 Warsaw, Poland; [Macdonald, R.] Univ Lancaster, Ctr Environm, Lancaster LA1 4YQ, England; [Leat, P. T.] British Antarctic Survey, Cambridge CB3 0ET, England; [White, J. C.] Eastern Kentucky Univ, Dept Geog &amp; Geol, Richmond, KY 40475 USA</t>
  </si>
  <si>
    <t>University of Warsaw; Lancaster University; UK Research &amp; Innovation (UKRI); Natural Environment Research Council (NERC); NERC British Antarctic Survey; Eastern Kentucky University</t>
  </si>
  <si>
    <t>Macdonald, R (corresponding author), Univ Warsaw, IGMiP Fac Geol, Al Zwirki &amp; Wigury 93, PL-02089 Warsaw, Poland.</t>
  </si>
  <si>
    <t>r.macdonald@lancaster.ac.uk</t>
  </si>
  <si>
    <t>Baginski, Boguslaw/0000-0002-5809-3452</t>
  </si>
  <si>
    <t>University of Warsaw [BSt 1536/4 IGMiP 2010]; NERC [bas0100026] Funding Source: UKRI; Natural Environment Research Council [bas0100026] Funding Source: researchfish</t>
  </si>
  <si>
    <t>University of Warsaw; NERC(UK Research &amp; Innovation (UKRI)Natural Environment Research Council (NERC)); Natural Environment Research Council(UK Research &amp; Innovation (UKRI)Natural Environment Research Council (NERC))</t>
  </si>
  <si>
    <t>We gratefully acknowledge financial support through University of Warsaw grant number BSt 1536/4 IGMiP 2010. We thank an anonymous journal reviewer for helpful comments on the original manuscript.</t>
  </si>
  <si>
    <t>0024-4937</t>
  </si>
  <si>
    <t>Lithos</t>
  </si>
  <si>
    <t>10.1016/j.lithos.2011.03.011</t>
  </si>
  <si>
    <t>Geochemistry &amp; Geophysics; Mineralogy</t>
  </si>
  <si>
    <t>791KH</t>
  </si>
  <si>
    <t>WOS:000292663600035</t>
  </si>
  <si>
    <t>Grange, LJ; Tyler, PA; Peck, LS</t>
  </si>
  <si>
    <t>Grange, Laura J.; Tyler, Paul A.; Peck, Lloyd S.</t>
  </si>
  <si>
    <t>Multi-year observations on the gametogenic ecology of the Antarctic seastar Odontaster validus (vol 153, pg 15, 2007)</t>
  </si>
  <si>
    <t>[Grange, Laura J.; Tyler, Paul A.] Univ Southampton, Sch Ocean &amp; Earth Sci, NOC, Southampton SO14 3ZH, Hants, England; [Peck, Lloyd S.] British Antarctic Survey, Cambridge CB3 0ET, England</t>
  </si>
  <si>
    <t>Grange, LJ (corresponding author), Univ Southampton, Sch Ocean &amp; Earth Sci, NOC, Southampton SO14 3ZH, Hants, England.</t>
  </si>
  <si>
    <t>laura_grange@hotmail.com</t>
  </si>
  <si>
    <t>10.1007/s00227-011-1683-x</t>
  </si>
  <si>
    <t>781HT</t>
  </si>
  <si>
    <t>WOS:000291922200020</t>
  </si>
  <si>
    <t>Harris, PT; Whiteway, T</t>
  </si>
  <si>
    <t>Harris, Peter T.; Whiteway, Tanya</t>
  </si>
  <si>
    <t>Global distribution of large submarine canyons: Geomorphic differences between active and passive continental margins</t>
  </si>
  <si>
    <t>MARINE GEOLOGY</t>
  </si>
  <si>
    <t>Submarine canyons; Geomorphology; Global; Active continental margin; Passive continental margin; Benthic ecology; Conservation</t>
  </si>
  <si>
    <t>LATE CENOZOIC EVOLUTION; TURBIDITY CURRENTS; RIVER SEDIMENT; INDIAN-OCEAN; BLACK-SEA; SLOPE; WATER; COMMUNITIES; EROSION; CLASSIFICATION</t>
  </si>
  <si>
    <t>The aim of this study is to assess the global occurrence of large submarine canyons to provide context and guidance for discussions regarding canyon occurrence, distribution, geological and oceanographic significance and conservation. Based on an analysis of the ETOPO1 data set, this study has compiled the first inventory of 5849 separate large submarine canyons in the world ocean. Active continental margins contain 15% more canyons (2586, equal to 44.2% of all canyons) than passive margins (2244, equal to 38.4%) and the canyons are steeper, shorter, more dendritic and more closely spaced on active than on passive continental margins. This study confirms observations of earlier workers that a relationship exists between canyon slope and canyon spacing (increased canyon slope correlates with closer canyon spacing). The greatest canyon spacing occurs in the Arctic and the Antarctic whereas canyons are more closely spaced in the Mediterranean than in other areas. River-associated, shelf-incising canyons are more numerous on active continental margins (n = 119) than on passive margins (n = 34). They are most common on the western margins of South and North America where they comprise 11.7% and 8.6% of canyons respectively, but are absent from the margins of Australia and Antarctica. Geographic areas having relatively high rates of sediment export to continental margins, from either glacial or fluvial sources operating over geologic timescales, have greater numbers of shelf-incising canyons than geographic areas having relatively low rates of sediment export to continental margins. This observation is consistent with the origins of some canyons being related to erosive turbidity flows derived from fluvial and shelf sediment sources. Other workers have shown that benthic ecosystems in shelf-incising canyons contain greater diversity and biomass than non-incising canyons, and that ecosystems located above 1500 m water depth are more vulnerable to destructive fishing practices (bottom trawling) and ocean acidification caused by anthropogenic climate change. The present study provides the means to assess the relative significance of canyons located in different geographic regions. On this basis, the importance of conservation for submarine canyon ecosystems is greater for Australia, islands and northeast Asia than for other regions. Crown Copyright (C) 2011 Published by Elsevier B.V. All rights reserved.</t>
  </si>
  <si>
    <t>[Harris, Peter T.; Whiteway, Tanya] Geosci Australia, Marine &amp; Coastal Environm Grp, Canberra, ACT 2601, Australia</t>
  </si>
  <si>
    <t>Geoscience Australia</t>
  </si>
  <si>
    <t>Harris, PT (corresponding author), Geosci Australia, Marine &amp; Coastal Environm Grp, GPO Box 378, Canberra, ACT 2601, Australia.</t>
  </si>
  <si>
    <t>Peter.Harris@ga.gov.au</t>
  </si>
  <si>
    <t>Harris, Peter T/C-6997-2009; Harris, Peter/AAI-7100-2020</t>
  </si>
  <si>
    <t>Australian Government</t>
  </si>
  <si>
    <t>Australian Government(Australian Government)</t>
  </si>
  <si>
    <t>Thanks to Peter Butler, Chris Lawson, Lachlan Hatch and Murray Woods (Geoscience Australia) for assistance with canyon digitising. The paper was improved by reviews provided by Dan Orange (Niko Resources Ltd., Indonesia), Neil Mitchell (University of Manchester, U.K.), Nic Bax (CSIRO, Australia), and Scott Nichol (Geoscience Australia). This research was conducted with the support of funding from the Australian Government's Commonwealth Environment Research Facilities (CERF) programme and is a contribution of the CERF Marine Biodiversity Hub. This paper is published with the permission of the Chief Executive Officer, Geoscience Australia.</t>
  </si>
  <si>
    <t>0025-3227</t>
  </si>
  <si>
    <t>1872-6151</t>
  </si>
  <si>
    <t>MAR GEOL</t>
  </si>
  <si>
    <t>Mar. Geol.</t>
  </si>
  <si>
    <t>10.1016/j.margeo.2011.05.008</t>
  </si>
  <si>
    <t>Geosciences, Multidisciplinary; Oceanography</t>
  </si>
  <si>
    <t>Geology; Oceanography</t>
  </si>
  <si>
    <t>799VR</t>
  </si>
  <si>
    <t>WOS:000293314700006</t>
  </si>
  <si>
    <t>Mate, BR; Best, PB; Lagerquist, BA; Winsor, MH</t>
  </si>
  <si>
    <t>Mate, B. R.; Best, P. B.; Lagerquist, B. A.; Winsor, M. H.</t>
  </si>
  <si>
    <t>Coastal, offshore, and migratory movements of South African right whales revealed by satellite telemetry</t>
  </si>
  <si>
    <t>MARINE MAMMAL SCIENCE</t>
  </si>
  <si>
    <t>foraging; movements; migration; Argos telemetry; Eubalaena australis; southern right whale; South Africa; Subtropical Convergence; Antarctic Polar Front</t>
  </si>
  <si>
    <t>ATLANTIC RIGHT WHALES; EUBALAENA-AUSTRALIS; MEGAPTERA-NOVAEANGLIAE; SITE FIDELITY; FIN WHALES; WEST-COAST; DIVE; BEHAVIOR; ISLAND; LOCATIONS</t>
  </si>
  <si>
    <t>In September 2001, 21 satellite-monitored radio tags were deployed on southern right whales in South African waters, 15 of which transmitted for 25-161 d. Most coastwise movement on the south coast occurred in a westerly direction with cow-calf pairs moving slowest. Three whales tagged on the west coast and one tagged on the south coast moved north into St Helena Bay, a probable feeding ground, where residence times were 36-100 d. Five animals tracked after leaving the coast maintained a bearing of 201 degrees-220 degrees before branching out over the southeast Atlantic from 37 degrees to 60 degrees S and between 13 degrees W and 16 degrees E, traveling 3,800-8,200 km over the ensuing 53-110 d before transmissions ceased. Their locations were categorized as migrating or nonmigrating based on the relative orientation of the track and net speed. An average of 42% of nonmigrating locations were between 37 degrees S and 45 degrees S, and 53% were south of 52 degrees S, possibly associated with the Subtropical Convergence and Antarctic Polar Front, respectively. Whaling data suggest right whales fed largely on copepods at the former and euphausiids at the latter. If the nonmigrating locations represented feeding at these frontal zones, switching between them would seem to have obvious cost-benefit implications.</t>
  </si>
  <si>
    <t>[Mate, B. R.; Lagerquist, B. A.; Winsor, M. H.] Oregon State Univ, Marine Mammal Inst, Newport, OR 97365 USA; [Best, P. B.] Univ Pretoria, Mammal Res Inst, Iziko S African Museum, ZA-8000 Cape Town, South Africa</t>
  </si>
  <si>
    <t>Oregon State University; University of Pretoria</t>
  </si>
  <si>
    <t>Mate, BR (corresponding author), Oregon State Univ, Marine Mammal Inst, 2030 SE Marine Sci Dr, Newport, OR 97365 USA.</t>
  </si>
  <si>
    <t>bruce.mate@oregonstate.edu</t>
  </si>
  <si>
    <t>National Research Foundation of South Africa [2047517]; National Oceanic and Atmospheric Administration through the Northeast Consortium, based at the University of New Hampshire [NA16FL1324]; U.S. Office of Naval Research</t>
  </si>
  <si>
    <t>National Research Foundation of South Africa(National Research Foundation - South Africa); National Oceanic and Atmospheric Administration through the Northeast Consortium, based at the University of New Hampshire; U.S. Office of Naval Research(Office of Naval Research)</t>
  </si>
  <si>
    <t>We thank E. Beukes and M. Thornton for kindly allowing B. A. L. to drive their boat during tagging and M. L. Mate for recording tag applications on video to evaluate tag attachment characteristics. Accommodation at the Military Academy, Saldanha, was provided by arrangement with the Dean, Prof. J. Malan, and the Commandant, Brigadier-General S. Mollo. C. Veness (Movable Type Scripts, Cambridge, UK) provided invaluable assistance with calculating distances and bearings between locations. P. B. B. acknowledges the support of the National Research Foundation of South Africa (GUN number 2047517). B. R. M. acknowledges the support of the National Oceanic and Atmospheric Administration through the Northeast Consortium, based at the University of New Hampshire (Grant #NA16FL1324), the U.S. Office of Naval Research, and donors to the Oregon State University Endowed Marine Mammal Program. All tagging was done under a permit issued to P.B.B. by the South African Department of Environmental Affairs and Tourism in terms of Regulation 58 of the Marine Living Resources Act (no. 18 of 1998) dated 10 January 2001. The Oregon State University Animal Care and Use Committee approved this research.</t>
  </si>
  <si>
    <t>0824-0469</t>
  </si>
  <si>
    <t>MAR MAMMAL SCI</t>
  </si>
  <si>
    <t>Mar. Mamm. Sci.</t>
  </si>
  <si>
    <t>10.1111/j.1748-7692.2010.00412.x</t>
  </si>
  <si>
    <t>Marine &amp; Freshwater Biology; Zoology</t>
  </si>
  <si>
    <t>793LU</t>
  </si>
  <si>
    <t>WOS:000292825200009</t>
  </si>
  <si>
    <t>Lowther, AD; Goldsworthy, SD</t>
  </si>
  <si>
    <t>Lowther, Andrew D.; Goldsworthy, S. D.</t>
  </si>
  <si>
    <t>Detecting alternate foraging ecotypes in Australian sea lion (Neophoca cinerea) colonies using stable isotope analysis</t>
  </si>
  <si>
    <t>otariid; stable isotopes; foraging ecotypes; foraging behavior; Australian sea lion; sea lion; seal; population structure; whiskers; blood</t>
  </si>
  <si>
    <t>CALLORHINUS-URSINUS; NITROGEN-ISOTOPE; CARBON ISOTOPES; DIVING BEHAVIOR; ELEPHANT SEALS; ECOLOGY; DIET; ONTOGENY; FRACTIONATION; RATIOS</t>
  </si>
  <si>
    <t>Stable carbon (delta C-13) and nitrogen (delta N-15) isotopes are used frequently to describe the trophic ecology of top marine mammal predators. Australian sea lions (Neophoca cinerea) are one of the world's rarest otariid seals and exhibit the highest levels of natal site philopatry of any seal. We report the development of a screening technique to identify different foraging ecotypes and assess their relative frequencies in Australian sea lion breeding colonies using stable isotope ratios in pups. Geospatial and dive data from 15 adult females at three breeding colonies revealed alternate foraging strategies (inshore and offshore foraging) that were reflected in significant changes in delta C-13 and delta N-15. Isotope fractionation from mother to pup was validated using paired whisker and blood serum samples with no significant difference between delta C-13 and delta N-15 enrichment of + 1.27 parts per thousand (whiskers) and + 1.92 parts per thousand (blood serum) from mothers to pups. Isotope ratios from whisker samples representing over 50% of pups born at three colonies revealed significant intercolony differences in maternal foraging ecotype frequencies. These results are unique in that ecological partitioning over such a small spatial scale has not been described in any other otariid species.</t>
  </si>
  <si>
    <t>[Lowther, Andrew D.] Univ Adelaide, Sch Earth &amp; Environm Sci, Adelaide, SA 5004, Australia; [Lowther, Andrew D.; Goldsworthy, S. D.] S Australian Res &amp; Dev Inst Aquat Sci, Henley Beach, SA 5022, Australia</t>
  </si>
  <si>
    <t>University of Adelaide</t>
  </si>
  <si>
    <t>Lowther, AD (corresponding author), Univ Adelaide, Sch Earth &amp; Environm Sci, Adelaide, SA 5004, Australia.</t>
  </si>
  <si>
    <t>andrew.lowther@adelaide.edu.au</t>
  </si>
  <si>
    <t>Lowther, Andrew/T-2511-2019</t>
  </si>
  <si>
    <t>Lowther, Andrew/0000-0003-4294-3157; Goldsworthy, Simon/0000-0003-4988-9085</t>
  </si>
  <si>
    <t>Department of Environment, Water, Heritage; Arts' Australian Marine Mammal Centre, Australian Antarctic Division; Sea World Research and Rescue Foundation Inc; Holsworth Widlife Research Endowment</t>
  </si>
  <si>
    <t>All animal handling and experimentation were performed under Department of Environment and Heritage scientific permit #A24684-7 and University of Adelaide animal ethics permit #S-010-2008. Research was funded through the Department of Environment, Water, Heritage, and the Arts' Australian Marine Mammal Centre, Australian Antarctic Division and the Commonwealth Environment Research Facilities (CERF) program, Sea World Research and Rescue Foundation Inc and the Holsworth Widlife Research Endowment. We acknowledge the logistical assistance of the South Australian Department of Environment and Heritage rangers and the South Australian State Emergency Services. We would also like to thank R. Harcourt and three anonymous reviewers for feedback, which improved the manuscript.</t>
  </si>
  <si>
    <t>1748-7692</t>
  </si>
  <si>
    <t>10.1111/j.1748-7692.2010.00425.x</t>
  </si>
  <si>
    <t>WOS:000292825200014</t>
  </si>
  <si>
    <t>Ware, C; Friedlaender, AS; Nowacek, DP</t>
  </si>
  <si>
    <t>Ware, Colin; Friedlaender, Ari S.; Nowacek, Douglas P.</t>
  </si>
  <si>
    <t>Shallow and deep lunge feeding of humpback whales in fjords of the West Antarctic Peninsula</t>
  </si>
  <si>
    <t>kinematics; lunge feeding; humpback whale; Megaptera novaeangliae</t>
  </si>
  <si>
    <t>MEGAPTERA-NOVAEANGLIAE; BALEEN WHALES; FIN WHALES; BEHAVIOR</t>
  </si>
  <si>
    <t>Humpback whales (Megaptera novaeangliae) belong to the class of marine mammals known as rorquals that feed through extraordinarily energetic lunges during which they engulf large volumes of water equal to as much as 70% of their body mass. To understand the kinematics of humpback lunge feeding, we attached high-resolution digital recording tags incorporating accelerometers, magnetometers, pressure and sound recording to whales feeding on euphausiids in fjords of the West Antarctic Peninsula. Instances of near vertical lunges gave us the unique opportunity to use the signal from the accelerometer to obtain a fine scale record of the body accelerations involved in lunging. We found that lunges contain extreme accelerations reaching 2.5 m/s(2) in certain instances, which are then followed by decelerations. When animals are intensively feeding the inter-lunge interval is similar for both deep and shallow lunges suggesting a biomechanical constraint on lunges. However, the number of lunges per dive varies from one for shallow feeding (&lt;25 m) to a median of six for deeper dives. Different feeding patterns were evident in the kinematic record, for deep and shallow feeding bouts with the much greater mean turn rates occurring in shallow feeding.</t>
  </si>
  <si>
    <t>[Ware, Colin] Univ New Hampshire, Ctr Coastal &amp; Ocean Mapping, Durham, NH 03824 USA; [Friedlaender, Ari S.; Nowacek, Douglas P.] Duke Univ, Marine Lab, Beaufort, NC 28516 USA; [Nowacek, Douglas P.] Duke Univ, Pratt Sch Engn, Durham, NC 27708 USA</t>
  </si>
  <si>
    <t>University System Of New Hampshire; University of New Hampshire; Duke University; Duke University</t>
  </si>
  <si>
    <t>Ware, C (corresponding author), Univ New Hampshire, Ctr Coastal &amp; Ocean Mapping, 24 Colovos Rd, Durham, NH 03824 USA.</t>
  </si>
  <si>
    <t>cware@ccom.unh.edu</t>
  </si>
  <si>
    <t>ONR [ONR N0014091601]; NSF [Nowacek: ANT-07-39483, Tyack: ANT-0739517]</t>
  </si>
  <si>
    <t>ONR(Office of Naval Research); NSF(National Science Foundation (NSF))</t>
  </si>
  <si>
    <t>We are grateful to Reny Tyson for her careful review of the entire set of lunges and to Alison Stimpert and the rest of the MISHAP tag team for the tag deployment effort. The TrackPlot processing package would not have been developed without the enthusiastic support and contributing ideas of David Wiley. Funding for TrackPlot development was provided by an ONR grant to Colin Ware (ONR N0014091601). We are grateful to the ship and technical crews of the ASRV LM Gould. This work was supported by NSF Polar Program Awards (Nowacek: ANT-07-39483, Tyack: ANT-0739517). This research was conducted under NMFS MMPA Permit 808-1735 and Antarctic Conservation Act permit 2009-014.</t>
  </si>
  <si>
    <t>10.1111/j.1748-7692.2010.00427.x</t>
  </si>
  <si>
    <t>WOS:000292825200015</t>
  </si>
  <si>
    <t>Cavicchioli, R; Charlton, T; Ertan, H; Omar, SM; Siddiqui, KS; Williams, TJ</t>
  </si>
  <si>
    <t>Cavicchioli, R.; Charlton, T.; Ertan, H.; Omar, S. Mohd; Siddiqui, K. S.; Williams, T. J.</t>
  </si>
  <si>
    <t>Biotechnological uses of enzymes from psychrophiles</t>
  </si>
  <si>
    <t>MICROBIAL BIOTECHNOLOGY</t>
  </si>
  <si>
    <t>DEEP-SEA SEDIMENT; ACTIVE XYLANASE ENZYME; LIFE-CYCLE ASSESSMENT; COLD-ADAPTED ENZYMES; METAGENOMIC LIBRARY; ALKALINE-PHOSPHATASE; ANTARCTIC BACTERIUM; BIOCIDAL EFFICIENCY; BETA-GALACTOSIDASE; MOLECULAR-CLONING</t>
  </si>
  <si>
    <t>The bulk of the Earth's biosphere is cold (e. g. 90% of the ocean's waters are &lt;= 5 degrees C), sustaining a broad diversity of microbial life. The permanently cold environments vary from the deep ocean to alpine reaches and to polar regions. Commensurate with the extent and diversity of the ecosystems that harbour psychrophilic life, the functional capacity of the microorganisms that inhabitat the cold biosphere are equally diverse. As a result, indigenous psychrophilic microorganisms provide an enormous natural resource of enzymes that function effectively in the cold, and these cold-adapted enzymes have been targeted for their biotechnological potential. In this review we describe the main properties of enzymes from psychrophiles and describe some of their known biotechnological applications and ways to potentially improve their value for biotechnology. The review also covers the use of metagenomics for enzyme screening, the development of psychrophilic gene expression systems and the use of enzymes for cleaning.</t>
  </si>
  <si>
    <t>[Cavicchioli, R.; Ertan, H.; Omar, S. Mohd; Siddiqui, K. S.; Williams, T. J.] Univ New S Wales, Sch Biotechnol &amp; Biomol Sci, Sydney, NSW 2052, Australia; [Charlton, T.; Ertan, H.] Istanbul Univ, Dept Genet &amp; Mol Biol, Fac Sci, Istanbul, Turkey; [Omar, S. Mohd] Int Islamic Univ Malaysia, Dept Biotechnol, Kuantan 25200, Pahang, Malaysia</t>
  </si>
  <si>
    <t>University of New South Wales Sydney; Istanbul University; International Islamic University Malaysia</t>
  </si>
  <si>
    <t>; Cavicchioli, Ricardo/D-4341-2013</t>
  </si>
  <si>
    <t>Siddiqui, Khawar/0000-0001-8574-3177; Cavicchioli, Ricardo/0000-0001-8989-6402; Mohd Omar, Suhaila/0000-0001-7604-346X; Williams, Timothy/0000-0002-2738-3019</t>
  </si>
  <si>
    <t>This research was supported by the Australian Research Council.</t>
  </si>
  <si>
    <t>1751-7915</t>
  </si>
  <si>
    <t>MICROB BIOTECHNOL</t>
  </si>
  <si>
    <t>Microb. Biotechnol.</t>
  </si>
  <si>
    <t>10.1111/j.1751-7915.2011.00258.x</t>
  </si>
  <si>
    <t>788TL</t>
  </si>
  <si>
    <t>WOS:000292467200003</t>
  </si>
  <si>
    <t>Kelly, LC; Cockell, CS; Herrera-Belaroussi, A; Piceno, Y; Andersen, G; DeSantis, T; Brodie, E; Thorsteinsson, T; Marteinsson, V; Poly, F; LeRoux, X</t>
  </si>
  <si>
    <t>Kelly, Laura C.; Cockell, Charles S.; Herrera-Belaroussi, Aude; Piceno, Yvette; Andersen, Gary; DeSantis, Todd; Brodie, Eoin; Thorsteinsson, Thorsteinn; Marteinsson, Viggo; Poly, Franck; LeRoux, Xavier</t>
  </si>
  <si>
    <t>Bacterial Diversity of Terrestrial Crystalline Volcanic Rocks, Iceland</t>
  </si>
  <si>
    <t>MONOXIDE-OXIDIZING BACTERIA; CLONE LIBRARY; MICROBIAL DIVERSITY; BASALTIC GLASS; COMMUNITY; MICROARRAY; DYNAMICS; PROGRAM; RATES; LIFE</t>
  </si>
  <si>
    <t>Bacteria inhabiting crystalline rocks from two terrestrial Icelandic volcanic lava flows of similar age and from the same geographical region, but differing in porosity and mineralogy, were characterised. Microarray (PhyloChip) and clone library analysis of 16S rRNA genes revealed the presence of a diverse assemblage of bacteria in each lava flow. Both methods suggested a more diverse community at the Dmadalshraun site (rhyolitic/andesitic lava flow) than that present at the Hnausahraun site (basaltic lava flow). Proteobacteria dominated the clone library at the Dmadalshraun site, while Acidobacteria was the most abundant phylum in the Hnausahraun site. Although analysis of similarities of denaturing gradient gel electrophoresis profiles suggested a strong correlation of community structure with mineralogy, rock porosity may also play an important role in shaping the bacterial community in crystalline volcanic rocks. Clone sequences were most similar to uncultured microorganisms, mainly from soil environments. Of these, Antarctic soils and temperate rhizosphere soils were prominent, as were clones retrieved from Hawaiian and Andean volcanic soils. The novel diversity of these Icelandic microbial communities was supported by the finding that up to 46% of clones displayed &lt; 85% sequence identities to sequences currently deposited in the RDP database.</t>
  </si>
  <si>
    <t>[Kelly, Laura C.; Cockell, Charles S.; Herrera-Belaroussi, Aude] Open Univ, Geomicrobiol Res Grp, Planetary &amp; Space Sci Res Inst, Milton Keynes MK7 6AA, Bucks, England; [Piceno, Yvette; Andersen, Gary; DeSantis, Todd; Brodie, Eoin] Univ Calif Berkeley, Lawrence Berkeley Lab, Div Earth Sci, Dept Ecol, Berkeley, CA 94720 USA; [Thorsteinsson, Thorsteinn] Natl Energy Author, Hydrol Div, IS-108 Reykjavik, Iceland; [Marteinsson, Viggo] Matis Ohf Iceland Food &amp; Biotech R&amp;D, IS-113 Reykjavik, Iceland; [Poly, Franck; LeRoux, Xavier] Univ Lyon 1, CNRS, INRA, UMR Ecol Microbienne 5557, F-69622 Villeurbanne, France</t>
  </si>
  <si>
    <t>Open University - UK; University of California System; University of California Berkeley; United States Department of Energy (DOE); Lawrence Berkeley National Laboratory; Centre National de la Recherche Scientifique (CNRS); Universite Claude Bernard Lyon 1; INRAE</t>
  </si>
  <si>
    <t>Kelly, LC (corresponding author), Open Univ, Geomicrobiol Res Grp, Planetary &amp; Space Sci Res Inst, Milton Keynes MK7 6AA, Bucks, England.</t>
  </si>
  <si>
    <t>lckelly23@hotmail.com</t>
  </si>
  <si>
    <t>GenePool, The/D-8812-2012; Kelly, Laura/AAJ-9072-2020; Brodie, Eoin L/A-7853-2008; Kelly, Laura/JDM-8939-2023; Piceno, Yvette M/I-6738-2016; Andersen, Gary/G-2792-2015</t>
  </si>
  <si>
    <t>Kelly, Laura/0000-0003-2020-146X; Brodie, Eoin L/0000-0002-8453-8435; Marteinsson, Viggo/0000-0001-8340-821X; LE ROUX, Xavier/0000-0001-9695-0825; Andersen, Gary/0000-0002-1618-9827; Piceno, Yvette/0000-0002-7915-4699</t>
  </si>
  <si>
    <t>Leverhulme Trust [F/00 269/N]; Medical Research Council [G0900740] Funding Source: researchfish; Natural Environment Research Council [NBAF010003] Funding Source: researchfish; MRC [G0900740] Funding Source: UKRI; NERC [NBAF010003] Funding Source: UKRI</t>
  </si>
  <si>
    <t>Leverhulme Trust(Leverhulme Trust); Medical Research Council(UK Research &amp; Innovation (UKRI)Medical Research Council UK (MRC)); Natural Environment Research Council(UK Research &amp; Innovation (UKRI)Natural Environment Research Council (NERC)); MRC(UK Research &amp; Innovation (UKRI)Medical Research Council UK (MRC)); NERC(UK Research &amp; Innovation (UKRI)Natural Environment Research Council (NERC))</t>
  </si>
  <si>
    <t>This work was made possible and supported by the Leverhulme Trust (project number F/00 269/N). We thank John Watson (Department of Earth Science, Open University, UK) for the XRF analyses and Stephen Summers (Geomicrobiology Group, Open University) for statistical advice. The authors are also grateful to Steve Blake and Steve Self (Earth and Environmental Sciences, Open University, UK) for helpful discussions and advice, and Mark Blaxter (School of Biological Sciences, University of Edinburgh, UK) for the sequencing facilities.</t>
  </si>
  <si>
    <t>10.1007/s00248-011-9864-1</t>
  </si>
  <si>
    <t>796DM</t>
  </si>
  <si>
    <t>WOS:000293030400007</t>
  </si>
  <si>
    <t>Hoffman, JI</t>
  </si>
  <si>
    <t>Hoffman, Joseph I.</t>
  </si>
  <si>
    <t>Gene discovery in the Antarctic fur seal (Arctocephalus gazella) skin transcriptome</t>
  </si>
  <si>
    <t>MOLECULAR ECOLOGY RESOURCES</t>
  </si>
  <si>
    <t>dog (Canis lupis familiaris); expressed sequence tags; marine mammal; microsatellite; pinniped; single nucleotide polymorphism; 454 sequencing</t>
  </si>
  <si>
    <t>CANINE SIZE; HETEROZYGOSITY; SNPS</t>
  </si>
  <si>
    <t>Next-generation sequencing provides a powerful new approach for developing functional genomic tools for nonmodel species, helping to narrow the gap between studies of model organisms and those of natural populations. Consequently, massively parallel 454 sequencing was used to characterize a normalized cDNA library derived from skin biopsy samples of twelve Antarctic fur seal (Arctocephalus gazella) individuals. Over 412 Mb of sequence data were generated, comprising 1.4 million reads of average length 286 bp. De nova assembly using Newbler 2.3 yielded 156 contigs plus 22 869 isotigs, which in turn clustered into 18 576 isogroups. Almost half of the assembled transcript sequences showed significant similarity to the nr database, revealing a functionally diverse array of genes. Moreover, 97.9% of these mapped to the dog (Canis lupis familiaris) genome, with a strong positive relationship between the number of sequences locating to a given chromosome and the length of that chromosome in the dog indicating a broad genomic distribution. Average depth of coverage was also almost 20-fold, sufficient to detect several thousand putative microsatellite loci and single nucleotide polymor-phistns. This study constitutes an important step towards developing genomic resources with which to address consequential questions in pinniped ecology and evolution. It also supports an earlier but smaller study showing that skin tissue can be a rich source of expressed genes, with important implications for studying the genomics not only of marine mammals, but also more generally of species that cannot be destructively sampled.</t>
  </si>
  <si>
    <t>Univ Bielefeld, Dept Anim Behav, D-33501 Bielefeld, Germany</t>
  </si>
  <si>
    <t>University of Bielefeld</t>
  </si>
  <si>
    <t>Hoffman, JI (corresponding author), Univ Bielefeld, Dept Anim Behav, Postfach 100131, D-33501 Bielefeld, Germany.</t>
  </si>
  <si>
    <t>GenePool, The/D-8812-2012; Hoffman, Joseph/K-7725-2012</t>
  </si>
  <si>
    <t>Natural Environment Research Council (NERC); MRC [G0900740] Funding Source: UKRI; NERC [NBAF010003] Funding Source: UKRI; Medical Research Council [G0900740] Funding Source: researchfish; Natural Environment Research Council [NBAF010003] Funding Source: researchfish</t>
  </si>
  <si>
    <t>Natural Environment Research Council (NERC)(UK Research &amp; Innovation (UKRI)Natural Environment Research Council (NERC)); MRC(UK Research &amp; Innovation (UKRI)Medical Research Council UK (MRC)); NERC(UK Research &amp; Innovation (UKRI)Natural Environment Research Council (NERC)); Medical Research Council(UK Research &amp; Innovation (UKRI)Medical Research Council UK (MRC)); Natural Environment Research Council(UK Research &amp; Innovation (UKRI)Natural Environment Research Council (NERC))</t>
  </si>
  <si>
    <t>I am grateful to Jaume Forcada for collecting tissue samples, A. Montazam and D. Cleven for conducting the 454 sequencing and S. Bridgett who provided invaluable assistance with the bio-informatic analyses. I also thank J. Slate for helpful discussions on next-generation sequence assembly and SNP discovery and two anonymous referees for comments that improved the manuscript. This work was funded by a Natural Environment Research Council (NERC) BAS Strategic Alliance Fellowship awarded to JIH. Fieldwork was approved by BAS, and samples were collected and retained under permits issued by the Department for Environment, Food and Rural Affairs and in accordance with the Convention on International Trade in Endangered Species of Wild Fauna and Flora (CITES). The 454 sequencing was undertaken at the Gene Pool facility, University of Edinburgh.</t>
  </si>
  <si>
    <t>1755-098X</t>
  </si>
  <si>
    <t>1755-0998</t>
  </si>
  <si>
    <t>MOL ECOL RESOUR</t>
  </si>
  <si>
    <t>Mol. Ecol. Resour.</t>
  </si>
  <si>
    <t>10.1111/j.1755-0998.2011.02999.x</t>
  </si>
  <si>
    <t>788XU</t>
  </si>
  <si>
    <t>WOS:000292478500012</t>
  </si>
  <si>
    <t>Sidorenko, D; Wang, Q; Danilov, S; Schröter, J</t>
  </si>
  <si>
    <t>Sidorenko, Dmitry; Wang, Qiang; Danilov, Sergey; Schroeter, Jens</t>
  </si>
  <si>
    <t>FESOM under coordinated ocean-ice reference experiment forcing</t>
  </si>
  <si>
    <t>OCEAN DYNAMICS</t>
  </si>
  <si>
    <t>Finite elements; Sea-ice ocean model; COREs; Ocean general circulation</t>
  </si>
  <si>
    <t>ANTARCTIC CIRCUMPOLAR CURRENT; DRAKE PASSAGE; CIRCULATION; TRANSPORT; MODELS; ATLANTIC</t>
  </si>
  <si>
    <t>Characteristics of the ocean state simulated with the Finite-Element Sea-Ice Ocean Model (FESOM) under the normalized year forcing of Coordinated Ocean-ice Reference Experiments (COREs; Griffies et al., Ocean Model 26:1-46, 2009) are compared with those of other models participating in COREs. In contrast to these models, FESOM is run on an unstructured mesh (with resolution varying between 20 and 150 km). It is shown that the ocean state simulated by FESOM is in most cases within the spread of other models, demonstrating that the unstructured mesh technology has reached the stage when it becomes a reliable tool for studying the large-scale ocean general circulation.</t>
  </si>
  <si>
    <t>[Sidorenko, Dmitry; Wang, Qiang; Danilov, Sergey; Schroeter, Jens] Alfred Wegener Inst Polar &amp; Marine Res, Bremerhaven, Germany</t>
  </si>
  <si>
    <t>Helmholtz Association; Alfred Wegener Institute, Helmholtz Centre for Polar &amp; Marine Research</t>
  </si>
  <si>
    <t>Sidorenko, D (corresponding author), Alfred Wegener Inst Polar &amp; Marine Res, Bremerhaven, Germany.</t>
  </si>
  <si>
    <t>Dmitry.Sidorenko@awi.de</t>
  </si>
  <si>
    <t>Danilov, Sergey/S-6184-2016; Schröter, Jens G/H-8806-2016</t>
  </si>
  <si>
    <t>Danilov, Sergey/0000-0001-8098-182X; Schröter, Jens G/0000-0002-9240-5798; Wang, Qiang/0000-0002-2704-5394; Sidorenko, Dmitry/0000-0001-8579-6068</t>
  </si>
  <si>
    <t>Helmholtz Climate Initiative REKLIM (Regional Climate Change)</t>
  </si>
  <si>
    <t>This work was supported by the Helmholtz Climate Initiative REKLIM (Regional Climate Change). The computational resources for this work were provided through the North-German Supercomputing Alliance (HLRN). We are indebted to Martin Losch and Ralph Timmermann for discussions and advice.</t>
  </si>
  <si>
    <t>1616-7341</t>
  </si>
  <si>
    <t>1616-7228</t>
  </si>
  <si>
    <t>OCEAN DYNAM</t>
  </si>
  <si>
    <t>Ocean Dyn.</t>
  </si>
  <si>
    <t>10.1007/s10236-011-0406-7</t>
  </si>
  <si>
    <t>786AA</t>
  </si>
  <si>
    <t>WOS:000292273300002</t>
  </si>
  <si>
    <t>Smellie, JL; Rocchi, S; Gemelli, M; Di Vincenzo, G; Armienti, P</t>
  </si>
  <si>
    <t>Smellie, J. L.; Rocchi, S.; Gemelli, M.; Di Vincenzo, G.; Armienti, P.</t>
  </si>
  <si>
    <t>A thin predominantly cold-based Late Miocene East Antarctic ice sheet inferred from glaciovolcanic sequences in northern Victoria Land, Antarctica</t>
  </si>
  <si>
    <t>PALAEOGEOGRAPHY PALAEOCLIMATOLOGY PALAEOECOLOGY</t>
  </si>
  <si>
    <t>Glaciovolcanism; Lithofacies; 40Ar-39Ar; Miocene; East Antarctic Ice Sheet; Ice thickness; Basal thermal regime; Transantarctic Mountains uplift</t>
  </si>
  <si>
    <t>CENOZOIC LANDSCAPE EVOLUTION; KING-GEORGE-ISLAND; MARIE-BYRD-LAND; ROSS SEA; TRANSANTARCTIC-MOUNTAINS; GLACIAL HISTORY; DRY VALLEYS; WEST ANTARCTICA; LARSEMANN HILLS; FACIES ANALYSIS</t>
  </si>
  <si>
    <t>Glaciovolcanic sequences are widespread in northern Victoria Land and their interpretation enables estimates of past ice thicknesses and other defining parameters of the coeval ice sheet to be made with considerable certainty. The terrestrial sequences are mainly Late Miocene in age (c. 12-5 Ma) and conform to five main types: aa lava-fed deltas, volcanic sheet-like sequences, a glaciolacustrine sequence, scoria cones and tuff cones. Apart from the environmentally undiagnostic pyroclastic cones, the volcanic sequences were erupted in association with a glacial cover that was typically, and possibly never much more than, a few hundred metres thick (&lt;300 m). Despite gaps in the record, no evidence was observed for prolonged subaerial (i.e. fully ice-free) eruptive conditions, suggesting either that ice-free conditions did not occur or else were of such limited areal extent or short duration that they left no record. These observations are consistent with the presence of a thin persistent Late Miocene ice dome or icefield draping the pre-Miocene topography in northern Victoria Land for the period, although it may have been confluent with the greater East Antarctic Ice Sheet similar to conditions present today. The presence of glacially emplaced sequences right down to present datum suggests that the Transantarctic Mountains in the region were already uplifted to their current elevation prior to the volcanism. The high terrain would have helped the ice sheet to establish and persist. The glacial thermal regime varied from wet-based and dynamic, to cold-based (frozen to its bed) and presumably relatively stable. A major transition from wet-based ice to cold-based ice might have occurred between 9.7 and 7.5 Ma consistent with published interpretations of the regional landscape evolution. Alternatively, the glacial thermal regime was dominantly polar since the earliest eruptions but with several temporary changes to a wet-based (sub-polar or temperate) more dynamic regime. (C) 2011 Elsevier B.V. All rights reserved.</t>
  </si>
  <si>
    <t>[Smellie, J. L.] Univ Leicester, Dept Geol, Leicester LE1 7RH, Leics, England; [Rocchi, S.; Gemelli, M.; Armienti, P.] Univ Pisa, Dipartimento Sci Terra, I-56126 Pisa, Italy; [Di Vincenzo, G.] CNR, Ist Geosci &amp; Georisorse, I-56127 Pisa, Italy</t>
  </si>
  <si>
    <t>University of Leicester; University of Pisa; Consiglio Nazionale delle Ricerche (CNR); Istituto di Geoscienze e Georisorse (IGG-CNR)</t>
  </si>
  <si>
    <t>Smellie, JL (corresponding author), Univ Leicester, Dept Geol, Univ Rd, Leicester LE1 7RH, Leics, England.</t>
  </si>
  <si>
    <t>jls55@le.ac.uk; rocchi@dst.unipi.it; gemelli@dst.unipi.it; g.divincenzo@igg.cnr.it; armienti@dst.unipi.it</t>
  </si>
  <si>
    <t>; Gemelli, Maurizio/F-6244-2013; Rocchi, Sergio/A-7752-2018</t>
  </si>
  <si>
    <t>Armienti, Pietro/0000-0002-5929-8222; Gemelli, Maurizio/0000-0001-5621-0339; DI VINCENZO, GIANFRANCO/0000-0002-9669-9789; Rocchi, Sergio/0000-0001-6868-1939</t>
  </si>
  <si>
    <t>0031-0182</t>
  </si>
  <si>
    <t>1872-616X</t>
  </si>
  <si>
    <t>PALAEOGEOGR PALAEOCL</t>
  </si>
  <si>
    <t>Paleogeogr. Paleoclimatol. Paleoecol.</t>
  </si>
  <si>
    <t>10.1016/j.palaeo.2011.05.008</t>
  </si>
  <si>
    <t>Geography, Physical; Geosciences, Multidisciplinary; Paleontology</t>
  </si>
  <si>
    <t>Physical Geography; Geology; Paleontology</t>
  </si>
  <si>
    <t>801FR</t>
  </si>
  <si>
    <t>WOS:000293424300010</t>
  </si>
  <si>
    <t>Whittle, RJ; Linse, K; Griffiths, HJ</t>
  </si>
  <si>
    <t>Whittle, Rowan J.; Linse, Katrin; Griffiths, Huw J.</t>
  </si>
  <si>
    <t>THE FOSSIL RECORD OF LIMOPSIS (BIVALVIA: LIMOPSIDAE) IN ANTARCTICA AND THE SOUTHERN HIGH LATITUDES</t>
  </si>
  <si>
    <t>PALAEONTOLOGY</t>
  </si>
  <si>
    <t>Limopsis; Antarctica; biogeography; systematics; evolutionary origins</t>
  </si>
  <si>
    <t>DIVERSITY GRADIENT; NEW-ZEALAND; MOLLUSCA; TERTIARY; PLIOCENE; ISLANDS; CLIMATE; BASIN; MORPHOLOGY; ARGENTINA</t>
  </si>
  <si>
    <t>Limopsis is one of the most speciose and widespread bivalve genera in the Southern Ocean at the present day. However, the fossil record of the genus is poorly known from the southern high latitudes. Here, we review the fossil record in this region to help understand the evolutionary origins of the genus. Limopsis infericola sp. nov. and additional specimens of a previously described species are added to the fossil record of Antarctica. The globally distributed limopsid clade had its earliest occurrences in the Early Cretaceous of Europe and New Zealand, then radiated during the Late Cretaceous (Maastrichtian, 70.6-65.5 Ma). Fossil evidence shows that the genus underwent a second, Cenozoic, radiation related to the isolation of Antarctica and the onset of cooling in the southern hemisphere. The genus has persisted in Antarctica for the last 50 myr, adapting to extreme changes in the environmental conditions, including surviving the last glacial maximum in marine refugia.</t>
  </si>
  <si>
    <t>[Whittle, Rowan J.; Linse, Katrin; Griffiths, Huw J.] British Antarctic Survey, Cambridge CB3 0ET, England</t>
  </si>
  <si>
    <t>Whittle, RJ (corresponding author), British Antarctic Survey, Madingley Rd, Cambridge CB3 0ET, England.</t>
  </si>
  <si>
    <t>roit@bas.ac.uk; kl@bas.ac.uk; hjg@bas.ac.uk</t>
  </si>
  <si>
    <t>Griffiths, Huw J/D-4234-2009</t>
  </si>
  <si>
    <t>Griffiths, Huw J/0000-0003-1764-223X; Linse, Katrin/0000-0003-3477-3047</t>
  </si>
  <si>
    <t>Natural Environment Research Council; Natural Environment Research Council [bas0100026] Funding Source: researchfish; NERC [bas0100026] Funding Source: UKRI</t>
  </si>
  <si>
    <t>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</si>
  <si>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This study is a part of the British Antarctic Survey Polar Science for Planet Earth Programme. It was funded by The Natural Environment Research Council. We thank J. A. Crame for advice about the manuscript and for collecting the Cape Melville Formation Limopsis samples in the 1994-1995 field season. We appreciate the help of H. Blagbrough, M. Tabecki and L. Wilson with access to BAS collections, databases and technical support. We acknowledge the use of information contained in the New Zealand Fossil Record File. We are grateful to F. Quaglio, L. E. Anelli and the Instituto de Geociencias, Universidade de Sao Paulo for their hospitality and the chance to view their Limopsis material. We acknowledge J. Todd and J. D. Taylor from the Natural History Museum, London for discussion and access to comparative material. We thank Alan Beu and an anonymous referee for information and suggestions for improvement to the manuscript. We thank S. Neilsen, C. Del Rio, J. Crampton, T. Darragh and G. Oliver for information and discussion.</t>
  </si>
  <si>
    <t>0031-0239</t>
  </si>
  <si>
    <t>1475-4983</t>
  </si>
  <si>
    <t>Paleontology</t>
  </si>
  <si>
    <t>10.1111/j.1475-4983.2011.01061.x</t>
  </si>
  <si>
    <t>792UI</t>
  </si>
  <si>
    <t>WOS:000292775500015</t>
  </si>
  <si>
    <t>Beers, JM; Sidell, BD</t>
  </si>
  <si>
    <t>Beers, Jody M.; Sidell, Bruce D.</t>
  </si>
  <si>
    <t>Thermal Tolerance of Antarctic Notothenioid Fishes Correlates with Level of Circulating Hemoglobin</t>
  </si>
  <si>
    <t>PHYSIOLOGICAL AND BIOCHEMICAL ZOOLOGY</t>
  </si>
  <si>
    <t>INTERTIDAL PORCELAIN CRABS; CLIMATE-CHANGE; CHAENOCEPHALUS-ACERATUS; TREMATOMUS-BERNACCHII; GENUS PETROLISTHES; MARINE ECOSYSTEMS; CDNA MICROARRAY; HEAT-STRESS; EXPRESSION; OXYGEN</t>
  </si>
  <si>
    <t>The West Antarctic Peninsula region is experiencing some of the most rapid elevations in temperature of any marine environment. We assessed thermal tolerance of white- and red-blooded Antarctic notothenioid fishes inhabiting these waters, using a modified critical thermal maximum (CT(max)) design. Temperature was elevated acutely from ambient at a constant rate of 3.6 degrees C h(-1), and CT(max) was defined as the temperature where animals lost righting response. CT(max) temperatures of white-blooded icefishes Chionodraco rastrospinosus (13.3 degrees +/- 0.2 degrees C) and Chaenocephalus aceratus (13.9 degrees +/- 0.4 degrees C) were significantly lower than those of red-blooded fishes Gobionotothen gibberifrons (15.5 degrees +/- 0.2 degrees C) and Notothenia coriiceps (17.1 degrees +/- 0.2 degrees C). Lepidonotothen squamifrons, a red-blooded species with low hematocrit, exhibited a CT(max) (14.2 degrees +/- 0.4 degrees C) that was significantly lower than that of the other red-blooded animals and similar to that of icefishes. A strong relationship between CT(max) and hematocrit (R(2) = 0.76) suggests that the oxygen-carrying capacity of blood may partially dictate acute lethal temperature. Despite a short treatment duration, we detected a rise in the mRNA level of hypoxia response gene HIF-1 alpha in N. coriiceps heart tissue. One-week exposure to 4 degrees C had no effect on the CT(max) of N. coriiceps, indicating an inability to compensate for rising temperature under these experimental conditions. Our results suggest that icefishes are particularly sensitive to temperature elevation because of a lack of hemoglobin and may be a sentinel taxon for climate change.</t>
  </si>
  <si>
    <t>[Beers, Jody M.; Sidell, Bruce D.] Univ Maine, Sch Marine Sci, Orono, ME 04469 USA</t>
  </si>
  <si>
    <t>Beers, JM (corresponding author), Stanford Univ, Hopkins Marine Stn, Dept Biol, Pacific Grove, CA 93950 USA.</t>
  </si>
  <si>
    <t>jbeers@stanford.edu</t>
  </si>
  <si>
    <t>National Science Foundation [ANT 07-39637]</t>
  </si>
  <si>
    <t>We are indebted to our collaborators, Dr. Kristin M. O'Brien and Dr. Elizabeth L. Crockett, for their assistance in the field and insightful discussions about these experiments and results. We gratefully acknowledge the outstanding support from the masters and crew of the Antarctic Research Support Vessel Laurence M. Gould and the personnel of Raytheon Polar Services both at Palmer Station and aboard the Laurence M. Gould. Sincere thanks to Dr. George N. Somero for a helpful critique of the manuscript. Research funding was provided by National Science Foundation grant ANT 07-39637 to B.D.S.</t>
  </si>
  <si>
    <t>UNIV CHICAGO PRESS</t>
  </si>
  <si>
    <t>CHICAGO</t>
  </si>
  <si>
    <t>1427 E 60TH ST, CHICAGO, IL 60637-2954 USA</t>
  </si>
  <si>
    <t>1522-2152</t>
  </si>
  <si>
    <t>PHYSIOL BIOCHEM ZOOL</t>
  </si>
  <si>
    <t>Physiol. Biochem. Zool.</t>
  </si>
  <si>
    <t>10.1086/660191</t>
  </si>
  <si>
    <t>794UD</t>
  </si>
  <si>
    <t>WOS:000292925900002</t>
  </si>
  <si>
    <t>Dodds, KJ</t>
  </si>
  <si>
    <t>Dodds, Klaus J.</t>
  </si>
  <si>
    <t>Sovereignty watch: claimant states, resources, and territory in contemporary Antarctica</t>
  </si>
  <si>
    <t>POLAR RECORD</t>
  </si>
  <si>
    <t>AUSTRALIA</t>
  </si>
  <si>
    <t>This article is concerned with the contemporary Antarctic and the kinds of sovereignty performances undertaken by claimant states such as Australia. Notwithstanding the entry into force of the Antarctic Treaty, claimant states have used, what this article terms, 'treaty sovereignty' further to entrench their sovereign rights, especially within public culture. Using Australia as a detailed example, the article considers how a range of activities including anti-whaling developments alongside contemporary public commentary has on the one hand stressed 'sovereign rights' and yet on the other hand, revealed a sense of anxiety and fear regarding the role of others; what one might term overall a form of 'sovereignty watch'. In conclusion, the paper speculates on whether the treaty parties are entering an unstable phase of Antarctic co-existence precisely because of the kinds of behaviours that 'treaty sovereignty' encourages.</t>
  </si>
  <si>
    <t>Univ London, Dept Geog, Egham TW20 0EX, Surrey, England</t>
  </si>
  <si>
    <t>University of London; Royal Holloway University London</t>
  </si>
  <si>
    <t>Dodds, KJ (corresponding author), Univ London, Dept Geog, Egham TW20 0EX, Surrey, England.</t>
  </si>
  <si>
    <t>k.dodds@rhul.ac.uk</t>
  </si>
  <si>
    <t>British Academy</t>
  </si>
  <si>
    <t>I offer my sincere thanks to Timo Koivurova in particular and the referees for their helpful comments on an earlier version of this paper. I also thank Alan Hemmings for our many and varied conversations on the Antarctic over the years. Bridget Robison provided essential research assistance in Australia in 2008 and The British Academy kindly funded my research. Figure 1 was kindly redrawn by Jenny Knyaston and is adapted from the map used by Geoscience Australia. The usual disclaimers apply, however.</t>
  </si>
  <si>
    <t>0032-2474</t>
  </si>
  <si>
    <t>1475-3057</t>
  </si>
  <si>
    <t>POLAR REC</t>
  </si>
  <si>
    <t>POLAR REC.</t>
  </si>
  <si>
    <t>10.1017/S0032247410000458</t>
  </si>
  <si>
    <t>Ecology; Environmental Sciences</t>
  </si>
  <si>
    <t>784YI</t>
  </si>
  <si>
    <t>WOS:000292194200004</t>
  </si>
  <si>
    <t>Korczak-Abshire, M; Angiel, PJ; Wierzbicki, G</t>
  </si>
  <si>
    <t>Korczak-Abshire, Malgorzata; Angiel, Piotr J.; Wierzbicki, Grzegorz</t>
  </si>
  <si>
    <t>Records of white-rumped sandpiper (Calidris fuscicollis) on the South Shetland Islands</t>
  </si>
  <si>
    <t>CLIMATE-CHANGE; BIRD MIGRATION; POPULATIONS; MASS</t>
  </si>
  <si>
    <t>A programme to monitor non-breeding bird species in the vicinity of Arctowski Station, King George Island, South Shetlands, Antarctica, has been conducted over the past 30 years. The white-rumped sandpiper Calidris fuscicollis (Vicillot 1819) seems to occur now as a vagrant in South Shetlands area more frequently than previously. This trend, and the annual variation in numbers that have been observed could be a result of short term and longer term variation in weather and climate conditions during the austral spring and summer months when this species is observed. A higher air temperature, which is a result of predominant northern winds bringing relatively warm and moist air, would probably result in more open habitats and better food resources that would allow the birds to persist or survive.</t>
  </si>
  <si>
    <t>[Korczak-Abshire, Malgorzata; Angiel, Piotr J.; Wierzbicki, Grzegorz] Polish Acad Sci, Dept Antarctic Biol, PL-02141 Warsaw, Poland; [Wierzbicki, Grzegorz] Warsaw Univ Life Sci, Dept Geotech Engn, PL-02776 Warsaw, Poland</t>
  </si>
  <si>
    <t>Polish Academy of Sciences; Warsaw University of Life Sciences</t>
  </si>
  <si>
    <t>Korczak-Abshire, M (corresponding author), Polish Acad Sci, Dept Antarctic Biol, Ustrzycka 10-12, PL-02141 Warsaw, Poland.</t>
  </si>
  <si>
    <t>korczakm@gmail.com</t>
  </si>
  <si>
    <t>Wierzbicki, Grzegorz/AAG-5112-2020; Korczak-Abshire, Malgorzata/AAA-1563-2020</t>
  </si>
  <si>
    <t>Wierzbicki, Grzegorz/0000-0003-3125-9392; Korczak-Abshire, Malgorzata/0000-0001-7695-0588</t>
  </si>
  <si>
    <t>10.1017/S0032247410000665</t>
  </si>
  <si>
    <t>WOS:000292194200006</t>
  </si>
  <si>
    <t>Moore, JK; Wöppke, CL</t>
  </si>
  <si>
    <t>Kendall Moore, Jason; Leon Woeppke, Consuelo</t>
  </si>
  <si>
    <t>Passion for the Antarctic: a short play Jason Kendall Moore (script) and Consuelo Leon Woppke (preface)</t>
  </si>
  <si>
    <t>Passion for the Antarctic is the third scene of Tangled destinies, a play written by Jason Kendall Moore, directed by Maria Angelica Luzzi, and performed by Daniela Meneses and the author. It opened on 17 July 2010, in Valparaiso, Chile, where it will run through the first week of September. The Center for Hemispheric and Polar Studies has funded its production to generate interest in U.S.-Chilean relations in the Antarctic and elsewhere.</t>
  </si>
  <si>
    <t>[Kendall Moore, Jason; Leon Woeppke, Consuelo] Ctr Hemispher &amp; Polar Studies, Roma 116, Recreo Vina Mar, Chile</t>
  </si>
  <si>
    <t>Moore, JK (corresponding author), Ctr Hemispher &amp; Polar Studies, Roma 116, Recreo Vina Mar, Chile.</t>
  </si>
  <si>
    <t>jasonkendallmoore@gmail.com</t>
  </si>
  <si>
    <t>10.1017/S0032247410000501</t>
  </si>
  <si>
    <t>WOS:000292194200009</t>
  </si>
  <si>
    <t>Martinez, R; Schwaneberg, U; Roccatano, D</t>
  </si>
  <si>
    <t>Martinez, Ronny; Schwaneberg, Ulrich; Roccatano, Danilo</t>
  </si>
  <si>
    <t>Temperature effects on structure and dynamics of the psychrophilic protease subtilisin S41 and its thermostable mutants in solution</t>
  </si>
  <si>
    <t>PROTEIN ENGINEERING DESIGN &amp; SELECTION</t>
  </si>
  <si>
    <t>enzyme flexibility; essential modes; protein dynamics; protein stability; thermal inactivation</t>
  </si>
  <si>
    <t>MOLECULAR-DYNAMICS; POTENTIAL FUNCTIONS; BETA-LACTAMASE; PROTEINS; SIMULATION; STABILITY; FLEXIBILITY; ADAPTATION; ENZYMES; EXTREMOPHILES</t>
  </si>
  <si>
    <t>The psychrophilic protease subtilisin S41 from the Antarctic bacillus TA41, and two variants with two and seven amino acid substitutions were studied using molecular dynamics simulation at 283 and 363 K. The analysis of protein dynamics revealed that the average global flexibility of both variants was slightly higher than wild type at both 283 and 363 K. Essential dynamics analysis evidenced that the most relevant collective motions, especially at 363 K, differ in distribution and intensity for each protein variant. At high temperature and for the thermo labile wild type, an amplification of a subset of the low-temperature largest collective motions was observed. On the other hand, the two thermostable variants showed a rather different pattern of essential motions at 363 K from those at 283 K. These results support the hypothesis that the introduced amino acid substitutions, rather than improving the global stability of the variants by increasing its rigidity, lead to a change on the principal fluxional modes allowing the protein to explore a different subset of conformations. A better understanding of this process can open alternative strategies to increase the enzyme stability in addition to increasing the rigidity of the protein scaffold.</t>
  </si>
  <si>
    <t>[Martinez, Ronny; Schwaneberg, Ulrich; Roccatano, Danilo] Jacobs Univ Bremen, D-28759 Bremen, Germany; [Schwaneberg, Ulrich] Rhein Westfal TH Aachen, D-52074 Aachen, Germany</t>
  </si>
  <si>
    <t>Jacobs University; RWTH Aachen University</t>
  </si>
  <si>
    <t>Roccatano, D (corresponding author), Jacobs Univ Bremen, Campus Ring 1, D-28759 Bremen, Germany.</t>
  </si>
  <si>
    <t>d.roccatano@jacobs-university.de</t>
  </si>
  <si>
    <t>Roccatano, Danilo/I-9192-2019; Martinez, Ronny/N-6404-2019; Martinez, Ronny/AAX-9167-2021; Roccatano, Danilo/J-1024-2019; Schwaneberg, Ulrich/E-7234-2014</t>
  </si>
  <si>
    <t>Roccatano, Danilo/0000-0002-8495-3815; Martinez, Ronny/0000-0002-2317-0219; Martinez, Ronny/0000-0002-2317-0219; Schwaneberg, Ulrich/0000-0003-4026-701X</t>
  </si>
  <si>
    <t>German Government through the Bundesministerium fur Bildung und Forschung [FKZ: 0315035A]; Henkel AG Co. KGaA</t>
  </si>
  <si>
    <t>German Government through the Bundesministerium fur Bildung und Forschung(Federal Ministry of Education &amp; Research (BMBF)); Henkel AG Co. KGaA</t>
  </si>
  <si>
    <t>This work was supported by the German Government through the Bundesministerium fur Bildung und Forschung [FKZ: 0315035A to U.S.] and Henkel AG &amp; Co. KGaA. This study was performed using the computational resources of the CLAMV (Computer Laboratories for Animation, Modeling and Visualization) at Jacobs University Bremen.</t>
  </si>
  <si>
    <t>1741-0126</t>
  </si>
  <si>
    <t>1741-0134</t>
  </si>
  <si>
    <t>PROTEIN ENG DES SEL</t>
  </si>
  <si>
    <t>Protein Eng. Des. Sel.</t>
  </si>
  <si>
    <t>10.1093/protein/gzr014</t>
  </si>
  <si>
    <t>Biochemistry &amp; Molecular Biology; Biotechnology &amp; Applied Microbiology</t>
  </si>
  <si>
    <t>790CW</t>
  </si>
  <si>
    <t>WOS:000292567100001</t>
  </si>
  <si>
    <t>Andreas, EL</t>
  </si>
  <si>
    <t>Andreas, Edgar L.</t>
  </si>
  <si>
    <t>A relationship between the aerodynamic and physical roughness of winter sea ice</t>
  </si>
  <si>
    <t>QUARTERLY JOURNAL OF THE ROYAL METEOROLOGICAL SOCIETY</t>
  </si>
  <si>
    <t>bulk turbulent flux algorithm; drag coefficient; Ice Station Weddell; roughness length; SHEBA; snow; turbulence measurements</t>
  </si>
  <si>
    <t>PARAMETERIZING TURBULENT EXCHANGE; ATMOSPHERIC BOUNDARY-LAYER; WESTERN WEDDELL SEA; AIR-FLOW SEPARATION; DRAG COEFFICIENTS; WIND STRESS; BULK PARAMETERIZATION; RADAR BACKSCATTER; STATION-WEDDELL; SURFACE</t>
  </si>
  <si>
    <t>A bulk flux algorithm predicts the turbulent surface fluxes of momentum and sensible and latent heat frommeanmeasured ormodelled meteorological variables. The bulk flux algorithm resulting from data collected over winter sea ice during SHEBA, the experiment to study the Surface Heat Budget of the Arctic Ocean, failed, however, in its first trial to predict the turbulent momentum flux over sea ice in the Antarctic. This result suggests that the main parameter for predicting the momentum flux, the aerodynamics roughness length z(0), does not respond just to the friction velocity, as in the SHEBA algorithm, but is closely related to the physical roughness of snow-covered sea ice and may need to be site-specific. I investigate this idea with simultaneous measurements of z(0) and the physical roughness of the surface, xi, at Ice Station Weddell. The metric. derives from surveys of surface elevation and is related to but always less than the standard deviation in surface elevation. On combining the z(0)-xi pairs from Ice StationWeddell with similar data obtained over Arctic sea ice, I show that the Arctic and Antarctic z(0)-xi data lie along a continuum such that measuring xi could provide a means for estimating a site-specific z(0) for any global sea ice surface. Backscatter data from satellite-borne synthetic aperture radar might provide a remotely sensed estimate of xi. Copyright (C) 2011 Royal Meteorological Society</t>
  </si>
  <si>
    <t>NW Res Associates Inc, Seattle Div, Lebanon, NH 03766 USA</t>
  </si>
  <si>
    <t>NorthWest Research Associates</t>
  </si>
  <si>
    <t>Andreas, EL (corresponding author), NW Res Associates Inc, Seattle Div, 25 Eagle Ridge, Lebanon, NH 03766 USA.</t>
  </si>
  <si>
    <t>eandreas@nwra.com</t>
  </si>
  <si>
    <t>US National Science Foundation (NSF) [06-11942, 10-19322]; SHEBA; Directorate For Geosciences; Division Of Polar Programs [1019322] Funding Source: National Science Foundation</t>
  </si>
  <si>
    <t>US National Science Foundation (NSF)(National Science Foundation (NSF)); SHEBA; Directorate For Geosciences; Division Of Polar Programs(National Science Foundation (NSF)NSF - Directorate for Geosciences (GEO))</t>
  </si>
  <si>
    <t>I would like to thank my colleagues in the SHEBA Atmospheric Surface Flux Group for help collecting, processing, and understanding the SHEBA data: Chris Fairall, Andrey Grachev, Peter Guest, Tom Horst, Rachel Jordan, and Ola Persson. I also thank the other members of the meteorology team on Ice Station Weddell for help collecting the data there: Kerry Claffey, Boris Ivanov, and Aleksandr Makshtas. I am grateful to an anonymous reviewer who provided comments that helped me better focus this story. The US National Science Foundation (NSF) supported this work with awards 06-11942 and 10-19322. NSF also supported my programmes on Ice Station Weddell and at SHEBA with previous awards.</t>
  </si>
  <si>
    <t>0035-9009</t>
  </si>
  <si>
    <t>Q J ROY METEOR SOC</t>
  </si>
  <si>
    <t>Q. J. R. Meteorol. Soc.</t>
  </si>
  <si>
    <t>B</t>
  </si>
  <si>
    <t>10.1002/qj.842</t>
  </si>
  <si>
    <t>823QX</t>
  </si>
  <si>
    <t>WOS:000295139700014</t>
  </si>
  <si>
    <t>Lu, H; Jarvis, MJ; Gray, LJ; Baldwin, MP</t>
  </si>
  <si>
    <t>Lu, Hua; Jarvis, Martin J.; Gray, Lesley J.; Baldwin, Mark P.</t>
  </si>
  <si>
    <t>High- and low-frequency 11-year solar cycle signatures in the Southern Hemispheric winter and spring</t>
  </si>
  <si>
    <t>11-year solar cycle signature; stratospheric temperature and winds; the SAM</t>
  </si>
  <si>
    <t>MIDDLE ATMOSPHERE MODEL; ANNULAR MODE; SUNSPOT CYCLE; STRATOSPHERIC TEMPERATURE; TROPOSPHERIC RESPONSE; FUB-CMAM; PART I; CLIMATE; NORTHERN; SIGNAL</t>
  </si>
  <si>
    <t>We have studied the characterization of the 11-year solar cycle (SC) signals in the Southern Hemisphere (SH) during the winter and spring using European Centre for Medium-Range Weather Forecasts (ECMWF) daily and monthly data from 1979 to 2009. By separating the response into high (&lt;6 months) and low (&gt;36 months) frequency domains, we have found that spatially different 11-year SC signals exist for high-and low-frequency domains. In the stratosphere, the high- and low-frequency responses tend to enhance each other near the Equator and Subtropics, while they oppose one another at high latitudes. The high-frequency response is marked by a strengthened stratospheric jet during winter and the response is not static but tracks with the centre of the polar vortex. In the lower stratosphere, the positive response of temperature to the 11-year SC is dominated by its low-frequency component, which extends from the North Pole to the South Pole. The low-frequency tropospheric response is latitudinally symmetrical about the Equator and consistent with the modelled responses to temperature perturbation in the lower stratosphere. The signals are found to be sensitive to contamination from the 2002 sudden stratospheric warming event and major volcanic eruptions but the general spatial pattern of the responses remains similar. A significant projection of the 11-year SC onto the Southern Annular Mode (SAM) can only be detected in the stratosphere and in the high-frequency component. The signature is marked by a strengthening of the stratospheric SAM during winter and a weakening of the SAM in the uppermost stratosphere during spring. Copyright (C) 2011 Royal Meteorological Society</t>
  </si>
  <si>
    <t>[Lu, Hua; Jarvis, Martin J.] British Antarctic Survey, Cambridge CB3 0ET, England; [Gray, Lesley J.] Univ Oxford, Dept Ocean Atmospher &amp; Planetary Phys, NCAS Climate, Oxford OX1 2JD, England; [Baldwin, Mark P.] NW Res Associates Inc, Redmond, WA USA</t>
  </si>
  <si>
    <t>UK Research &amp; Innovation (UKRI); Natural Environment Research Council (NERC); NERC British Antarctic Survey; University of Oxford; NorthWest Research Associates</t>
  </si>
  <si>
    <t>Lu, H (corresponding author), British Antarctic Survey, Madingley Rd, Cambridge CB3 0ET, England.</t>
  </si>
  <si>
    <t>hlu@bas.ac.uk</t>
  </si>
  <si>
    <t>Gray, Lesley J/D-3610-2009; Lu, Hua/GXA-0276-2022; Baldwin, Mark P/J-6720-2012</t>
  </si>
  <si>
    <t>Lu, Hua/0000-0001-9485-5082; Gray, Lesley/0000-0002-7803-9277</t>
  </si>
  <si>
    <t>UK Natural Environment Research Council (NERC); UK NERC National Centre for Atmospheric Science (NCAS); NSF under the US CLIVAR; Office of Polar Programs; Natural Environment Research Council [bas0100023, NE/H024409/1, NE/D003652/1, ncas10009, NE/D002753/1] Funding Source: researchfish; NERC [NE/D003652/1, NE/H024409/1, NE/D002753/1, bas0100023] Funding Source: UKRI</t>
  </si>
  <si>
    <t>UK Natural Environment Research Council (NERC)(UK Research &amp; Innovation (UKRI)Natural Environment Research Council (NERC)); UK NERC National Centre for Atmospheric Science (NCAS); NSF under the US CLIVAR; Office of Polar Programs(National Science Foundation (NSF)NSF - Directorate for Geosciences (GEO)); Natural Environment Research Council(UK Research &amp; Innovation (UKRI)Natural Environment Research Council (NERC)); NERC(UK Research &amp; Innovation (UKRI)Natural Environment Research Council (NERC))</t>
  </si>
  <si>
    <t>HL and MJJ were supported by the UK Natural Environment Research Council (NERC). LJG was supported by the UK NERC National Centre for Atmospheric Science (NCAS). MPB was funded by NSF under the US CLIVAR program and the Office of Polar Programs. Finally, we thank two anonymous reviewers for their detailed and constructive comments on the original version of the manuscript.</t>
  </si>
  <si>
    <t>10.1002/qj.852</t>
  </si>
  <si>
    <t>WOS:000295139700019</t>
  </si>
  <si>
    <t>Smith, DE; Harrison, S; Firth, CR; Jordan, JT</t>
  </si>
  <si>
    <t>Smith, D. E.; Harrison, S.; Firth, C. R.; Jordan, J. T.</t>
  </si>
  <si>
    <t>The early Holocene sea level rise</t>
  </si>
  <si>
    <t>Early Holocene sea level rise; Ice sheet; Meltwater pulse; Coastlines; Ocean currents; Volcanoes; Submarine slides; Human migrations and cultural change</t>
  </si>
  <si>
    <t>LAST GLACIAL MAXIMUM; FRESH-WATER OUTBURSTS; ANTARCTIC ICE-SHEET; LATE PLEISTOCENE; LAKE AGASSIZ; SUBMARINE LANDSLIDES; STOREGGA SLIDE; NORTH-ATLANTIC; YOUNGER DRYAS; BLACK-SEA</t>
  </si>
  <si>
    <t>The causes, anatomy and consequences of the early Holocene sea level rise (EHSLR) are reviewed. The rise, of ca 60m, took place over most of the Earth as the volume of the oceans increased during deglaciation and is dated at 11,650-7000 cal. BP. The EHSLR was largely driven by meltwater release from decaying ice masses and the break up of coastal ice streams. The patterns of ice sheet decay and the evidence for meltwater pulses are reviewed, and it is argued that the EHSLR was a factor in the ca 8470 BP flood from Lake Agassiz-Ojibway. Patterns of relative sea level changes are examined and it is argued that in addition to regional variations, temporal changes are indicated. The impact of the EHSLR on climate is reviewed and it is maintained that the event was a factor in the 8200 BP cooling event, as well as in changes in ocean current patterns and their resultant effects. The EHSLR may also have enhanced volcanic activity, but no clear evidence of a causal link with submarine sliding on continental slopes and shelves can yet be demonstrated. The rise probably influenced rates and patterns of human migrations and cultural changes. It is concluded that the EHSLR was a major event of global significance, knowledge of which is relevant to an understanding of the impacts of global climate change in the future. (C) 2011 Elsevier Ltd. All rights reserved.</t>
  </si>
  <si>
    <t>[Smith, D. E.] Univ Oxford, Ctr Environm, Oxford OX1 3QY, England; [Harrison, S.] Univ Exeter, Dept Geog, Penryn TR10 9EZ, Cornwall, England; [Firth, C. R.] Univ Brighton, Sch Environm &amp; Technol, Brighton BN2 4GJ, E Sussex, England; [Jordan, J. T.] Coventry Univ, Dept Geog Environm &amp; Disaster Management, Coventry CV1 5FB, W Midlands, England</t>
  </si>
  <si>
    <t>University of Oxford; University of Exeter; University of Brighton; Coventry University</t>
  </si>
  <si>
    <t>Smith, DE (corresponding author), Univ Oxford, Ctr Environm, S Parks Rd, Oxford OX1 3QY, England.</t>
  </si>
  <si>
    <t>david.smith@ouce.ox.ac.uk</t>
  </si>
  <si>
    <t>Firth, Callum/0000-0002-9698-1338; Jordan, Jason/0000-0001-6150-7022</t>
  </si>
  <si>
    <t>1873-457X</t>
  </si>
  <si>
    <t>10.1016/j.quascirev.2011.04.019</t>
  </si>
  <si>
    <t>WOS:000293436700005</t>
  </si>
  <si>
    <t>Cléroux, C; Demenocal, P; Guilderson, T</t>
  </si>
  <si>
    <t>Cleroux, Caroline; deMenocal, Peter; Guilderson, Thomas</t>
  </si>
  <si>
    <t>Deglacial radiocarbon history of tropical Atlantic thermocline waters: absence of CO2 reservoir purging signal</t>
  </si>
  <si>
    <t>Deglaciation; Radiocarbon; Thermocline; Atlantic; Equator; CO2 purging</t>
  </si>
  <si>
    <t>NORTH-ATLANTIC; SOUTHERN-OCEAN; C-14 CALIBRATION; PACIFIC-OCEAN; DEEP; CARBON; INTERMEDIATE; TEMPERATURE; CIRCULATION; EQUATORIAL</t>
  </si>
  <si>
    <t>A current scenario to explain much of the atmospheric CO2 increase during the Glacial to Holocene climate transition requires the outgassing of a deep, old oceanic CO2 reservoir thought to be located in the Southern Ocean. In this scenario, CO2-rich and C-14-depleted subsurface Antarctic-sourced water, ventilates the thermocline where it is purged to the atmosphere in the equatorial regions, a view that has been met with conflicting results. Using a novel approach (paired surface and deep-dwelling planktonic foraminifer radiocarbon analyses), we document that the equatorial Atlantic thermocline did not see old, C-14-depleted water, which would be characteristic of the proposed isolated deep ocean CO2 reservoir. Data from several studies concur that, during the deglaciation. Antarctic intermediate waters were contributing to Atlantic thermocline waters even more than today, therefore, our observations challenge the current purging hypothesis. Together with other studies, these results suggest that the mechanism responsible for the deglacial CO2 rise cannot invoke contemporary circulation modes and/or thermocline ventilation pathways. (C) 2011 Elsevier Ltd. All rights reserved.</t>
  </si>
  <si>
    <t>[Cleroux, Caroline; deMenocal, Peter] Columbia Univ, Lamont Doherty Earth Observ, Palisades, NY 10964 USA; [Guilderson, Thomas] Lawrence Livermore Natl Lab, Ctr Accelerator Mass Spectrometry, Livermore, CA 94551 USA; [Guilderson, Thomas] Univ Calif Santa Cruz, Dept Ocean Sci, Santa Cruz, CA 95064 USA</t>
  </si>
  <si>
    <t>Columbia University; United States Department of Energy (DOE); Lawrence Livermore National Laboratory; University of California System; University of California Santa Cruz</t>
  </si>
  <si>
    <t>Cléroux, C (corresponding author), Columbia Univ, Lamont Doherty Earth Observ, Palisades, NY 10964 USA.</t>
  </si>
  <si>
    <t>ccleroux@ldeo.columbia.edu</t>
  </si>
  <si>
    <t>; deMenocal, Peter/B-1386-2013</t>
  </si>
  <si>
    <t>Guilderson, Thomas/0000-0001-9371-7059; deMenocal, Peter/0000-0002-7191-717X</t>
  </si>
  <si>
    <t>LDEO Climate Center; American Chemical Society PRF [47625-AC2]; NSF [OCE-0927247]; Division Of Ocean Sciences; Directorate For Geosciences [0927247] Funding Source: National Science Foundation</t>
  </si>
  <si>
    <t>LDEO Climate Center; American Chemical Society PRF(American Chemical Society); NSF(National Science Foundation (NSF)); Division Of Ocean Sciences; Directorate For Geosciences(National Science Foundation (NSF)NSF - Directorate for Geosciences (GEO))</t>
  </si>
  <si>
    <t>This work was made possible by an LDEO Climate Center grant, American Chemical Society PRF grant 47625-AC2, and NSF award OCE-0927247. We thank Brad Linsley and Stephen Howe at SUNY Albany for the stable isotope measurements.</t>
  </si>
  <si>
    <t>10.1016/j.quascirev.2011.04.015</t>
  </si>
  <si>
    <t>WOS:000293436700007</t>
  </si>
  <si>
    <t>Blagoveshchenskaya, NF; Borisova, TD; Kornienko, VA; Rietveld, MT; Yeoman, TK; Wright, DM; Rother, M; Lühr, H; Mishin, EV; Roth, C; Frolov, VL; Parrot, M; Rauch, JL</t>
  </si>
  <si>
    <t>Blagoveshchenskaya, N. F.; Borisova, T. D.; Kornienko, V. A.; Rietveld, M. T.; Yeoman, T. K.; Wright, D. M.; Rother, M.; Luehr, H.; Mishin, E. V.; Roth, C.; Frolov, V. L.; Parrot, M.; Rauch, J. L.</t>
  </si>
  <si>
    <t>MODIFICATION OF THE HIGH-LATITUDE IONOSPHERE BY HIGH-POWER HF RADIO WAVES. 2. RESULTS OF COORDINATED SATELLITE AND GROUND-BASED OBSERVATIONS</t>
  </si>
  <si>
    <t>RADIOPHYSICS AND QUANTUM ELECTRONICS</t>
  </si>
  <si>
    <t>MAGNETOSPHERE; EISCAT</t>
  </si>
  <si>
    <t>We present the results of coordinated satellite and ground-based observations of the high-latitude ionospheric phenomena induced by high-power high-frequency (HF) radio waves. The ion outflow phenomenon accompanied by a strong increase in the electron temperature and thermal expansion of plasma was observed in the evening hours, when the high-latitude ionospheric F region was heated by high-power O-mode HF radio waves. The DMSP F15 satellite recorded an increase in the ion number density O+ at an altitide of about 850 km in that period. Ultralow-frequency (ULF) radiation at the modulation frequency 3 Hz of the high-power HF radio waves, which was generated in the ionosphere irradiated by high-power O-mode HF radio waves and accompanied by a strong increase in the electron temperature and the generation of artificial small-scale ionospheric irregularities, was recorded by the CHAMP satellite during the heating experiment in Tromso in November 5, 2009. The results of the DEMETER satellite observations of extremely low frequency (ELF) radiation at the modulation frequency 1178 Hz of the high-power radio waves in the heating experiments were analyzed using the event of March 3, 2009 as an example.</t>
  </si>
  <si>
    <t>[Blagoveshchenskaya, N. F.; Borisova, T. D.; Kornienko, V. A.] Arctic &amp; Antarctic Res Inst, St Petersburg, Russia; [Rietveld, M. T.] EISCAT Sci Assoc, Ramfjordbotn, Norway; [Yeoman, T. K.; Wright, D. M.] Univ Leicester, Leicester, Leics, England; [Rother, M.; Luehr, H.] Geoforschungszentrum Potsdam, D-14473 Potsdam, Germany; [Mishin, E. V.] USAF, Res Lab, Hanscom AFB, MA USA; [Roth, C.] AER Inc, Lexington, MA USA; [Frolov, V. L.] Radiophys Res Inst, Nizhnii Novgorod, Russia; [Parrot, M.; Rauch, J. L.] Lab Phys &amp; Chim Environm &amp; Espace, Orleans, France</t>
  </si>
  <si>
    <t>Arctic &amp; Antarctic Research Institute; University of Leicester; Helmholtz Association; Helmholtz-Center Potsdam GFZ German Research Center for Geosciences; United States Department of Defense; United States Air Force; Atmospheric &amp; Environmental Research; Lobachevsky State University of Nizhni Novgorod</t>
  </si>
  <si>
    <t>Blagoveshchenskaya, NF (corresponding author), Arctic &amp; Antarctic Res Inst, St Petersburg, Russia.</t>
  </si>
  <si>
    <t>nataly@aari.nw.ru</t>
  </si>
  <si>
    <t>Blagoveshchenskaya, Nataly/AAE-4093-2022; Blagoveshchenskaya, Nataly F./S-4342-2017; Borisova, Tatiana/AAK-7698-2020; Frolov, Vladimir/AAU-9780-2020; Yeoman, Timothy k/L-9105-2014</t>
  </si>
  <si>
    <t>Blagoveshchenskaya, Nataly/0000-0003-1752-3273; Blagoveshchenskaya, Nataly F./0000-0003-1752-3273; Yeoman, Timothy k/0000-0002-8434-4825; MISHIN, EVGENY/0000-0002-3183-0600; Borisova, Tatiana/0000-0003-1727-5310</t>
  </si>
  <si>
    <t>Science and Technology Council of Great Britain [PP/E007929/1, ST/H002480/1]; Meteorological Institute of Finland; Institute of Space Physics of Sweden; Federal Target Program Geophysics; Russian Foundation for Basic Research [07-05-00167a, 08-02-00171a]; Science and Technology Facilities Council [PP/E007929/1, ST/H002480/1] Funding Source: researchfish</t>
  </si>
  <si>
    <t>Science and Technology Council of Great Britain; Meteorological Institute of Finland; Institute of Space Physics of Sweden; Federal Target Program Geophysics; Russian Foundation for Basic Research(Russian Foundation for Basic Research (RFBR)Spanish Government); Science and Technology Facilities Council(UK Research &amp; Innovation (UKRI)Science &amp; Technology Facilities Council (STFC))</t>
  </si>
  <si>
    <t>The authors are grateful to the EISCAT collaborators for help with the the experiments in Tromso. The system of CUTLASS radars in Finland and Iceland was supported by the Science and Technology Council of Great Britain, project PP/E007929/1, the Meteorological Institute of Finland, and the Institute of Space Physics of Sweden. This work was supported in part by the Federal Target Program Geophysics and the Russian Foundation for Basic Research (project Nos. 07-05-00167a and 08-02-00171a). Dr. T. K. Yeoman was supported by the Science and Technology Council of Great Britain (project No. ST/H002480/1).</t>
  </si>
  <si>
    <t>0033-8443</t>
  </si>
  <si>
    <t>1573-9120</t>
  </si>
  <si>
    <t>RADIOPHYS QUANT EL+</t>
  </si>
  <si>
    <t>Radiophys. Quantum Electron.</t>
  </si>
  <si>
    <t>10.1007/s11141-011-9273-9</t>
  </si>
  <si>
    <t>Engineering, Electrical &amp; Electronic; Physics, Applied; Physics, Fluids &amp; Plasmas</t>
  </si>
  <si>
    <t>Engineering; Physics</t>
  </si>
  <si>
    <t>801VB</t>
  </si>
  <si>
    <t>WOS:000293467600002</t>
  </si>
  <si>
    <t>González, PM</t>
  </si>
  <si>
    <t>Mancilla Gonazlez, Pablo</t>
  </si>
  <si>
    <t>HISTORICAL BACKGROUND ON THE TERRITORY ANTARCTIC CHILEAN KNOWN TO 1950</t>
  </si>
  <si>
    <t>REVISTA ESTUDIOS HEMISFERICOS Y POLARES</t>
  </si>
  <si>
    <t>Antartic Continent; Chilean Antartic Territory; Historical Background</t>
  </si>
  <si>
    <t>This bibliographic and documentary research aims to describe briefly the development of the historical background for which Chile basis at the Decade of 1940 and 1950 sovereignty rights over the Chilean Antarctic Territory delimited by the Supreme Decree No. 1747 on November 6, 1940 during the Government of Pedro Aguirre Cerda.</t>
  </si>
  <si>
    <t>[Mancilla Gonazlez, Pablo] Univ Playa Ancha, Valparaiso, Chile; [Mancilla Gonazlez, Pablo] Univ Santo Tomas, Vina Del Mar, Chile; [Mancilla Gonazlez, Pablo] Ctr Estudios Hemisfer &amp; Polares, Vina Del Mar, Chile</t>
  </si>
  <si>
    <t>Universidad de Playa Ancha; Universidad Santo Tomas</t>
  </si>
  <si>
    <t>González, PM (corresponding author), Univ Playa Ancha, Valparaiso, Chile.</t>
  </si>
  <si>
    <t>pmancillag@santotomas.cl</t>
  </si>
  <si>
    <t>CENTRO ESTUDIOS HEMISFERICOS &amp; POLARES</t>
  </si>
  <si>
    <t>VINA DEL MAR</t>
  </si>
  <si>
    <t>CALLE ROMA, 116, CALETA ABARCA, VINA DEL MAR, 2580060, CHILE</t>
  </si>
  <si>
    <t>0718-9230</t>
  </si>
  <si>
    <t>REV ESTUD HEMISFERIC</t>
  </si>
  <si>
    <t>Rev. Estud. Hemisfericos Polares</t>
  </si>
  <si>
    <t>Area Studies</t>
  </si>
  <si>
    <t>V36GG</t>
  </si>
  <si>
    <t>WOS:000215956100002</t>
  </si>
  <si>
    <t>Cohen, BL; Bitner, MA; Harper, EM; Lee, DE; Mutschke, E; Sellanes, J</t>
  </si>
  <si>
    <t>Cohen, Bernard L.; Bitner, Maria A.; Harper, Elizabeth M.; Lee, Daphne E.; Mutschke, Erika; Sellanes, Javier</t>
  </si>
  <si>
    <t>Vicariance and convergence in Magellanic and New Zealand long-looped brachiopod clades (Pan-Brachiopoda: Terebratelloidea)</t>
  </si>
  <si>
    <t>ZOOLOGICAL JOURNAL OF THE LINNEAN SOCIETY</t>
  </si>
  <si>
    <t>COI mtDNA; molecular clocks; molecular systematics; parapatric clades; radial ornament; rDNA; rib</t>
  </si>
  <si>
    <t>FOSSIL RECORD; PHORONIDS; SEQUENCES; PHYLOGENETICS; EVOLUTION; SELECTION; DYNAMICS; PATTERNS; FIDELITY; SUPPORTS</t>
  </si>
  <si>
    <t>Phylogenetic reconstructions using parsimony, maximum likelihood (ML), and Bayesian relaxed molecular clock analyses of similar to 2850 nucleotides of nuclear-encoded small and large subunit ribosomal DNAs (SSU and LSU rDNAs) from 14 long-looped (terebratelloid) ingroup and four short-looped (terebratulidine) outgroup brachiopod taxa, together with ML analyses of similar to 663 nucleotides of mitochondrial cytochrome oxidase subunit 1 (cox1) from 12 terebratelloid taxa, show that deep divergence separates taxa endemic to waters in the vicinity of New Zealand from those with a Magellanic distribution around South America and Antarctica. This deep divergence also separates Magellanic Terebratella dorsata from New Zealand Terebratella sanguinea, showing that they are not congeneric. Instead, they belong to separate 'Magellanic' (MAG) and 'New Zealand' (NZ) clades that first diverged about 82 Mya (95% highest posterior density, 48-120 Mya), correlating with separation between the NZ and Antarctic tectonic plates. Sequence analyses also reveal (1) that the Antarctic endemic taxa Magellania fragilis and Magellania joubini are not congeneric with Magellania venosa, suggesting that their previous placement in Aerothyris should be restored, and (2) that divergence between Antarctic and NZ species of the terebratulide Liothyrella occurred much later than plate separation, perhaps because of continuing gene flow caused by long-lived larvae. The topology of the rDNA and cox1 gene trees implies that radial ornament of the shell ('ribbing') has been gained (and/or lost) independently within the MAG and NZ clades. Radial ribs are widespread in articulate brachiopods throughout the Phanerozoic, but no comparisons of brachiopod rib morphology and morphogenesis have been published. Our comparisons of transverse shell mid-sections in the scanning electron microscope reveal no obvious evidence of differences in morphology between independently gained ribs. We also consider several ways in which ribs may affect fitness, including effects on hydrodynamics. Only scanty and inconclusive evidence is available, but we suggest that effects (if any) are likely to be of small magnitude; adaptive value of brachiopod shell ribs remains to be demonstrated. (C) 2011 The Linnean Society of London, Zoological Journal of the Linnean Society, 2011, 162, 631-645. doi: 10.1111/j.1096-3642.2010.00682.x</t>
  </si>
  <si>
    <t>[Cohen, Bernard L.] Univ Glasgow, Sch Biol, Anderson Coll A421, Glasgow G11 6NU, Lanark, Scotland; [Bitner, Maria A.] Polish Acad Sci, Inst Palaeobiol, PL-00818 Warsaw, Poland; [Harper, Elizabeth M.] Univ Cambridge, Dept Earth Sci, Cambridge CB2 3EQ, England; [Lee, Daphne E.] Univ Otago, Dept Geol, Dunedin, New Zealand; [Mutschke, Erika] Univ Magallanes, Inst Patagonia, Punta Arenas, Chile; [Sellanes, Javier] Univ Catolica Norte, Dept Biol Marina, Larrondo 1281, Coquimbo, Chile; [Sellanes, Javier] Univ Concepcion, Concepcion, Chile</t>
  </si>
  <si>
    <t>University of Glasgow; Polish Academy of Sciences; University of Cambridge; University of Otago; Universidad de Magallanes; Universidad Catolica del Norte; Universidad de Concepcion</t>
  </si>
  <si>
    <t>Cohen, BL (corresponding author), Univ Glasgow, Sch Biol, Anderson Coll A421, 56 Dumbarton Rd, Glasgow G11 6NU, Lanark, Scotland.</t>
  </si>
  <si>
    <t>b.l.cohen@bio.gla.ac.uk</t>
  </si>
  <si>
    <t>Cohen, Bernard/ABC-3430-2020; Sellanes, Javier/P-4699-2019; Bitner, Maria/ABF-5623-2020; Sellanes, Javier/I-5722-2012; Harper, Elizabeth M/B-3890-2008</t>
  </si>
  <si>
    <t>Sellanes, Javier/0000-0002-6942-0762; Bitner, Maria/0000-0002-2864-2967; Sellanes, Javier/0000-0002-6942-0762;</t>
  </si>
  <si>
    <t>Royal Society of Edinburgh</t>
  </si>
  <si>
    <t>This work could not have been performed without the assistance over many years of those who collected brachiopods. Particular thanks are due to Paul Brickle, Fisheries Department, Falkland Islands Government, for additional Terebratella dorsata and to V. V. Malakhov, Moscow State University, for Coptothyris. Julie Galbraith is thanked for a reliable and successful in-house DNA sequencing service, now alas! no more. M. A. B. is indebted to the Royal Society of Edinburgh for travel and subsistence Fellowship support. This paper was much improved in response to criticisms provided by two journal referees.</t>
  </si>
  <si>
    <t>0024-4082</t>
  </si>
  <si>
    <t>1096-3642</t>
  </si>
  <si>
    <t>ZOOL J LINN SOC-LOND</t>
  </si>
  <si>
    <t>Zool. J. Linn. Soc.</t>
  </si>
  <si>
    <t>10.1111/j.1096-3642.2010.00682.x</t>
  </si>
  <si>
    <t>783TT</t>
  </si>
  <si>
    <t>WOS:000292107600006</t>
  </si>
  <si>
    <t>Mah, C; Foltz, D</t>
  </si>
  <si>
    <t>Mah, Christopher; Foltz, David</t>
  </si>
  <si>
    <t>Molecular phylogeny of the Forcipulatacea (Asteroidea: Echinodermata): systematics and biogeography</t>
  </si>
  <si>
    <t>Antarctica; deep-sea; echinoderms; Mesozoic; molecular systematics; phylogenetic systematics; revision; Southern Hemisphere</t>
  </si>
  <si>
    <t>SEA STARS; FEEDING-BEHAVIOR; SEYMOUR ISLAND; CLIMATE-CHANGE; CLASSIFICATION; TAXA; DIET</t>
  </si>
  <si>
    <t>We present a comprehensively sampled three-gene phylogeny of the monophyletic Forcipulatacea, one of three major lineages within the crown-group Asteroidea. We present substantially more Southern Hemisphere and deep-sea taxa than were sampled in previous molecular studies of this group. Morphologically distinct groups, such as the Brisingida and the Zoroasteridae, are upheld as monophyletic. Brisingida is supported as the derived sister group to the Asteriidae (restricted), rather than as a basal taxon. The Asteriidae is paraphyletic, and is broken up into the Stichasteridae and four primary asteriid clades: (1) a highly diverse boreal clade, containing members from the Arctic and sub-Arctic in the Northern Hemisphere; (2) the genus Sclerasterias; (3) and (4) two sister clades that contain asteriids from the Antarctic and pantropical regions. The Stichasteridae, which was regarded as a synonym of the Asteriidae, is resurrected by our results, and represents the most diverse Southern Hemisphere forcipulatacean clade (although two deep-sea stichasterid genera occur in the Northern Hemisphere). The Labidiasteridae is artificial, and should be synonymized into the Heliasteridae. The Pedicellasteridae is paraphyletic, with three separate clades containing pedicellasterid taxa emerging among the basal Forcipulatacea. Fossils and timing estimates from species-level phylogeographic studies are consistent with prior phylogenetic hypotheses for the Forcipulatacea, suggesting diversification of basal taxa in the early Mesozoic, with some evidence for more widely distributed ranges from Cretacous taxa. Our analysis suggests a hypothesis of an older fauna present in the Antarctic during the Eocene, which was succeeded by a modern Antarctic fauna that is represented by the recently derived Antarctic Asteriidae and other forcipulatacean lineages. (C) 2011 The Linnean Society of London, Zoological Journal of the Linnean Society, 2011, 162, 646-660. doi: 10.1111/j.1096-3642.2010.00688.x</t>
  </si>
  <si>
    <t>[Mah, Christopher] Smithsonian Inst, Washington, DC 20013 USA; [Foltz, David] Louisiana State Univ Biol Sci, Baton Rouge, LA 70803 USA</t>
  </si>
  <si>
    <t>Smithsonian Institution; Louisiana State University System; Louisiana State University</t>
  </si>
  <si>
    <t>Mah, C (corresponding author), Smithsonian Inst, POB 37012,MRC 163, Washington, DC 20013 USA.</t>
  </si>
  <si>
    <t>mahch@si.edu</t>
  </si>
  <si>
    <t>NSF [OPP-0631245]; LSU</t>
  </si>
  <si>
    <t>NSF(National Science Foundation (NSF)); LSU</t>
  </si>
  <si>
    <t>For providing specimens and facilitating specimen loans and materials, we thank: Bob Carney, Louisiana State University; Cynthia Ahearn (deceased), Tim Coffer, Paul Greenhall, and Dave Pawson, Smithsonian Institution; Chrissy Piotrowski, Rich Mooi, Bob Van Syoc, and Susie Lockhart, California Academy of Sciences; Tim O'Hara, Museum Victoria; Martha Nizinski, National Marine Fisheries Service; Kate O'Neil and Kareen Schnabel, National Institute of Water and Atmosphere (New Zealand); and Marc Eleaume and Nadia Ameziane, Museum national d'Histoire naturelle (Paris). The authors would also like to extend special thanks to Mieko Komatsu for providing tissue from Plazaster. John Pearse, UC Santa Cruz, Dan Blake, University of Illinois-Urbana Champaign, and Lynn Parenti, Department of Ichthyology, Smithsonian Institution, graciously read early drafts of the manuscript and volunteered improvements. We are grateful to David Clague, Craig MacClain, the personnel of the Monterey Bay Aquarium Research Institute (MBARI), and the crew of the R/V Western Flyer for their efforts in collecting material used herein. Thanks also to Sandra Brooke, Marine Conservation Biology Institute (MCBI) for an image used in Fig. 1. This research was supported by NSF-Polar Programs Postdoctoral Fellowship OPP-0631245 to CM, and by an LSU Faculty Research Grant to DF.</t>
  </si>
  <si>
    <t>10.1111/j.1096-3642.2010.00688.x</t>
  </si>
  <si>
    <t>WOS:000292107600007</t>
  </si>
  <si>
    <t>Strunecky, O; Elster, J; Komárek, J</t>
  </si>
  <si>
    <t>Strunecky, Otakar; Elster, Josef; Komarek, Jiri</t>
  </si>
  <si>
    <t>Taxonomic revision of the freshwater cyanobacterium Phormidium murrayi = Wilmottia murrayi</t>
  </si>
  <si>
    <t>FOTTEA</t>
  </si>
  <si>
    <t>Article; Proceedings Paper</t>
  </si>
  <si>
    <t>18th Symposium of the International-Association-for-Cyanobacteria/Cyanophyte Research</t>
  </si>
  <si>
    <t>AUG 15-20, 2010</t>
  </si>
  <si>
    <t>Budweis, CZECH REPUBLIC</t>
  </si>
  <si>
    <t>cyanobacteria; Phormidium; polyphasic taxonomy; ecology; Antarctica</t>
  </si>
  <si>
    <t>RIBOSOMAL-RNA; MORPHOLOGICAL CHARACTERIZATION; SEQUENCE-ANALYSIS; CIERVA POINT; OSCILLATORIALES; DIVERSITY; STRAINS; DNA</t>
  </si>
  <si>
    <t>The cyanobacterial genus Phormidium is polyphyletic, as follows from recent molecular and phenotypic analyses. Several isolated clusters were found also in Antarctic populations (TATON et al. 2006, TATON et al. 2010, STRUNECKY et al. 2010b). A few of them have already been described or revised on the generic level (e.g., Phormidesmis, Microcoleus). One of the separate clusters belongs to a group of strains identified traditionally as Phormidium murrayi, described from the Antarctica originally in 1911 as Lyngbya murrayi by W. et G.S.WEST. We evaluated 23 morphologically similar strains or populations resembling Ph. murrayi from the Antarctica and few other geographical regions; 6 of them were studied by us by molecular methods. Morphological characteristics and 16S rDNA similarity corresponding with typical Ph. murrayi were shared mostly by the specimens from the Antarctica. Molecular analyses confirmed that Ph. murrayi represents a special taxonomic group (on the generic level) inhabiting commonly shallow freshwater classified as a special genus in cyanobacterial taxonomy (Wilmottia gen. nov.) according to the recent polyphasic approach. The type species of Wilmottia, W murrayi, was determined up to now to be characteristic for the Antarctica. Other phylogenetically and morphologically similar types from other regions represent possibly different taxa (species) of the same generic unit. The specific status of similar or related strains from other regions should be therefore solved in the future.</t>
  </si>
  <si>
    <t>[Strunecky, Otakar] Acad Sci Czech Republ, Inst Bot, Trebon, Czech Republic; Univ S Bohemia, Fac Sci, Ceske Budejovice, Czech Republic</t>
  </si>
  <si>
    <t>Czech Academy of Sciences; Institute of Botany of the Czech Academy of Sciences; University of South Bohemia Ceske Budejovice</t>
  </si>
  <si>
    <t>Strunecky, O (corresponding author), Acad Sci Czech Republ, Inst Bot, Dukelska 135, Trebon, Czech Republic.</t>
  </si>
  <si>
    <t>Komarek, Jiri/H-1597-2014; strunecky, otakar/M-2643-2019; Strunecky, Otakar/H-1629-2014; Elster, Josef/B-1031-2008</t>
  </si>
  <si>
    <t>Strunecky, Otakar/0000-0001-9735-4662; Elster, Josef/0000-0002-4535-5636</t>
  </si>
  <si>
    <t>CZECH PHYCOLOGICAL SOC</t>
  </si>
  <si>
    <t>PRAHA 2</t>
  </si>
  <si>
    <t>BENATSKA 2,, PRAHA 2, CZ-128 01, CZECH REPUBLIC</t>
  </si>
  <si>
    <t>1802-5439</t>
  </si>
  <si>
    <t>Fottea</t>
  </si>
  <si>
    <t>10.5507/fot.2011.007</t>
  </si>
  <si>
    <t>776CD</t>
  </si>
  <si>
    <t>WOS:000291511200007</t>
  </si>
  <si>
    <t>Domack, EW; Hoffman, PF</t>
  </si>
  <si>
    <t>Domack, Eugene W.; Hoffman, Paul F.</t>
  </si>
  <si>
    <t>An ice grounding-line wedge from the Ghaub glaciation (635 Ma) on the distal foreslope of the Otavi carbonate platform, Namibia, and its bearing on the snowball Earth hypothesis</t>
  </si>
  <si>
    <t>GEOLOGICAL SOCIETY OF AMERICA BULLETIN</t>
  </si>
  <si>
    <t>ANTARCTIC PENINSULA; EAST ANTARCTICA; DEBRIS FLOWS; CLAST SHAPE; PRYDZ BAY; ROSS SEA; MARGIN; SHEET; SHELF; SEDIMENT</t>
  </si>
  <si>
    <t>Our detailed examination of the Ghaub Formation (possibly 635 Ma) on the distal foreslope of the Otavi carbonate platform is part of a regional study of the Congo paleocontinental margin in northwestern Namibia. Detrital carbonates of the Ghaub Formation disconformably overlie the Franni-aus Member of the Ombaatjie Formation, a coarsening-upward stack of carbonate turbidites and oolite-clast debris-flow breccias interpreted to be a glacioeustatic falling-stand wedge. Within the main Ghaub Formation, carbonate diamictites are interleaved with mesoscale, laminated to crosslaminated (climbing rippled) grainstones and mudstones, and conglomeratic carbonates. Amalgamation of diamictite units is observed where interleaved facies (grainstones/mudstones) are laterally discontinuous due to reactivation of erosion, followed by renewed deposition. The diamictite package is progradational overall and 80 m thick on average. It is overlain by the 5-15-m-thick Bethanis Member, which is unique in its lateral continuity, composite fining-upward trend, and distinctive interbedding of turbidite grainstones, argillaceous siltstones, climbing-rippled mudstones, and meter-scale stromatolite dropstones. Dropstones are ubiquitous within the finer-grained (Ghaub) lithofacies, and their presence, along with the facies context for subglacial and near grounding-line deposition, indicates a glacigenic origin for the Ghaub Formation, despite its subtropical paleolatitude and distal foreslope setting. We infer a glacial maximum represented by the sub-Ghaub disconformity, followed by the main Ghaub interval when an ice grounding line on the distal foreslope experienced abrupt step backs and readvances of limited magnitude, terminated by the Bethanis episode of unusually widespread iceberg calving and slope instability. The Bethanis Member is overlain conformably by the Keilberg Member of the Maieberg Formation. Reconstruction of the foreslope places the Ghaub grounding-line wedge &gt;1.3 km vertically below the rim of the platform, implying an enormous base-level change upon deglaciation, when the platform was drowned below wave base for a period far exceeding the time scale for isostatic adjustment. The magnitude of base-level change supports the panglacial hypothesis that dynamic (thick) ice sheets existed simultaneously on virtually all continents. The snowball hypothesis that the oceans were also covered by glacial ice (sea-glacier) provides a simple explanation for the main Ghaub-to-Bethanis transition-terminal deglaciation was triggered by collapse of the sea-glacier.</t>
  </si>
  <si>
    <t>[Domack, Eugene W.] Hamilton Coll, Dept Geosci, Clinton, NY 13323 USA; [Hoffman, Paul F.] Harvard Univ, Dept Earth &amp; Planetary Sci, Cambridge, MA 02138 USA; [Hoffman, Paul F.] Univ Victoria, Sch Earth &amp; Ocean Sci, Victoria, BC V8W 2Y2, Canada</t>
  </si>
  <si>
    <t>Hamilton College; Harvard University; University of Victoria</t>
  </si>
  <si>
    <t>Domack, EW (corresponding author), Hamilton Coll, Dept Geosci, 198 Coll Hill Rd, Clinton, NY 13323 USA.</t>
  </si>
  <si>
    <t>edomack@hamilton.edu; paulfhoffman@yahoo.com</t>
  </si>
  <si>
    <t>Guggenheim Fellowship; Hamilton College; National Science Foundation (NSF) [EAR-0417422]; Harvard University</t>
  </si>
  <si>
    <t>Guggenheim Fellowship; Hamilton College; National Science Foundation (NSF)(National Science Foundation (NSF)National Research Foundation of Korea); Harvard University</t>
  </si>
  <si>
    <t>This work was supported by a Guggenheim Fellowship (to Domack) and the J.W. Johnson Family Chair in Environmental Sciences at Hamilton College. Hoffman was supported by National Science Foundation (NSF) grant EAR-0417422 and Harvard University. We thank our student assistants, Tim Fox and Mary Beth Day, Gabe Jostrom and Hugh Daigle, Karen McKinnon and Allen Pope, for their valuable help across the rugged outcrops of the Fransfontein homocline. We thank participants in the 2008 field excursion to Namibia for their enthusiasm and insightful discussions. Thanks are also extended to Uwe Herbert for skillfully piloting the Super Cub and to Karl-Heinz Hoffmann of the Geological Survey of Namibia for advice.</t>
  </si>
  <si>
    <t>0016-7606</t>
  </si>
  <si>
    <t>1943-2674</t>
  </si>
  <si>
    <t>GEOL SOC AM BULL</t>
  </si>
  <si>
    <t>Geol. Soc. Am. Bull.</t>
  </si>
  <si>
    <t>10.1130/B30217.1</t>
  </si>
  <si>
    <t>772QF</t>
  </si>
  <si>
    <t>WOS:000291248800013</t>
  </si>
  <si>
    <t>Teets, NM; Kawarasaki, Y; Lee, RE; Denlinger, DL</t>
  </si>
  <si>
    <t>Teets, Nicholas M.; Kawarasaki, Yuta; Lee, Richard E., Jr.; Denlinger, David L.</t>
  </si>
  <si>
    <t>Survival and energetic costs of repeated cold exposure in the Antarctic midge, Belgica antarctica: a comparison between frozen and supercooled larvae (vol 214, pg 806, 2011)</t>
  </si>
  <si>
    <t>Teets, Nicholas/IQT-5328-2023; Kawarasaki, Yuta/AAD-4032-2019; Teets, Nicholas/H-7386-2013</t>
  </si>
  <si>
    <t>Teets, Nicholas/0000-0003-0963-7457</t>
  </si>
  <si>
    <t>10.1242/jeb.060624</t>
  </si>
  <si>
    <t>WOS:000291386300025</t>
  </si>
  <si>
    <t>Pichegru, L; Ropert-Coudert, Y; Kato, A; Takahashi, A; Dyer, BM; Ryan, PG</t>
  </si>
  <si>
    <t>Pichegru, Lorien; Ropert-Coudert, Yan; Kato, Akiko; Takahashi, Akinori; Dyer, Bruce M.; Ryan, Peter G.</t>
  </si>
  <si>
    <t>Diving patterns of female macaroni penguins breeding on Marion Island, South Africa</t>
  </si>
  <si>
    <t>Bio-logging; Behavioural flexibility; Dive efficiency; Eudyptes chrysolophus; Foraging ecology; Time-depth recorders</t>
  </si>
  <si>
    <t>PRINCE-EDWARD-ISLANDS; EUDYPTES-CHRYSOLOPHUS; ROCKHOPPER PENGUINS; FORAGING BEHAVIOR; ANTARCTIC KRILL; STRATEGIES; SEABIRDS; GEORGIA; NUMBERS; RANGE</t>
  </si>
  <si>
    <t>Despite the large biomass of macaroni penguins Eudyptes chrysolophus in the Southern Ocean, their feeding ecology is poorly known at some important breeding localities. We investigated the diving behaviour and diet of female macaroni penguins feeding small chicks on Marion Island (46A(0)52'S, 37A(0)5'E), South Africa, one of the species' most northerly breeding sites, supporting 4% of their global population. We then compared our results with similar studies from other localities. In December 2008, we collected information on 12 foraging trips from 6 individuals using time-depth recorders, as well as diet from 42 individuals. Median trip duration was 22.8 h (5.6-80.8 h). Penguins performed 42.8 +/- A 15.9 dives per hour at sea, with dive depths averaging 24.6 +/- A 8.6 m and lasting 40.8 +/- A 12.1 s, although 74.3% of dives were &lt; 10 m. Euphasids dominated their diet (86% by mass), mainly Thysanoessa vicina. A second peak in dive depths at 55-80 m might reflect the 12% of fish in their diet. The substantial proportion of shallow night dives (30% of total dives) suggests some foraging occurs at night. Differences in diving patterns of individual macaroni penguins in this study confirmed the behavioural flexibility of these birds reported from other breeding localities. However, most other studies assumed that dives &lt; 3-5 m were commuting dives whereas our study suggests that at least some prey are caught during shallow dives. We highlight how different analytical methods can change the outcome of studies. Despite macaroni penguins' apparent flexibility in foraging behaviour during the breeding season, their numbers are decreasing globally. Further investigations of their foraging behaviour are needed to assess potential competition with other predators and krill fisheries.</t>
  </si>
  <si>
    <t>[Pichegru, Lorien; Ryan, Peter G.] Univ Cape Town, DST NRF Ctr Excellence, Percy FitzPatrick Inst African Ornithol, ZA-7701 Rondebosch, South Africa; [Ropert-Coudert, Yan; Kato, Akiko] Univ Strasbourg, IPHC CNRS, UMR 7178, F-67087 Strasbourg, France; [Takahashi, Akinori] Natl Inst Polar Res, Tokyo 1908518, Japan; [Dyer, Bruce M.] Dept Environm Affairs Oceans &amp; Coasts, ZA-8012 Cape Town, South Africa</t>
  </si>
  <si>
    <t>University of Cape Town; National Research Foundation - South Africa; Centre National de la Recherche Scientifique (CNRS); CNRS - National Institute of Nuclear and Particle Physics (IN2P3); Universites de Strasbourg Etablissements Associes; Universite de Strasbourg; Research Organization of Information &amp; Systems (ROIS); National Institute of Polar Research (NIPR) - Japan</t>
  </si>
  <si>
    <t>Pichegru, L (corresponding author), Univ Cape Town, DST NRF Ctr Excellence, Percy FitzPatrick Inst African Ornithol, ZA-7701 Rondebosch, South Africa.</t>
  </si>
  <si>
    <t>lorien.pichegru@uct.ac.za</t>
  </si>
  <si>
    <t>Kato, Akiko/W-2447-2019</t>
  </si>
  <si>
    <t>Ryan, Peter/0000-0002-3356-2056; Kato, Akiko/0000-0002-8947-3634; Pichegru, Lorien/0000-0003-3815-9845</t>
  </si>
  <si>
    <t>National Research Foundation; Marine Living Resources Fund; DST/NRF Centre of Excellence at the Percy FitzPatrick Institute of African Ornithology</t>
  </si>
  <si>
    <t>Financial and logistical support was supplied by the South African National Antarctic Programme (through the National Research Foundation), the Marine Living Resources Fund and the DST/NRF Centre of Excellence at the Percy FitzPatrick Institute of African Ornithology. We warmly thank L. Clokie for assistance in the field, and Captain M. Vijoen and the crew of the FRS Africana for safe transport to and from the Prince Edwards Islands and for their hospitality. We also thank J. A. Green, T. Hart and an anonymous referee for constructive comments on the manuscript.</t>
  </si>
  <si>
    <t>10.1007/s00300-010-0950-5</t>
  </si>
  <si>
    <t>769VR</t>
  </si>
  <si>
    <t>WOS:000291046900001</t>
  </si>
  <si>
    <t>Reeves, S; McMinn, A; Martin, A</t>
  </si>
  <si>
    <t>Reeves, S.; McMinn, A.; Martin, A.</t>
  </si>
  <si>
    <t>The effect of prolonged darkness on the growth, recovery and survival of Antarctic sea ice diatoms</t>
  </si>
  <si>
    <t>Winter; Dark survival; Phytoplankton; Sea ice</t>
  </si>
  <si>
    <t>MCMURDO-SOUND; PHOTOSYNTHETIC PARAMETERS; ACCLIMATION; MICROALGAE; TEMPERATURE; PHOTOPROTECTION; PHYTOPLANKTON; OCEAN; PHOTOINHIBITION; FLUORESCENCE</t>
  </si>
  <si>
    <t>While global climate change in polar regions is expected to cause significant warming, the annual cycle of light and dark will remain unchanged. Cultures of three species of Antarctic sea ice diatoms, Fragilariopsis cylindrus (Grunow) Krieger, Thalassiosira antarctica Comber and Entomoneis kjellmanii (P.T. Cleve) Poulin and Cardinal, were incubated in the dark and exposed to differing temperatures. Maximum dark survival times varied between 30 and 60 days. Photosynthetic parameters, photosynthetic efficiency (alpha), maximum quantum yield (Fv/Fm), maximum relative electron transport rate (rETRmax) and non-photochemical quenching (NPQ), showed that dark exposure had a significant impact on photoacclimation. In contrast, elevated temperatures had a relatively minor impact on photosynthetic functioning during the dark exposure period but had a considerable impact on dark survival with minimal dark survival times reduced to only 7 days when exposed to 10A degrees C. Recovery of maximum quantum yield of fluorescence (Fv/Fm) was not significantly impacted by temperature, species or dark exposure length. Recovery rates of Fv/Fm ranged from -5.06E-7 +/- A 2.71E-7 s(-1) to 1.36E-5 +/- A 1.53E-5 s(-1) for monthly experiments and from -9.63E-7 +/- A 7.71E-7 s(-1) to 2.65E-5 +/- A 2.97E-5 s(-1) for weekly experiments. NPQ recovery was greater and more consistent than Fv/Fm recovery, ranging between 5.74E-7 +/- A 8.11E-7 s(-1) to 7.50E-3 +/- A 7.1E-4 s(-1). The concentration of chl-a and monosaccharides remained relatively constant in both experiments. These results suggest that there will probably be little effect on Antarctic microalgae with increasing water temperatures during the Antarctic winter.</t>
  </si>
  <si>
    <t>[Reeves, S.; McMinn, A.; Martin, A.] Univ Tasmania, Inst Marine &amp; Antarctic Sci, Hobart, Tas 7001, Australia</t>
  </si>
  <si>
    <t>McMinn, A (corresponding author), Univ Tasmania, Inst Marine &amp; Antarctic Sci, Private Bag 129, Hobart, Tas 7001, Australia.</t>
  </si>
  <si>
    <t>andrew.mcminn@utas.edu.au</t>
  </si>
  <si>
    <t>Martin, Andrew/F-5688-2013; Reeves, Simon E/AAJ-3379-2021; McMinn, Andrew/A-9910-2008</t>
  </si>
  <si>
    <t>Reeves, Simon/0000-0001-6715-466X; Martin, Andrew/0000-0001-8260-5529</t>
  </si>
  <si>
    <t>Australian Research Council (ARC)</t>
  </si>
  <si>
    <t>Australian Research Council (ARC)(Australian Research Council)</t>
  </si>
  <si>
    <t>Funding for this project was from an Australian Research Council (ARC) Discovery Grant. We would also like to thank Helen Bond (IMAS) for assistance with culturing.</t>
  </si>
  <si>
    <t>10.1007/s00300-011-0961-x</t>
  </si>
  <si>
    <t>WOS:000291046900007</t>
  </si>
  <si>
    <t>Velázquez, D; Rochera, C; Camacho, A; Quesada, A</t>
  </si>
  <si>
    <t>Velazquez, David; Rochera, Carlos; Camacho, Antonio; Quesada, Antonio</t>
  </si>
  <si>
    <t>Temperature effects on carbon and nitrogen metabolism in some Maritime Antarctic freshwater phototrophic communities</t>
  </si>
  <si>
    <t>Antarctica; Benthic community; Photosynthesis; Temperature dependence; Cyanobacteria; Chlorophyta; Nitrogen uptake</t>
  </si>
  <si>
    <t>MCMURDO ICE SHELF; MICROBIAL MATS; SNOW ALGAE; WINDMILL ISLANDS; CONTINENTAL ANTARCTICA; CYANOBACTERIAL MATS; LIVINGSTON ISLAND; BYERS PENINSULA; LAKES; PHOTOSYNTHESIS</t>
  </si>
  <si>
    <t>Biofilms growing on ice and benthic mats are among the most conspicuous biological communities in Antarctic landscapes and harbour a high diversity of organisms. These communities are consortia that make important contributions to carbon and nitrogen input in non-marine Antarctic ecosystems. Here, we study the effect of increasing temperatures on the carbon and nitrogen metabolism of two benthic communities on Byers Peninsula (Livingston Island, Maritime Antarctica): a biofilm dominated by green algae growing on seasonal ice, and a land-based microbial mat composed mainly of cyanobacteria. Inorganic carbon photoassimilation, urea and nitrate uptake and N-2-fixation (acetylene reduction activity) rates were determined in situ in parallel at five different temperatures (0, 5, 10, 15, 25A degrees C) using thermostatic baths. The results for the cyanobacterial mat showed that photosynthesis and N-2-fixation responded positively to increased temperatures, but urea and NO (3) (-) uptake rates did not show a significant variation related to temperature. This microbial mat exhibits relatively low activity at 0A degrees C whereas at higher temperatures (up to 15A degrees C), N-2-fixation rate increased significantly. Similarly, the maximum photosynthetic activity increased in parallel with temperature and showed no saturation up to 25A degrees C. In contrast, the ice biofilm displayed higher photosynthetic activity at 0A degrees C than at the other temperatures assayed, and it showed elevated photoinhibition at warmer temperatures.</t>
  </si>
  <si>
    <t>[Velazquez, David; Quesada, Antonio] Univ Autonoma Madrid, Fac Ciencias, Dept Biol, E-28049 Madrid, Spain; [Rochera, Carlos; Camacho, Antonio] Univ Valencia, Inst Cavanilles Biodiversidad &amp; Biol Evolut, E-46100 Burjassot, Spain</t>
  </si>
  <si>
    <t>Autonomous University of Madrid; University of Valencia</t>
  </si>
  <si>
    <t>Quesada, A (corresponding author), Univ Autonoma Madrid, Fac Ciencias, Dept Biol, Edificio Biol,C Darwin,2, E-28049 Madrid, Spain.</t>
  </si>
  <si>
    <t>antonio.quesada@uam.es</t>
  </si>
  <si>
    <t>Rochera, Carlos/M-2932-2014; Quesada, Antonio/L-2430-2013; Velazquez, David/M-2309-2017; Camacho, Antonio/I-3417-2015</t>
  </si>
  <si>
    <t>Rochera, Carlos/0000-0002-8294-4755; Quesada, Antonio/0000-0002-8913-5993; Velazquez, David/0000-0002-4127-8370; Camacho, Antonio/0000-0003-0841-2010</t>
  </si>
  <si>
    <t>Science and Technology Ministry (Spain) [RENT2000-0435-ANT, CGL2005-06549-CO2-01, CGL2005-06549-CO2-02]; FEDER</t>
  </si>
  <si>
    <t>Science and Technology Ministry (Spain)(Spanish Government); FEDER(European Union (EU)Spanish Government)</t>
  </si>
  <si>
    <t>This work was supported by grants RENT2000-0435-ANT, CGL2005-06549-CO2-01 and CGL2005-06549-CO2-02 from the Science and Technology Ministry (Spain), the later cofinanced with FEDER funds. We very much appreciate the logistical help and support from the UTM (Maritime Technology Unit, CSIC) and from the Las Palmas crew (Spanish Navy) that made this expedition possible. We thank all the members of the LIMNOPOLAR Project and offer special gratitude to Ana Justel and Manuel Toro for their help with field work and for their comments on the manuscript. We also thank Dr. Olivier Pringault and the anonymous reviewers for their comments.</t>
  </si>
  <si>
    <t>10.1007/s00300-011-0964-7</t>
  </si>
  <si>
    <t>WOS:000291046900009</t>
  </si>
  <si>
    <t>Gastebois, C; Viviant, M; Guinet, C</t>
  </si>
  <si>
    <t>Gastebois, C.; Viviant, M.; Guinet, C.</t>
  </si>
  <si>
    <t>Ontogeny of aquatic behaviours in Antarctic fur seal (Arctocephalus gazella) pups in relation to growth performances at Kerguelen Islands</t>
  </si>
  <si>
    <t>Fur seal; Pups; Aquatic activity; Growth rate; Fasting; Kerguelen</t>
  </si>
  <si>
    <t>DIVING BEHAVIOR; SURVIVAL; MASS; TROPICALIS; STRATEGIES; SEX</t>
  </si>
  <si>
    <t>In diving marine predators, such as pinnipeds, the development of diving and foraging skills prior to weaning might be critical to post-weaning survival. Here, we examined the effect of pup mass growth on the amount of time devoted to aquatic activities and the dive performance of Antarctic fur seal, Arctocephalus gazella, pups on Kerguelen Island. Maternal attendance and mass-specific growth rate were assessed for 85 pups. Two types of monitoring were applied: visual observations of behaviours for 60 pups and the deployment of time-depth recorders (TDRs) on 19 female pups. At approximately 2 months of age, pups demonstrated minimal diving behaviour, but displayed considerable aquatic activity. While mothers were foraging at sea, pups fasted on land (6.0 +/- A 1.3 d). As the mass-specific growth rate was different between sexes, only data on female pups were analysed (n = 31). Mass-specific growth rate was related to maternal attendance patterns and impacted the amount of time allocated by pups to aquatic activities. The time spent in the water by pups was quadratically related to fasting progress. This study shows the importance of growth and fasting progress on the quantity of time pups devoted to aquatic activities. Our results suggest that greater post-weaning survival of heavier pups may be due not only to their greater body reserves, as reported in several studies, but also possibly to from their greater aquatic skills and physiological adaptations developed during the suckling period.</t>
  </si>
  <si>
    <t>[Gastebois, C.; Viviant, M.; Guinet, C.] Ctr Natl Rech Sci, Ctr Etud Biol Chize, F-79360 Villiers En Bois, France</t>
  </si>
  <si>
    <t>Centre National de la Recherche Scientifique (CNRS)</t>
  </si>
  <si>
    <t>Gastebois, C (corresponding author), Ctr Natl Rech Sci, Ctr Etud Biol Chize, F-79360 Villiers En Bois, France.</t>
  </si>
  <si>
    <t>caroline.gastebois@gmail.com</t>
  </si>
  <si>
    <t>Guinet, Christophe/AAR-8457-2020</t>
  </si>
  <si>
    <t>Institut Paul Emile Victor</t>
  </si>
  <si>
    <t>For their assistance in field work on Kerguelen Island, we thank Jean-Baptiste Pons, Yohan Charbonnier, Yuki Watanabe, Brigitte Planade and Olivier Gore. This research programme was conducted under the ethics and scientific approval of the Institut Paul Emile Victor Ethics Committee and as part of the IPEV program 109: Ecologie des oiseaux et des mammiferes marins, resp. H. Weimerskirch). We thank the Institut Paul Emile Victor for providing the facilities at the Pointe Suzanne Colony and their logistic and financial support.</t>
  </si>
  <si>
    <t>10.1007/s00300-011-0965-6</t>
  </si>
  <si>
    <t>WOS:000291046900014</t>
  </si>
  <si>
    <t>Schüttler, E; Rozzi, R; Jax, K</t>
  </si>
  <si>
    <t>Schuettler, Elke; Rozzi, Ricardo; Jax, Kurt</t>
  </si>
  <si>
    <t>Towards a societal discourse on invasive species management: A case study of public perceptions of mink and beavers in Cape Horn</t>
  </si>
  <si>
    <t>JOURNAL FOR NATURE CONSERVATION</t>
  </si>
  <si>
    <t>Attitudes; Eradication; Non-native; Policy; Qualitative interviews; Tolerance; Values</t>
  </si>
  <si>
    <t>NORTH-AMERICAN BEAVERS; BIODIVERSITY MANAGEMENT; ENVIRONMENTAL ETHICS; ECONOMIC COSTS; CONSERVATION; ALIEN; ATTITUDES; JUSTIFICATIONS; PERSPECTIVES; ARCHIPELAGO</t>
  </si>
  <si>
    <t>The management of biological invasions is a complex and often controversial issue reflecting a diversity of values. Research and public policy on invasive species have concentrated on their ecological and economic impact, most frequently overlooking the social component. In this paper we examined the public perceptions of invasive species of high conservation concern in the Cape Horn Biosphere Reserve, Chile, for which management plans are forming: the American mink (Neovison vison); and, the North American beaver (Castor canadensis). Two native species served as counter-examples, the guanaco (Lama guanicoe) and the upland goose (Chloephaga picta). Qualitative semi-structured interviews covered three areas: conceptualisation and knowledge of invasive species; values associated with invasive and native species; and acceptance of control measures. We found differentiated knowledge and high awareness of invasive species among the public. Interviewees attributed utilitarian, aesthetic, and humanistic values to all four species; however, negativistic values were attributed only to invasive species, and moralistic values only to native species. Our results further revealed key issues explaining tolerance towards invasive species, and different positions of acceptance for management. To include a broader public participation in the design and management of responses to biological invasions we suggest: (1) considering local knowledge as a source of information, and vice versa, providing the public with scientific information; (2) evaluating the tolerance level towards invasive species and negotiating conflicting values; (3) clarifying the perspectives of economic income through invasive species management; and, (4) employing compromises on the basis of suggestions from the public. (C) 2010 Elsevier GmbH. All rights reserved.</t>
  </si>
  <si>
    <t>[Schuettler, Elke; Jax, Kurt] UFZ Helmholtz Ctr Environm Res, Dept Conservat Biol, D-04318 Leipzig, Germany; [Schuettler, Elke; Rozzi, Ricardo; Jax, Kurt] Univ Magallanes, IEB, Puerto Williams, Antarctic Prov, Chile; [Schuettler, Elke; Rozzi, Ricardo; Jax, Kurt] Omora Fdn, Puerto Williams, Antarctic Prov, Chile; [Schuettler, Elke; Jax, Kurt] Tech Univ Munchen Weihenstephan, Lehrstuhl Landschaftsokol, D-85350 Freising Weihenstephan, Germany; [Rozzi, Ricardo] Univ N Texas, Dept Philosophy, Denton, TX 76201 USA</t>
  </si>
  <si>
    <t>Helmholtz Association; Helmholtz Center for Environmental Research (UFZ); Universidad de Magallanes; Technical University of Munich; University of North Texas System; University of North Texas Denton</t>
  </si>
  <si>
    <t>Schüttler, E (corresponding author), UFZ Helmholtz Ctr Environm Res, Dept Conservat Biol, Permoserstr 15, D-04318 Leipzig, Germany.</t>
  </si>
  <si>
    <t>elke.schuettler@ufz.de; rozzi@unt.edu; kurt.jax@ufz.de</t>
  </si>
  <si>
    <t>Rozzi, Ricardo/G-1047-2012</t>
  </si>
  <si>
    <t>Rozzi, Ricardo/0000-0001-5265-8726; Jax, Kurt/0000-0002-1052-0195; Schuttler, Elke/0000-0001-9143-6237</t>
  </si>
  <si>
    <t>German Academic Exchange Service (DAAD); Chilean Millennium Institute of Ecology and Biodiversity [P05-002 ICM-MIDEPLAN, PFB-23 Basal-CONICYT]; Universidad de Magallanes; Omora Foundation; German Ministry of Education and Research [FKZ 01LM0208]</t>
  </si>
  <si>
    <t>German Academic Exchange Service (DAAD)(Deutscher Akademischer Austausch Dienst (DAAD)); Chilean Millennium Institute of Ecology and Biodiversity; Universidad de Magallanes; Omora Foundation; German Ministry of Education and Research(Federal Ministry of Education &amp; Research (BMBF))</t>
  </si>
  <si>
    <t>This work was only possible due to the willingness and interest of the local community of Puerto Williams to participate in our interviews. We are grateful to Uta Berghofer for her support in designing this study and discussing early interviews. We thank Tina Heger who revised an earlier version of this paper giving much beneficial input. Christoph Gorg improved the paper with valuable comments from a social science perspective. Klaus Wagner gave helpful advice on the analysis of qualitative interview data. We thank Alberto Serrano for suggestions on the questionnaire guide. Melisa Ganan and Jose Llaipen thoroughly supported our study by transcribing the interviews. We are also grateful to two anonymous reviewers who improved the manuscript in many ways. This work was co-sponsored by the German Academic Exchange Service (DAAD), the Chilean Millennium Institute of Ecology and Biodiversity (P05-002 ICM-MIDEPLAN, and PFB-23 Basal-CONICYT), the Universidad de Magallanes, the Omora Foundation, and by the German-Chilean Research Project BIOKONCHIL funded by the German Ministry of Education and Research (FKZ 01LM0208).</t>
  </si>
  <si>
    <t>1617-1381</t>
  </si>
  <si>
    <t>1618-1093</t>
  </si>
  <si>
    <t>J NAT CONSERV</t>
  </si>
  <si>
    <t>J. Nat. Conserv.</t>
  </si>
  <si>
    <t>10.1016/j.jnc.2010.12.001</t>
  </si>
  <si>
    <t>760CF</t>
  </si>
  <si>
    <t>WOS:000290298900008</t>
  </si>
  <si>
    <t>Rey, O; Bonillo, C; Gallut, C; Cruaud, C; Dettaï, A; Ozouf-Costaz, C; Lecointre, G</t>
  </si>
  <si>
    <t>Rey, Olivier; Bonillo, Celine; Gallut, Cyril; Cruaud, Corinne; Dettai, Agnes; Ozouf-Costaz, Catherine; Lecointre, Guillaume</t>
  </si>
  <si>
    <t>Naked dragonfishes Gymnodraco acuticeps and G. victori (Bathydraconidae, Notothenioidei) off Terre Adelie are a single species</t>
  </si>
  <si>
    <t>CYBIUM</t>
  </si>
  <si>
    <t>Bathydraconidae; Gymnodraco; East Antarctic; Terre Adelie</t>
  </si>
  <si>
    <t>DNA; PERCIFORMES; BARCODE</t>
  </si>
  <si>
    <t>Taxonomists have generally considered the two bathydraconid species Gymnodraco acuticeps Boulenger, 1902 and Gymnodraco victori Hureau, 1963 as synonymous based on field experience or from personal communications. However, no study has been devoted to that question and here we address it using three lines of evidence: comparison of variable DNA sequences, morphology and cytogenetics. We sequenced four molecular markers for a large sampling to test the delimitation between the two species from individuals caught off Terre Adelie (type locality of G. victori); among them is the cytochrome oxidase I (COI) gene, for which a large reference database is available in the Barcode of Life project for many taxa. However it contains only two Gymnodraco acuticeps sequences and none from G. victori. The karyotype of G. victori was obtained and compared with the one from G. acuticeps. From specimens from the MNHN collections, we recorded the two external characters most commonly used in the field to assign individuals to these species. The maximum divergence recorded in the COI sequences between two Gymnodraco specimens is 0.005% (K2P,) or 0.03% (p-distance), and there are no distinct clusters separating the two morphological entities with any of the four markers: all sequences were identical or nearly identical. No difference was found between the karyotypes of the two species. When a large number of specimens are studied, the pattern of the anterior canine teeth of the lower jaw and the other most visible external features used to distinguish the species by Hureau (1963) are actually more variable than originally described. We place G. victori and G. acuticeps into synonymy, the former being a junior synonym of G. acuticeps.</t>
  </si>
  <si>
    <t>[Rey, Olivier; Gallut, Cyril; Dettai, Agnes; Ozouf-Costaz, Catherine; Lecointre, Guillaume] Museum Natl Hist Nat, UMR UPMC CNRS MNHN IRD Systemat Adaptat Evolut 71, Dept Systemat &amp; Evolut, F-75005 Paris, France; [Bonillo, Celine] Museum Natl Hist Nat, UMS CNRS 2700, Dept Systemat &amp; Evolut, F-75005 Paris, France; [Cruaud, Corinne] Genoscope, Ctr Natl Sequencage, F-91057 Evry, France</t>
  </si>
  <si>
    <t>Museum National d'Histoire Naturelle (MNHN); Sorbonne Universite; Museum National d'Histoire Naturelle (MNHN); CEA; Universite Paris Saclay</t>
  </si>
  <si>
    <t>reyoliv@yahoo.fr; bonillo@mnhn.fr; gallut@mnhn.fr; cruaud@genoscope.cns.fr; adettai@mnhn.fr; ozouf@mnhn.fr; lecointr@mnhn.fr</t>
  </si>
  <si>
    <t>Gallut, Cyril/0000-0002-6486-0179; Cruaud, Corinne/0000-0002-4752-7278</t>
  </si>
  <si>
    <t>National Science Foundation [OPP 01-32032]; Centre national pour la recherche scientifique (CNRS); Museum national d'Histoire naturelle (MNHN); Agence nationale pour la recherche (ANR) [07-BLAN-0213-01]; Service de systematique moleculaire of the MNHN (UMS 2700 CNRS); Consortium national de recherche en genomique [2005/67]</t>
  </si>
  <si>
    <t>National Science Foundation(National Science Foundation (NSF)); Centre national pour la recherche scientifique (CNRS)(Centre National de la Recherche Scientifique (CNRS)); Museum national d'Histoire naturelle (MNHN); Agence nationale pour la recherche (ANR)(Agence Nationale de la Recherche (ANR)); Service de systematique moleculaire of the MNHN (UMS 2700 CNRS); Consortium national de recherche en genomique(General Electric)</t>
  </si>
  <si>
    <t>We thank Guy Duhamel, Claude Ferrara, Gael Denys and Jean-Francois Dejouannet for material help. We thank Lukas Ruber, Rafael Zardoya and Luca Bargelloni for samples and Philippe Koubbi for the IPEV program 281 ICOTA during which most of the present sampling was performed. The present work was partly based on samples collected during the ICEFISH 2004 cruise (supported by National Science Foundation grant OPP 01-32032 to H. William Detrich, Northeastern University) and the EPOS cruise (1989) for which we are grateful to the Alfred Wegener Institute and the European Science Foundation. This research was supported by the Centre national pour la recherche scientifique (CNRS), the Museum national d'Histoire naturelle (MNHN) and the Agence nationale pour la recherche (ANR) (Projet Blanc ANTFLOCKS USAR no07-BLAN-0213-01 directed by Guillaume Lecointre). This project is a contribution to the EBA-SCAR program. This work was also supported by the Service de systematique moleculaire of the MNHN (UMS 2700 CNRS) and the Consortium national de recherche en genomique: it is part of the agreement number 2005/67 between the Genoscope and the MNHN on the project 'Macrophylogeny of life' directed by Guillaume Lecointre.</t>
  </si>
  <si>
    <t>SOC FRANCAISE D ICHTYOLOGIE</t>
  </si>
  <si>
    <t>PARIS</t>
  </si>
  <si>
    <t>MUSEUM NATL D HISTOIRE NATURELLE, 43 RUE CUVIER, 75231 PARIS, FRANCE</t>
  </si>
  <si>
    <t>0399-0974</t>
  </si>
  <si>
    <t>2101-0315</t>
  </si>
  <si>
    <t>Cybium</t>
  </si>
  <si>
    <t>JUN 30</t>
  </si>
  <si>
    <t>838DE</t>
  </si>
  <si>
    <t>WOS:000296266200005</t>
  </si>
  <si>
    <t>Anderson, C; Davies, T; Conde, M; Dyson, P; Kosch, MJ</t>
  </si>
  <si>
    <t>Anderson, C.; Davies, T.; Conde, M.; Dyson, P.; Kosch, M. J.</t>
  </si>
  <si>
    <t>Spatial sampling of the thermospheric vertical wind field at auroral latitudes</t>
  </si>
  <si>
    <t>FABRY-PEROT SPECTROMETER; OVAL/POLAR CAP BOUNDARY; POLAR-CAP; GRAVITY-WAVES; INTERFEROMETER MEASUREMENTS; MIDLATITUDE THERMOSPHERE; POKER FLAT; ANTARCTICA; MAWSON; DYNAMICS</t>
  </si>
  <si>
    <t>Results are presented from two nights of bistatic Doppler measurements of neutral thermospheric winds using Fabry-Perot spectrometers at Mawson and Davis stations in Antarctica. A scanning Doppler imager (SDI) at Mawson and a narrow-field Fabry-Perot spectrometer (FPS) at Davis have been used to estimate the vertical wind at three locations along the great circle joining the two stations, in addition to the vertical wind routinely observed above each station. These data were obtained from observations of the 630.0 nm airglow line of atomic oxygen, at a nominal altitude of 240 km. Low-resolution all-sky images produced by the Mawson SDI have been used to relate disturbances in the measured vertical wind field to auroral activity and divergence in the horizontal wind field. Correlated vertical wind responses were observed on a range of horizontal scales from similar to 150 to 480 km. In general, the behavior of the vertical wind was in agreement with earlier studies, with strong upward winds observed poleward of the optical aurora and sustained, though weak, downward winds observed early in the night. The relation between vertical wind and horizontal divergence was seen to follow the general trend predicted by Burnside et al. (1981), whereby upward vertical winds were associated with positive divergence and vice versa; however, a scale height approximately 3-4 times greater than that modeled by NRLMSISE-00 was required to best fit the data using this relation.</t>
  </si>
  <si>
    <t>[Anderson, C.; Conde, M.] Univ Alaska Fairbanks, Inst Geophys, Fairbanks, AK 99775 USA; [Davies, T.; Dyson, P.] La Trobe Univ, Dept Phys, Melbourne, Vic 3086, Australia; [Kosch, M. J.] Univ Lancaster, Dept Phys, Infolab21, Lancaster LA1 4YB, England</t>
  </si>
  <si>
    <t>University of Alaska System; University of Alaska Fairbanks; La Trobe University; Lancaster University</t>
  </si>
  <si>
    <t>Anderson, C (corresponding author), Univ Alaska Fairbanks, Inst Geophys, POB 757320, Fairbanks, AK 99775 USA.</t>
  </si>
  <si>
    <t>callum@gi.alaska.edu</t>
  </si>
  <si>
    <t>Kosch, Michael Jurgen/0000-0003-2846-3915</t>
  </si>
  <si>
    <t>Australian Research Council [DP0557369]; Australian Antarctic Science Program; NASA/ACE program; Directorate For Geosciences; Office of Polar Programs (OPP) [0839110] Funding Source: National Science Foundation; Australian Research Council [DP0557369] Funding Source: Australian Research Council</t>
  </si>
  <si>
    <t>Australian Research Council(Australian Research Council); Australian Antarctic Science Program; NASA/ACE program(National Aeronautics &amp; Space Administration (NASA)); Directorate For Geosciences; Office of Polar Programs (OPP)(National Science Foundation (NSF)NSF - Directorate for Geosciences (GEO)); Australian Research Council(Australian Research Council)</t>
  </si>
  <si>
    <t>This research has been supported by the Australian Research Council's Discovery Project DP0557369 and by the Australian Antarctic Science Program. Logistic support for this work was provided by the Australian Antarctic Division. The NRLMSISE-00 model is provided by the Community Coordinated Modeling Center (CCMC). IMF data are supported by the NASA/ACE program. The authors wish to acknowledge the continuing support of the ANARE expeditioners at Mawson and Davis stations, without which this work would not have been possible.</t>
  </si>
  <si>
    <t>A06320</t>
  </si>
  <si>
    <t>10.1029/2011JA016485</t>
  </si>
  <si>
    <t>787RS</t>
  </si>
  <si>
    <t>WOS:000292395000004</t>
  </si>
  <si>
    <t>Imbrogno, S; Tota, B; Gattuso, A</t>
  </si>
  <si>
    <t>Imbrogno, Sandra; Tota, Bruno; Gattuso, Alfonsina</t>
  </si>
  <si>
    <t>The evolutionary functions of cardiac NOS/NO in vertebrates tracked by fish and amphibian paradigms</t>
  </si>
  <si>
    <t>NITRIC OXIDE-BIOLOGY AND CHEMISTRY</t>
  </si>
  <si>
    <t>Cardiac non-uniformity; cGMP; Nitrosylation; Endocrine network; Cold-blooded vertebrates</t>
  </si>
  <si>
    <t>NITRIC-OXIDE SYNTHASE; CATESTATIN CHROMOGRANIN A(344-364); RENIN-ANGIOTENSIN SYSTEM; EEL ANGUILLA-ANGUILLA; ENDOCARDIAL ENDOTHELIUM; CHIONODRACO-HAMATUS; S-NITROSYLATION; ANTARCTIC TELEOSTS; NEGATIVE INOTROPY; VENTRICULAR MYOCARDIUM</t>
  </si>
  <si>
    <t>During early ectotherm vertebrate evolution the heart was redesigned as a high pressure pump adapted to perfuse larger body sizes. To compensate the consequent higher organ complexity and heterogeneity (ventricular myoarchitecture and blood supply), conceivably the three principal cardiac cell components, the endocardium, the contractile myocardium and the epicardium recruited and diversified the cardiac NOS system for functioning not only as a major modulator, but also as a spatio-temporal integrator of heart function. In the context of NOS isoform evolution, we will use fish and amphibian paradigms to illustrate major aspects of cardiac spatial and temporal integration achieved by the NOS/NO systems. This may reveal a primordial cardiac NOS/NO function, allocating it in a wider biological framework than so far envisioned. (C) 2011 Elsevier Inc. All rights reserved.</t>
  </si>
  <si>
    <t>[Imbrogno, Sandra; Tota, Bruno; Gattuso, Alfonsina] Univ Calabria, Dept Cell Biol, I-87030 Arcavacata Di Rende, CS, Italy</t>
  </si>
  <si>
    <t>University of Calabria</t>
  </si>
  <si>
    <t>Imbrogno, S (corresponding author), Univ Calabria, Dept Cell Biol, I-87030 Arcavacata Di Rende, CS, Italy.</t>
  </si>
  <si>
    <t>sandra.imbrogno@unical.it; a.gattuso@unical.it</t>
  </si>
  <si>
    <t>gattuso, alfonsina/ISS-5286-2023</t>
  </si>
  <si>
    <t>Mazza, Rosa/0000-0002-8699-4012; GATTUSO, ALFONSINA/0000-0002-4908-0633; Imbrogno, Sandra/0000-0002-3389-4085</t>
  </si>
  <si>
    <t>MIUR (Ministero dell'Istruzione, dell'Universita e della Ricerca)</t>
  </si>
  <si>
    <t>MIUR (Ministero dell'Istruzione, dell'Universita e della Ricerca)(Ministry of Education, Universities and Research (MIUR))</t>
  </si>
  <si>
    <t>This study was supported by MIUR (Ministero dell'Istruzione, dell'Universita e della Ricerca). The Authors thank Dr. Daniela Amelio for morphological support and Laura Jean Carbonaro for editing the text.</t>
  </si>
  <si>
    <t>1089-8603</t>
  </si>
  <si>
    <t>1089-8611</t>
  </si>
  <si>
    <t>NITRIC OXIDE-BIOL CH</t>
  </si>
  <si>
    <t>Nitric Oxide-Biol. Chem.</t>
  </si>
  <si>
    <t>10.1016/j.niox.2011.05.001</t>
  </si>
  <si>
    <t>787YF</t>
  </si>
  <si>
    <t>WOS:000292411900001</t>
  </si>
  <si>
    <t>Liu, YP; Hou, SG; Hong, S; Do Hur, S; Lee, K; Wang, YT</t>
  </si>
  <si>
    <t>Liu, Yaping; Hou, Shugui; Hong, Sungmin; Do Hur, Soon; Lee, Khanghyun; Wang, Yetang</t>
  </si>
  <si>
    <t>High-resolution trace element records of an ice core from the eastern Tien Shan, central Asia, since 1953 AD</t>
  </si>
  <si>
    <t>ATMOSPHERIC HEAVY-METALS; MT. QOMOLANGMA EVEREST; NORTHERN-HEMISPHERE; ANTARCTIC SNOW; CENTRAL GREENLAND; LEAD; POLLUTION; PRECIPITATION; EMISSIONS; CADMIUM</t>
  </si>
  <si>
    <t>High-resolution records of trace elements (Ba, V, Cr, Mn, Co, Ni, Cu, As, Rb, Sr, Mo, Cd, Sn, Sb, Tl, Pb, Bi, Th, and U) quantified in an ice core recovered from the Miaoergou glacier in the eastern Tien Shan, central Asia, spanning the period 1953-2004 AD, provide the first comprehensive time series on characterizing the relative contributions from natural and anthropogenic sources to the deposition of trace elements in central Asia. It is suggested that rock and soil dust is the most important natural source for most of elements investigated. Slight decreases in concentrations (or fallout fluxes) of crustal elements, such as Ba, Mn, Rb, Th, U, and Sr are observed during recent decades, which may be due to decreases in dust emissions from source regions and a decrease of accumulation rate since 1980s. The increasing trends of median concentrations and crustal enrichment factors (EFc) of V, Cr, Co, Ni, Cu, and Mo, during the period 1953-2004 AD, are insignificant in comparison to their respective levels prior to 1953 AD. However, slight enhancements of both concentrations and EFc are observed for Cd, Sb, Pb, Bi, Tl, and Sn since 1950s. Such recent increases are likely to be attributed to enhanced anthropogenic emissions, such as metal smelting, mining, stationary fossil fuel combustion, and combustion of gasoline due to human activities in Eurasia, particularly Xinjiang in northwestern China, Russia, and Kazakhstan. Our study supports evidence that environmental contamination has become a global problem for Pb and Bi and a large-scale phenomenon for Cd, Sb, Tl, and Sn.</t>
  </si>
  <si>
    <t>[Liu, Yaping; Hou, Shugui] Chinese Acad Sci, Cold &amp; Arid Reg Environm &amp; Engn Res Inst, State Key Lab Cryospher Sci, Lanzhou 730000, Peoples R China; [Wang, Yetang] Shandong Marine Fisheries Res Inst, Yantai 264006, Peoples R China; [Hong, Sungmin; Do Hur, Soon; Lee, Khanghyun] Korea Polar Res Inst, Inchon 406840, South Korea; [Hou, Shugui] Nanjing Univ, Sch Geog &amp; Oceanog Sci, MOE Key Lab Coast &amp; Isl Dev, Nanjing 210008, Peoples R China; [Hong, Sungmin] Inha Univ, Dept Oceanog, Inchon, South Korea</t>
  </si>
  <si>
    <t>Chinese Academy of Sciences; Cold &amp; Arid Regions Environmental &amp; Engineering Research Institute, CAS; Korea Polar Research Institute (KOPRI); Korea Institute of Ocean Science &amp; Technology (KIOST); Nanjing University; Inha University</t>
  </si>
  <si>
    <t>Liu, YP (corresponding author), Chinese Acad Sci, Cold &amp; Arid Reg Environm &amp; Engn Res Inst, State Key Lab Cryospher Sci, Lanzhou 730000, Peoples R China.</t>
  </si>
  <si>
    <t>shugui@lzb.ac.cn</t>
  </si>
  <si>
    <t>Hou, Shugui/J-3651-2015</t>
  </si>
  <si>
    <t>National Basic Research program of China [2010CB951401, 2007CB411501]; Natural Science Foundation of China [40825017]; Chinese Academy of Sciences [SKLCS-ZZ-2008-06]; Nanjing University; KOPRI [PP09010]; INHA University [INHA-40890-01]</t>
  </si>
  <si>
    <t>National Basic Research program of China(National Basic Research Program of China); Natural Science Foundation of China(National Natural Science Foundation of China (NSFC)); Chinese Academy of Sciences(Chinese Academy of Sciences); Nanjing University(Nanjing University); KOPRI(Korea Polar Research Institute of Marine Research Placement (KOPRI)); INHA University</t>
  </si>
  <si>
    <t>This research was funded by the National Basic Research program of China (2010CB951401; 2007CB411501), Natural Science Foundation of China (40825017), the Chinese Academy of Sciences (SKLCS-ZZ-2008-06), and the Nanjing University. In Korea, this work was supported by KOPRI research grant (PP09010) and INHA University Research grant (INHA-40890-01). We greatly appreciate the comments from Michael Collins, Zhang Zhiyi, Paul A. Mayewski, Bjorn Grigholm, Jo Jacka, and anonymous reviewers for the improvement of our paper and all field personnel for the scientific expedition to the Miaoergou glacier in 2005.</t>
  </si>
  <si>
    <t>D12307</t>
  </si>
  <si>
    <t>10.1029/2010JD015191</t>
  </si>
  <si>
    <t>787MM</t>
  </si>
  <si>
    <t>WOS:000292380700001</t>
  </si>
  <si>
    <t>Gillet-Chaulet, F; Hindmarsh, RCA</t>
  </si>
  <si>
    <t>Gillet-Chaulet, Fabien; Hindmarsh, Richard C. A.</t>
  </si>
  <si>
    <t>Flow at ice-divide triple junctions: 1. Three-dimensional full-Stokes modeling</t>
  </si>
  <si>
    <t>EPICA DOME-C; WEST ANTARCTICA; SIPLE DOME; POLAR ICE; ACCUMULATION PATTERN; CORE PROJECT; SHEET; GREENLAND; CLIMATE; LAYERS</t>
  </si>
  <si>
    <t>Ice domes are either axisymmetric, high points along ridges, or ridge triple junctions. We model time-dependent isothermal flow near triple junctions, solving the full set of mechanical equations with a nonlinear power law rheology. Forcing is applied through the boundary conditions, which affect flow patterns at outlets. Where such forcing is purely axisymmetric, an axisymmetric dome is formed. If a threefold symmetry in the forcing is applied, the axisymmetric dome breaks up into three ridges subtending angles of 120 degrees. Sets of experiments where the forcing was not exactly threefold symmetric by angle or by amplitude caused the triple junction to migrate to a new steady state. Here, in steady state, the ridges join the triple junction at nearly 120 degrees, but one ridge curves to satisfy the boundary forcing. The slope pattern in the immediate dome vicinity depends only on a dimensionless parameter, which is a function of the ice consistency, the accumulation, and the rheological power law index. Attempts to replicate the topography around Summit, Greenland, obtained a good fit with n = 3. At a triple junction the dome is really distinct from the surrounding ridges, contrary to the highest point of a single ridge divide. As a consequence, the Raymond effect is at its strongest at the dome and weakens considerably over one ice thickness as one moves away from the flow center. Along the ridges leaving the dome, the Raymond effect is still present and decreases with the ratio of the flow across and along the ridge. In the vicinity of the dome, horizontal strain rates vary strongly from uniaxial to biaxial. Large-scale effects, represented in our model as fluxes at boundaries, seem to be the primary controls on dome position and shape.</t>
  </si>
  <si>
    <t>[Gillet-Chaulet, Fabien; Hindmarsh, Richard C. A.] British Antarctic Survey, NERC, Div Phys Sci, Cambridge CB3 0ET, England</t>
  </si>
  <si>
    <t>Gillet-Chaulet, F (corresponding author), British Antarctic Survey, NERC, Div Phys Sci, High Cross,Madingley Rd, Cambridge CB3 0ET, England.</t>
  </si>
  <si>
    <t>fall@bas.ac.uk; rcah@bas.ac.uk</t>
  </si>
  <si>
    <t>Hindmarsh, Richard/N-1195-2019</t>
  </si>
  <si>
    <t>Hindmarsh, Richard/0000-0003-1633-2416</t>
  </si>
  <si>
    <t>NERC [NE/F00446X/1]; Natural Environment Research Council [bas0100027, NE/F00446X/1] Funding Source: researchfish; NERC [NE/F00446X/1, bas0100027] Funding Source: UKRI</t>
  </si>
  <si>
    <t>NERC(UK Research &amp; Innovation (UKRI)Natural Environment Research Council (NERC)); Natural Environment Research Council(UK Research &amp; Innovation (UKRI)Natural Environment Research Council (NERC)); NERC(UK Research &amp; Innovation (UKRI)Natural Environment Research Council (NERC))</t>
  </si>
  <si>
    <t>Our thanks to Hugh Corr for advising us on the Greenland DEMs. This work was supported by NERC grant NE/F00446X/1, Measuring and modeling the Raymond Effect for to infer low strain rate ice rheology. We thank Andy Aschwanden, Ed Waddington, and an anonymous reviewer for their detailed and thoughtful reviews.</t>
  </si>
  <si>
    <t>F02023</t>
  </si>
  <si>
    <t>10.1029/2009JF001611</t>
  </si>
  <si>
    <t>787NG</t>
  </si>
  <si>
    <t>WOS:000292383100001</t>
  </si>
  <si>
    <t>Hindmarsh, RCA; King, EC; Mulvaney, R; Corr, HFJ; Hiess, G; Gillet-Chaulet, F</t>
  </si>
  <si>
    <t>Hindmarsh, Richard C. A.; King, Edward C.; Mulvaney, Robert; Corr, Hugh F. J.; Hiess, Gisela; Gillet-Chaulet, Fabien</t>
  </si>
  <si>
    <t>Flow at ice-divide triple junctions: 2. Three-dimensional views of isochrone architecture from ice-penetrating radar surveys</t>
  </si>
  <si>
    <t>WEST ANTARCTICA; SIPLE-DOME; ACCUMULATION-RATE; BERKNER ISLAND; CORE; THICKNESS; GEOMETRY; RECORDS; LAYERS; MODEL</t>
  </si>
  <si>
    <t>Ground-based surveys of ice-divide triple junctions in two Antarctic ice rises, the Fletcher Promontory and Berkner Island, have been carried out using low-frequency ice-penetrating radars. These surveys have focused on understanding the internal layer architecture at and around the triple junctions, with a particular emphasis on understanding how the Raymond effect operates. A variety of features have been observed, including Raymond cupolas under the junctions, bump stacks of varying amplitude with distance from the divide, double bumps, crooked stacks implying divide motion, and the presence of ridges containing weak and strong bump stacks. It was generally not possible to elucidate the three-dimensional structure by correlation of pick crossovers, so instead a least squares cross-correlation technique was used which computes nominal age surfaces using radial basis function interpolation. Double bumps are absent from the central cupola of Fletcher Promontory, permitting us to infer that the ice here has thinned by around 500 m in the past 5000 years. Estimates of the age scale suggest that there will be recoverable Eemian ice. A technique for inferring the velocity profile at divides using layer traces and assumed velocities in the flanks is presented.</t>
  </si>
  <si>
    <t>[Hindmarsh, Richard C. A.; King, Edward C.; Mulvaney, Robert; Corr, Hugh F. J.; Hiess, Gisela; Gillet-Chaulet, Fabien] British Antarctic Survey, NERC, Div Phys Sci, Cambridge CB3 0ET, England</t>
  </si>
  <si>
    <t>Hindmarsh, RCA (corresponding author), British Antarctic Survey, NERC, Div Phys Sci, High Cross,Madingley Rd, Cambridge CB3 0ET, England.</t>
  </si>
  <si>
    <t>rcah@bas.ac.uk; ecki@bas.ac.uk; rmu@bas.ac.uk; hfjc@bas.ac.uk; gisess@bas.ac.uk; fall@bas.ac.uk</t>
  </si>
  <si>
    <t>Hindmarsh, Richard/N-1195-2019; Corr, Hugh/C-5398-2011; Mulvaney, Robert/K-3929-2012</t>
  </si>
  <si>
    <t>Hindmarsh, Richard/0000-0003-1633-2416; Mulvaney, Robert/0000-0002-5372-8148</t>
  </si>
  <si>
    <t>NERC [NE/F00446X/1]; Natural Environment Research Council [bas0100027, NE/F00446X/1] Funding Source: researchfish; NERC [bas0100027, NE/F00446X/1] Funding Source: UKRI</t>
  </si>
  <si>
    <t>Our thanks to Terry O'Donovan for field assistance at Fletcher and, in particular, the technical assistance he gave at Berkner in the field season 2005-2006; to Peter FitzGerald for writing the radar acquisition software; to Oliver Marsh and Hilary Woodard for picking the radargrams; and to Olaf Eisen for a very thorough review and reading. This work was supported by NERC grant NE/F00446X/1 Measuring and modeling the Raymond Effect for to infer low strain rate ice rheology.</t>
  </si>
  <si>
    <t>F02024</t>
  </si>
  <si>
    <t>10.1029/2009JF001622</t>
  </si>
  <si>
    <t>WOS:000292383100002</t>
  </si>
  <si>
    <t>Chen, X; Shearer, PM; Walter, F; Fricker, HA</t>
  </si>
  <si>
    <t>Chen, X.; Shearer, P. M.; Walter, F.; Fricker, H. A.</t>
  </si>
  <si>
    <t>Seventeen Antarctic seismic events detected by global surface waves and a possible link to calving events from satellite images</t>
  </si>
  <si>
    <t>JOURNAL OF GEOPHYSICAL RESEARCH-SOLID EARTH</t>
  </si>
  <si>
    <t>RONNE ICE SHELF; MARCH 25; WEST ANTARCTICA; EARTHQUAKE; GREENLAND; ICEQUAKES; GLACIER</t>
  </si>
  <si>
    <t>We detect 17 seismic events in Antarctica from 1997 to 2009 by applying a surface wave detector to global seismic data. We locate these events using a waveform cross-correlation method and find that most occurred near the coast of Antarctica and are clustered in three regions: four events are on the Ronne Ice Shelf, close to the location of a 1998 calving event; five events are near the Vanderford Glacier; and eight events are near the Ninnis Glacier. The observed Rayleigh and Love waves for these events have similar amplitudes and a two-lobed radiation pattern, matching the expected amplitude behavior of a single-force source model. Using such a model, we obtain best fitting horizontal force directions for the 14 events that have relatively better signal-to-noise ratios. Analysis of coastline changes from MODIS images before and after the detected events show that two events on Vanderford Glacier and one event near Ninnis Glacier are likely associated with calving events. Moreover, the inferred force directions for the seismic events appear consistent with local ice flow directions. Both satellite observations and modeling results strongly suggest a link between seismic events and calving processes in the two regions. However, the force directions on the Ronne Ice Shelf are aligned with observed rift propagation directions, suggesting that these events may arise from rifting processes.</t>
  </si>
  <si>
    <t>[Chen, X.; Shearer, P. M.; Walter, F.; Fricker, H. A.] Univ Calif San Diego, Scripps Inst Oceanog, La Jolla, CA 92093 USA</t>
  </si>
  <si>
    <t>Chen, X (corresponding author), Univ Calif San Diego, Scripps Inst Oceanog, La Jolla, CA 92093 USA.</t>
  </si>
  <si>
    <t>xic002@ucsd.edu</t>
  </si>
  <si>
    <t>Shearer, Peter/K-5247-2012; Walter, Fabian/B-7490-2014</t>
  </si>
  <si>
    <t>Shearer, Peter/0000-0002-2992-7630; Fricker, Helen Amanda/0000-0002-0921-1432; Walter, Fabian/0000-0001-6952-2761</t>
  </si>
  <si>
    <t>National Science Foundation [EAR-0710881]; Division Of Earth Sciences; Directorate For Geosciences [1111111] Funding Source: National Science Foundation; Office of Polar Programs (OPP); Directorate For Geosciences [0739769] Funding Source: National Science Foundation</t>
  </si>
  <si>
    <t>National Science Foundation(National Science Foundation (NSF)); Division Of Earth Sciences; Directorate For Geosciences(National Science Foundation (NSF)NSF - Directorate for Geosciences (GEO)); Office of Polar Programs (OPP); Directorate For Geosciences(National Science Foundation (NSF)NSF - Directorate for Geosciences (GEO))</t>
  </si>
  <si>
    <t>We thank Colleen Dalton for providing a phase velocity and attenuation map and software to compute amplitude corrections, Sasha Carter for providing satellite images for the three regions, Victor Tsai for his helpful advice and comments on an earlier version of this paper, Kris Walker for helping to set up the VHZ database and the GUI interface for the event detector, and Shad O'Neel for discussion on calving events and glacial earthquakes. We also thank Meredith Nettles, an anonymous reviewer, and two editors for their suggestions and comments. This research was funded by grant EAR-0710881 from the National Science Foundation.</t>
  </si>
  <si>
    <t>2169-9313</t>
  </si>
  <si>
    <t>2169-9356</t>
  </si>
  <si>
    <t>J GEOPHYS RES-SOL EA</t>
  </si>
  <si>
    <t>J. Geophys. Res.-Solid Earth</t>
  </si>
  <si>
    <t>B06311</t>
  </si>
  <si>
    <t>10.1029/2011JB008262</t>
  </si>
  <si>
    <t>787NN</t>
  </si>
  <si>
    <t>WOS:000292383800002</t>
  </si>
  <si>
    <t>Ni, BB; Thorne, RM; Shprits, YY; Orlova, KG; Meredith, NP</t>
  </si>
  <si>
    <t>Ni, Binbin; Thorne, Richard M.; Shprits, Yuri Y.; Orlova, Ksenia G.; Meredith, Nigel P.</t>
  </si>
  <si>
    <t>Chorus-driven resonant scattering of diffuse auroral electrons in nondipolar magnetic fields</t>
  </si>
  <si>
    <t>PITCH-ANGLE DIFFUSION; RADIATION BELT ELECTRONS; LOW-ENERGY ELECTRONS; WHISTLER-MODE WAVES; PANCAKE DISTRIBUTIONS; OUTER MAGNETOSPHERE; ELECTROSTATIC-WAVES; INNER MAGNETOSPHERE; STATISTICAL-MODEL; X-RAY</t>
  </si>
  <si>
    <t>We perform a comprehensive analysis of resonant scattering of diffuse auroral electrons by oblique nightside chorus emissions present along a field line with an equatorial crossing of 6 R-E at 00: 00 MLT, using various nondipolar Tsyganenko magnetic field models. Bounce-averaged quasi-linear diffusion coefficients are evaluated for both moderately and actively disturbed geomagnetic conditions using the T89, T96, and T01s models. The results indicate that inclusion of nondipolar magnetic field leads to significant changes in bounce-averaged rates of both pitch angle and momentum diffusion for 200 eV to 10 keV plasma sheet electrons. Compared to the results using a dipole field, the rates of pitch angle diffusion obtained using the Tsyganenko models are enhanced at all resonant pitch angles for 200 eV electrons. In contrast, for 500 eV to 10 keV electrons the rates of pitch angle scattering are enhanced at intermediate and/or high pitch angles but tend to be considerably lower near the loss cone, thus reducing the precipitation loss compared to that in a dipole field. Upper band chorus acts as the dominant cause for scattering loss of 200 eV to 2 keV electrons, while lower band chorus scattering prevails for 5-10 keV electrons, consistent with the results using the dipole model. The first-order cyclotron resonance and the Landau resonance are mainly responsible for the net scattering rates of plasma sheet electrons by oblique chorus waves and also primarily account for the differences in bounce-averaged diffusion coefficients introduced by the use of Tsyganenko models. As the geomagnetic activity increases, the differences in scattering rates compared to the dipole results increase accordingly. Nonnegligible differences also occur particularly at high pitch angles for the diffusion rates between the Tsyganenko models, showing an increase with geomagnetic activity level and a dependence on the discrepancy between the Tsyganenko model fields. The strong dependence of bounce-averaged quasi-linear scattering rates on the adopted global magnetic field model and geomagnetic activity level demonstrates that realistic magnetic field models should be incorporated into future modeling efforts to accurately quantify the role of magnetospheric chorus in driving the diffuse auroral precipitation and the formation of electron pancake distributions.</t>
  </si>
  <si>
    <t>[Ni, Binbin; Thorne, Richard M.; Shprits, Yuri Y.; Orlova, Ksenia G.] Univ Calif Los Angeles, Dept Atmospher &amp; Ocean Sci, Los Angeles, CA 90095 USA; [Meredith, Nigel P.] British Antarctic Survey, Nat Environm Res Council, Cambridge CB3 0ET, England; [Shprits, Yuri Y.] Univ Calif Los Angeles, Inst Geophys &amp; Planetary Phys, Los Angeles, CA 90095 USA; [Orlova, Ksenia G.] Moscow MV Lomonosov State Univ, Skobeltsyn Inst Nucl Phys, Moscow, Russia</t>
  </si>
  <si>
    <t>University of California System; University of California Los Angeles; UK Research &amp; Innovation (UKRI); Natural Environment Research Council (NERC); NERC British Antarctic Survey; University of California System; University of California Los Angeles; Lomonosov Moscow State University</t>
  </si>
  <si>
    <t>Ni, BB (corresponding author), Univ Calif Los Angeles, Dept Atmospher &amp; Ocean Sci, Los Angeles, CA 90095 USA.</t>
  </si>
  <si>
    <t>bbni@atmos.ucla.edu</t>
  </si>
  <si>
    <t>Shprits, Yuri Y/I-2174-2014; Meredith, Nigel P/C-5806-2018; Ni, Binbin/I-5244-2013</t>
  </si>
  <si>
    <t>Shprits, Yuri/0000-0002-9625-0834; Horne, Richard/0000-0002-0412-6407; Meredith, Nigel/0000-0001-5032-3463</t>
  </si>
  <si>
    <t>NSF [ATM-0802843]; NASA [NNX09AF51G]; NERC [bas0100023] Funding Source: UKRI; Natural Environment Research Council [bas0100023] Funding Source: researchfish; NASA [118413, NNX09AF51G] Funding Source: Federal RePORTER</t>
  </si>
  <si>
    <t>NSF(National Science Foundation (NSF)); NASA(National Aeronautics &amp; Space Administration (NASA)); NERC(UK Research &amp; Innovation (UKRI)Natural Environment Research Council (NERC)); Natural Environment Research Council(UK Research &amp; Innovation (UKRI)Natural Environment Research Council (NERC)); NASA(National Aeronautics &amp; Space Administration (NASA))</t>
  </si>
  <si>
    <t>This research was supported by NSF grant ATM-0802843 and NASA grant NNX09AF51G. The authors thank the developers of ONERA-DESP library, including D. Boscher, S. Bourdarie, T. P. O'Brien, and T. Guild.</t>
  </si>
  <si>
    <t>A06225</t>
  </si>
  <si>
    <t>10.1029/2011JA016453</t>
  </si>
  <si>
    <t>WOS:000292395000003</t>
  </si>
  <si>
    <t>Hall, IR; Colmenero-Hidalgo, E; Zahn, R; Peck, VL; Hemming, SR</t>
  </si>
  <si>
    <t>Hall, I. R.; Colmenero-Hidalgo, E.; Zahn, R.; Peck, V. L.; Hemming, S. R.</t>
  </si>
  <si>
    <t>Centennial- to millennial-scale ice-ocean interactions in the subpolar northeast Atlantic 18-41 kyr ago</t>
  </si>
  <si>
    <t>SEA-SURFACE TEMPERATURES; LAST GLACIAL PERIOD; HEINRICH EVENTS; RAFTED DEBRIS; YOUNGER-DRYAS; PLANKTONIC-FORAMINIFERA; 40AR/39AR AGES; QUATERNARY SEDIMENTATION; CIRCULATION CHANGES; ICEBERG DISCHARGES</t>
  </si>
  <si>
    <t>In order to monitor the evolution of the British-Irish Ice Sheet (BIIS) and its influence in surface ocean structure during marine isotopic stages (MIS) 2 and 3, we have analyzed the sediments recovered in core MD04-2829CQ (Rosemary Bank, north Rockall Trough, northeast Atlantic) dated between similar to 41 and similar to 18 ka B.P. Ice-rafted debris flux and composition, 40Ar/39Ar ages of individual hornblende grains, multispecies planktonic stable isotope records, planktonic foraminifera assemblage data and faunal-based sea surface temperatures (SSTs) demonstrate a close interaction between BIIS dynamics and surface ocean structure and water properties in this region. The core location lies beneath the North Atlantic Current (NAC) and is ideal for monitoring the shifts in the position of its associated oceanic fronts, as recorded by faunal changes. These data reveal a succession of BIIS-sourced iceberg calving events related to low SST, usually synchronous with dramatic changes in the composition of the planktonic foraminifera assemblage and with variations in the stable isotope records of the taxa Neogloboquadrina pachyderma (sinistral coiling) and Globigerina bulloides. The pacing of the calving events, from typically Dansgaard-Oeschger millennial timescales during late MIS 3 to multicentennial cyclicity from similar to 28 ka B.P., represents the build-up of the BIIS and its growing instability toward Heinrich Event (HE) 2 and the Last Glacial Maximum. Our data confirm the strong coupling between BIIS instabilities and the temperature and salinity of surface waters in the adjacent northeast Atlantic and demonstrate the BIIS's ability to modify the NAC on its flow toward the Nordic Seas. In contrast, subsurface water masses were less affected except during the Greenland stadials that contain HEs, when most intense water column reorganizations occurred simultaneously with the deposition of cream-colored carbonate sourced from the Laurentide Ice Sheet.</t>
  </si>
  <si>
    <t>[Hall, I. R.; Colmenero-Hidalgo, E.] Cardiff Univ, Sch Earth &amp; Ocean Sci, Cardiff CF10 3AT, S Glam, Wales; [Zahn, R.] Univ Autonoma Barcelona, Inst Ciencia Tecnol &amp; Ambientals, Dept Fis, E-08193 Bellaterra, Spain; [Zahn, R.] Inst Catalana Recerca &amp; Estudis Avancats, Barcelona, Spain; [Peck, V. L.] British Antarctic Survey, Cambridge CB3 0ET, England; [Hemming, S. R.] Columbia Univ, Lamont Doherty Earth Observ, Palisades, NY 10964 USA</t>
  </si>
  <si>
    <t>Cardiff University; Autonomous University of Barcelona; ICREA; UK Research &amp; Innovation (UKRI); Natural Environment Research Council (NERC); NERC British Antarctic Survey; Columbia University</t>
  </si>
  <si>
    <t>Hall, IR (corresponding author), Cardiff Univ, Sch Earth &amp; Ocean Sci, Main Bldg,Pk Pl, Cardiff CF10 3AT, S Glam, Wales.</t>
  </si>
  <si>
    <t>hall@cardiff.ac.uk</t>
  </si>
  <si>
    <t>Colmenero, Juan R/F-3724-2016; Hall, Ian/C-2755-2009; Colmenero-Hidalgo, Elena/I-1634-2015</t>
  </si>
  <si>
    <t>Hall, Ian/0000-0001-6960-1419; Colmenero-Hidalgo, Elena/0000-0002-5449-2739; Hemming, Sidney/0000-0001-8117-2303</t>
  </si>
  <si>
    <t>U.K. National Environmental Research Council (NERC); MEC, Spain [CGL2007-61579/CLI]; ICREA Funding Source: Custom; NERC [bas0100024] Funding Source: UKRI; Natural Environment Research Council [bas0100024] Funding Source: researchfish</t>
  </si>
  <si>
    <t>U.K. National Environmental Research Council (NERC)(UK Research &amp; Innovation (UKRI)Natural Environment Research Council (NERC)); MEC, Spain(Spanish Government); ICREA(ICREA); NERC(UK Research &amp; Innovation (UKRI)Natural Environment Research Council (NERC)); Natural Environment Research Council(UK Research &amp; Innovation (UKRI)Natural Environment Research Council (NERC))</t>
  </si>
  <si>
    <t>We thank Julia Becker for stable isotope analysis and advice, Helen Medley for guidance in laboratory work, and Millie Mendelson (LDEO) for assistance in AMS sample picking. Constructive comments by Antje Voelker and an anonymous reviewer helped to improve the manuscript. The work was supported by the U.K. National Environmental Research Council (NERC). Radiocarbon dating was carried out by the NERC Radiocarbon Laboratory. R.Z. acknowledges funding by the MEC, Spain, through grant CGL2007-61579/CLI.</t>
  </si>
  <si>
    <t>PA2224</t>
  </si>
  <si>
    <t>10.1029/2010PA002084</t>
  </si>
  <si>
    <t>787SH</t>
  </si>
  <si>
    <t>Green Published, Green Submitted, Green Accepted</t>
  </si>
  <si>
    <t>WOS:000292396500002</t>
  </si>
  <si>
    <t>Urrutia, RB; Lara, A; Villalba, R; Christie, DA; Le Quesne, C; Cuq, A</t>
  </si>
  <si>
    <t>Urrutia, Rocio B.; Lara, Antonio; Villalba, Ricardo; Christie, Duncan A.; Le Quesne, Carlos; Cuq, Augusto</t>
  </si>
  <si>
    <t>Multicentury tree ring reconstruction of annual streamflow for the Maule River watershed in south central Chile</t>
  </si>
  <si>
    <t>ANNULAR MODE; RAINFALL VARIABILITY; CENTRAL ANDES; EL-NINO; CLIMATE; OSCILLATION; PRECIPITATION; ARGENTINA; DROUGHT; ENSO</t>
  </si>
  <si>
    <t>Because of the reported decreasing trends in precipitation in south central Chile and the high priority of the Valdivian rain forest ecoregion conservation, it is essential to understand long-term changes in water availability in this area. Thus, this study presents a 410 year annual streamflow reconstruction for the Maule River watershed located in a Mediterranean-type climate in the northern part of the ecoregion (35 degrees S-36 degrees 30'S). The annual streamflow reconstruction used Austrocedrus chilensis tree ring chronologies, and the adjusted R-2 was 0.42. The reconstruction was characterized by interannual, interdecadal, and multidecadal oscillation modes, some of which might be explained by solar and lunar cycles and by ocean-atmospheric forcings. Temporal correlations between the reconstruction and climatic indices, such as the El Nino-Southern Oscillation and the Antarctic Oscillation, demonstrate that water availability is influenced by tropical and high-latitude forcings in this area. Extreme low and high streamflows are particularly related to ocean-atmospheric conditions in the tropical Pacific. The Maule River watershed streamflow reconstruction reveals a higher proportion of streamflows below the mean in the last century compared to the previous three centuries.</t>
  </si>
  <si>
    <t>[Urrutia, Rocio B.; Lara, Antonio; Christie, Duncan A.; Le Quesne, Carlos; Cuq, Augusto] Univ Austral Chile, Fac Ciencias Forestales &amp; Recursos Nat, Inst Silvicultura, Lab Dendrocronol, Valdivia, Chile; [Urrutia, Rocio B.; Lara, Antonio] Fdn FORECOS, Valdivia, Chile; [Villalba, Ricardo] Consejo Nacl Invest Cient &amp; Tecn, Dept Dendrocronol &amp; Hist Ambiental, Inst Argentino Nivol Glaciol &amp; Ciencias Ambiental, RA-5500 Mendoza, Argentina</t>
  </si>
  <si>
    <t>Universidad Austral de Chile; Consejo Nacional de Investigaciones Cientificas y Tecnicas (CONICET)</t>
  </si>
  <si>
    <t>Urrutia, RB (corresponding author), Univ Oxford, Environm Change Inst, Sch Geog &amp; Environm, S Parks Rd, Oxford OX1 3QY, England.</t>
  </si>
  <si>
    <t>rocio.urrutia@ouce.ox.ac.uk</t>
  </si>
  <si>
    <t>Christie, Duncan A./Q-7114-2016</t>
  </si>
  <si>
    <t>Christie, Duncan A./0000-0003-2540-0986; Urrutia-Jalabert, Rocio/0000-0002-3548-4813; Villalba, Ricardo/0000-0001-8183-0310; Lara, Antonio/0000-0003-4998-4584</t>
  </si>
  <si>
    <t>Fondecyt [1050298, 1090479]; Inter American Institute for Global Change Research [CRNII-2047]; FORECOS Scientific Nucleus [P04-065-F]</t>
  </si>
  <si>
    <t>Fondecyt(Comision Nacional de Investigacion Cientifica y Tecnologica (CONICYT)CONICYT FONDECYT); Inter American Institute for Global Change Research; FORECOS Scientific Nucleus</t>
  </si>
  <si>
    <t>This research was supported by Fondecyt grants 1050298 and 1090479, the CRNII-2047 project of the Inter American Institute for Global Change Research, and the FORECOS Scientific Nucleus (P04-065-F). We thank the Direccion General de Aguas (DGA) for data from streamflow gauges and meteorological stations; Mariano Masiokas and Miguel Carcamo for fieldwork assistance; and Aldo Farias, who helped with the map of the study area.</t>
  </si>
  <si>
    <t>W06527</t>
  </si>
  <si>
    <t>10.1029/2010WR009562</t>
  </si>
  <si>
    <t>787ST</t>
  </si>
  <si>
    <t>WOS:000292397700001</t>
  </si>
  <si>
    <t>Varikoden, H; Preethi, B; Samah, AA; Babu, CA</t>
  </si>
  <si>
    <t>Varikoden, Hamza; Preethi, B.; Samah, A. A.; Babu, C. A.</t>
  </si>
  <si>
    <t>Seasonal variation of rainfall characteristics in different intensity classes over Peninsular Malaysia</t>
  </si>
  <si>
    <t>Rainfall intensity; Spatial distribution; Diurnal variation; Frequency; Relative contribution</t>
  </si>
  <si>
    <t>GAUGE DATA; PRECIPITATION; RETRIEVALS</t>
  </si>
  <si>
    <t>Using the rain rate from Tropical Rainfall Measuring Mission (TRMM) 3 h data, we made an attempt to explore the diurnal variation of rainfall occurrences in the spatial domain of Peninsular Malaysia. This data set is available for 10 years period from 1999 to 2008 at a high spatial resolution of 25 km latitude-longitude grid. The rainfall characteristics such as the percentage of rain occurrence and the relative contribution to the total seasonal rainfall in different intensity classes have been studied in detail for different seasons namely northeast monsoon (DJF), pre-monsoon (MAM), southwest monsoon (JJA) and early northeast monsoon (SON). We arbitrarily classified the rainfall into four different categories such as small, moderate, high and very high intensity classes. The diurnal variation of frequency of rainfall over the spatial domain of Peninsular Malaysia during different seasons is presented in detail. The diurnal variation is different in the coastal areas and the central parts of the Peninsula in all the seasons. Two peaks are noticed in the coastal areas, however, in the inland regions only a prominent single peak is observed. From the analysis of the very high intensity classes, we observed that the flash flood prone areas are east coastal belt especially the coastal belt from Kuantan to Kota Bharu during the northeast monsoon season. Isolated maxima were also observed in the western region surrounded by Kiang Valley during the same season. During the southwest monsoon period, flash floods may be expected over the latitudinal belt between 2 degrees N and 4 degrees N. The number of occurrences of very high rainfall events and their relative contribution to the seasonal rainfall are high over the above region. (C) 2011 Elsevier B.V. All rights reserved.</t>
  </si>
  <si>
    <t>[Varikoden, Hamza; Preethi, B.] Indian Inst Trop Meteorol, Pune 08, Maharashtra, India; [Samah, A. A.] Univ Malaya, Natl Antarctic Res Ctr, Kuala Lumpur 50603, Malaysia; [Babu, C. A.] Cochin Univ Sci &amp; Technol, Dept Atmospher Sci, Cochin 16, Kerala, India</t>
  </si>
  <si>
    <t>Ministry of Earth Sciences (MoES) - India; Indian Institute of Tropical Meteorology (IITM); Universiti Malaya; Cochin University Science &amp; Technology</t>
  </si>
  <si>
    <t>Varikoden, H (corresponding author), Indian Inst Trop Meteorol, Dr Homi Bhabha Rd, Pune 08, Maharashtra, India.</t>
  </si>
  <si>
    <t>hamza@tropmet.res.in</t>
  </si>
  <si>
    <t>ABU SAMAH, AZIZAN HJ/B-8295-2010</t>
  </si>
  <si>
    <t>eScience Fund Project [04-01-03-SF0410]</t>
  </si>
  <si>
    <t>eScience Fund Project</t>
  </si>
  <si>
    <t>First and second authors are thankful to BN. Goswami, the Director, Indian Institute of Tropical Meteorology for providing the facilities. The third author is thankful to the eScience Fund Project (No. 04-01-03-SF0410) for the financial support. Fourth author is thankful to Cochin University of Science and Technology, Cochin. All the authors except second author are grateful to the University of Malaya for providing the facilities in the early stage of the work.</t>
  </si>
  <si>
    <t>JUN 29</t>
  </si>
  <si>
    <t>10.1016/j.jhydrol.2011.04.021</t>
  </si>
  <si>
    <t>787HR</t>
  </si>
  <si>
    <t>WOS:000292367700008</t>
  </si>
  <si>
    <t>Davies, MH; Mix, AC; Stoner, JS; Addison, JA; Jaeger, J; Finney, B; Wiest, J</t>
  </si>
  <si>
    <t>Davies, M. H.; Mix, A. C.; Stoner, J. S.; Addison, J. A.; Jaeger, J.; Finney, B.; Wiest, J.</t>
  </si>
  <si>
    <t>The deglacial transition on the southeastern Alaska Margin: Meltwater input, sea level rise, marine productivity, and sedimentary anoxia</t>
  </si>
  <si>
    <t>LAST GLACIAL MAXIMUM; SUB-ARCTIC PACIFIC; NORTH PACIFIC; PLANKTONIC-FORAMINIFERA; INTERMEDIATE WATER; YOUNGER DRYAS; ENVIRONMENTAL-CONTROL; SEASONAL VARIABILITY; OCEAN CIRCULATION; MASS-SPECTROMETRY</t>
  </si>
  <si>
    <t>Oxygen isotope data from planktonic and benthic foraminifera, on a high-resolution age model (44 C-14 dates spanning 17,400 years), document deglacial environmental change on the southeast Alaska margin (59 degrees 33.32'N, 144 degrees 9.21'W, 682 m water depth). Surface freshening (i.e., delta O-18 reduction of 0.8 parts per thousand) began at 16,650 +/- 170 cal years B.P. during an interval of ice proximal sedimentation, likely due to freshwater input from melting glaciers. A sharp transition to laminated hemipelagic sediments constrains retreat of regional outlet glaciers onto land circa 14,790 +/- 380 cal years B.P. Abrupt warming and/or freshening of the surface ocean (i.e., additional delta O-18 reduction of 0.9 parts per thousand) coincides with the Bolling Interstade of northern Europe and Greenland. Cooling and/or higher salinities returned during the Allerod interval, coincident with the Antarctic Cold Reversal, and continue until 11,740 +/- 200 cal years B.P., when onset of warming coincides with the end of the Younger Dryas. An abrupt 1 parts per thousand reduction in benthic delta O-18 at 14,250 +/- 290 cal years B.P. likely reflects a decrease in bottom water salinity driven by deep mixing of glacial meltwater, a regional megaflood event, or brine formation associated with sea ice. Two laminated opal-rich intervals record discrete episodes of high productivity during the last deglaciation. These events, precisely dated here at 14,790 +/- 380 to 12,990 +/- 190 cal years B.P. and 11,160 +/- 130 to 10,750 +/- 220 cal years B.P., likely correlate to similar features observed elsewhere on the margins of the North Pacific and are coeval with episodes of rapid sea level rise. Remobilization of iron from newly inundated continental shelves may have helped to fuel these episodes of elevated primary productivity and sedimentary anoxia.</t>
  </si>
  <si>
    <t>[Davies, M. H.; Mix, A. C.; Stoner, J. S.] Oregon State Univ, Coll Ocean &amp; Atmospher Sci, Corvallis, OR 97331 USA; [Addison, J. A.] Univ Alaska Fairbanks, Dept Geol &amp; Geophys, Fairbanks, AK 99775 USA; [Jaeger, J.] Univ Florida, Dept Geol Sci, Gainesville, FL 32611 USA; [Finney, B.] Idaho State Univ, Dept Biol Sci, Pocatello, ID 83209 USA; [Wiest, J.] Oregon State Univ, Coll Vet Med, Corvallis, OR 97331 USA</t>
  </si>
  <si>
    <t>Oregon State University; University of Alaska System; University of Alaska Fairbanks; State University System of Florida; University of Florida; Idaho; Idaho State University; Oregon State University</t>
  </si>
  <si>
    <t>Davies, MH (corresponding author), Oregon State Univ, Coll Ocean &amp; Atmospher Sci, Corvallis, OR 97331 USA.</t>
  </si>
  <si>
    <t>mdavies@coas.oregonstate.edu</t>
  </si>
  <si>
    <t>Addison, Jason/0000-0003-2416-9743; Walczak, Maureen/0000-0002-4123-6998; Jaeger, John/0000-0003-0248-489X</t>
  </si>
  <si>
    <t>National Science Foundation [ATM-0602395, EAR-0711584, OCE-0242084, OCE-0351096]; Division Of Ocean Sciences; Directorate For Geosciences [0962077] Funding Source: National Science Foundation</t>
  </si>
  <si>
    <t>National Science Foundation(National Science Foundation (NSF)); Division Of Ocean Sciences; Directorate For Geosciences(National Science Foundation (NSF)NSF - Directorate for Geosciences (GEO))</t>
  </si>
  <si>
    <t>The authors gratefully acknowledge the crew and science party of cruise EW0408, Nick Pisias for valuable commentary and insight, John Southon and the staff of the UCI Keck AMS laboratory, Jennifer McKay, Andy Ross, and the OSU Stable Isotope Facility. We thank Maziet Cheseby, Bobbi Conard, Mysti Weber, and the OSU Marine Geology Repository. We thank Eric Galbraith and Ingrid Hendy for their assistance in assembling the planktic stable isotope data from extant North Pacific records. We also thank the two anonymous reviewers, whose thoughtful comments substantially improved the manuscript. This work was funded by National Science Foundation Paleoclimate grant ATM-0602395, National Science Foundation Geophysics grant EAR-0711584, and National Science Foundation Ocean Drilling grants OCE-0242084 and OCE-0351096.</t>
  </si>
  <si>
    <t>PA2223</t>
  </si>
  <si>
    <t>10.1029/2010PA002051</t>
  </si>
  <si>
    <t>787SB</t>
  </si>
  <si>
    <t>WOS:000292395900001</t>
  </si>
  <si>
    <t>van Loon, H; Meehl, GA</t>
  </si>
  <si>
    <t>van Loon, Harry; Meehl, Gerald A.</t>
  </si>
  <si>
    <t>The average influence of decadal solar forcing on the atmosphere in the South Pacific region</t>
  </si>
  <si>
    <t>SEA-SURFACE TEMPERATURE; CYCLE; CLIMATE; EVENTS; PEAKS</t>
  </si>
  <si>
    <t>Composite mean difference analyses are applied to historical sea level pressure (SLP) and sea surface temperature (SST) data to investigate the spatial dependence of the Pacific climate system response to 11-year solar forcing. Previous work has found that the SST and SLP responses are most clearly detected near the times of sunspot maxima, which occur as much as two years prior to the centers of the broad decadal solar cycle maxima. In January-February, the SLP response at sunspot maximum is nearly the same on either side of the equator, although the amplitude is larger in the winter hemisphere. The solar influence is seen as above normal SLP in the sub-Arctic Pacific, as found previously, and as corresponding positive SLP anomalies in the sub-Antarctic Pacific, as shown here for the first time. These SLP anomalies are associated with previously documented signals at sunspot maxima of greater ocean upwelling and cooling along the Pacific equator, and a poleward extension of the tropical convergence zones in both hemispheres. Previous studies using multiple linear regression methods show the broad decadal solar maxima being associated with the lagged warm response in equatorial Pacific SSTs seen in the composites, which is not inconsistent with the present results. In the South Pacific Ocean, the solar effect is visible in the southern summer in the year before the sunspot number peak. The SST and SLP anomalies in the South Pacific in the solar peaks differ markedly from those in Cold Events (La Nina events) of the Southern Oscillation. Citation: van Loon, H., and G. A. Meehl (2011), The average influence of decadal solar forcing on the atmosphere in the South Pacific region, Geophys. Res. Lett., 38, L12804, doi:10.1029/2011GL047794.</t>
  </si>
  <si>
    <t>[van Loon, Harry] NW Res Associates Inc, Colorado Res Associates, Boulder, CO USA; [van Loon, Harry; Meehl, Gerald A.] Natl Ctr Atmospher Res, Boulder, CO 80301 USA</t>
  </si>
  <si>
    <t>NorthWest Research Associates; National Center Atmospheric Research (NCAR) - USA</t>
  </si>
  <si>
    <t>van Loon, H (corresponding author), NW Res Associates Inc, Colorado Res Associates, Boulder, CO USA.</t>
  </si>
  <si>
    <t>vanloon@ucar.edu; meehl@ucar.edu</t>
  </si>
  <si>
    <t>Office of Science (BER), U.S. Department of Energy [DE-FC02-97ER62402]; National Science Foundation</t>
  </si>
  <si>
    <t>Office of Science (BER), U.S. Department of Energy(United States Department of Energy (DOE)); National Science Foundation(National Science Foundation (NSF))</t>
  </si>
  <si>
    <t>The years of the sunspot maxima were obtained from a list of solar maxima and minima in the NOAA website: ftp://ftp.ngdc.noaa.gov/STP/SOLAR_DATA/SUNSPOT_NUMBERS/INTERNATIONAL/maxmin/new/MA. Average anomalies in composites of the decadal solar peaks in the South Pacific Ocean, using the data in the several websites with data from the NOAA, ESRL, Physical Science Division (http://www.esrl.noaa.gov/psd), and we acknowledge with gratitude their work in making these data available. The sites are maintained by Cathy Smith. The authors thank Lon Hood and one anonymous reviewer for constructive and helpful comments. Portions of this study were supported by the Office of Science (BER), U.S. Department of Energy, Cooperative Agreement DE-FC02-97ER62402, and the National Science Foundation. The National Center for Atmospheric Research is sponsored by the National Science Foundation. HvL is grateful to Colorado Research Associates/Northwest Research Associates for providing him with an office and access to a computer.</t>
  </si>
  <si>
    <t>JUN 25</t>
  </si>
  <si>
    <t>L12804</t>
  </si>
  <si>
    <t>10.1029/2011GL047794</t>
  </si>
  <si>
    <t>783TQ</t>
  </si>
  <si>
    <t>WOS:000292107300002</t>
  </si>
  <si>
    <t>Thomas, DB; Ksepka, DT; Fordyce, RE</t>
  </si>
  <si>
    <t>Thomas, Daniel B.; Ksepka, Daniel T.; Fordyce, R. Ewan</t>
  </si>
  <si>
    <t>Penguin heat-retention structures evolved in a greenhouse Earth</t>
  </si>
  <si>
    <t>BIOLOGY LETTERS</t>
  </si>
  <si>
    <t>counter-current; fossil; penguin; thermoregulation</t>
  </si>
  <si>
    <t>SPHENISCIFORMES</t>
  </si>
  <si>
    <t>Penguins (Sphenisciformes) inhabit some of the most extreme environments on Earth. The 60 + Myr fossil record of penguins spans an interval that witnessed dramatic shifts in Cenozoic ocean temperatures and currents, indicating a long interplay between penguin evolution and environmental change. Perhaps the most celebrated example is the successful Late Cenozoic invasion of glacial environments by crown clade penguins. A major adaptation that allows penguins to forage in cold water is the humeral arterial plexus, a vascular counter-current heat exchanger (CCHE) that limits heat loss through the flipper. Fossil evidence reveals that the humeral plexus arose at least 49 Ma during a 'Greenhouse Earth' interval. The evolution of the CCHE is therefore unrelated to global cooling or development of polar ice sheets, but probably represents an adaptation to foraging in subsurface waters at temperate latitudes. As global climate cooled, the CCHE was key to invasion of thermally more demanding environments associated with Antarctic ice sheets.</t>
  </si>
  <si>
    <t>[Thomas, Daniel B.; Fordyce, R. Ewan] Univ Otago, Dept Geol, Dunedin 9016, New Zealand; [Ksepka, Daniel T.] N Carolina State Univ, Dept Marine Earth &amp; Atmospher Sci, Raleigh, NC 27695 USA; [Ksepka, Daniel T.] N Carolina Museum Nat Sci, Dept Paleontol, Raleigh, NC 27601 USA</t>
  </si>
  <si>
    <t>University of Otago; North Carolina State University</t>
  </si>
  <si>
    <t>Thomas, DB (corresponding author), Univ Cape Town, Dept Zool, Private Bag X3, ZA-7701 Cape Town, South Africa.</t>
  </si>
  <si>
    <t>daniel.thomas@uct.ac.za</t>
  </si>
  <si>
    <t>Ksepka, Daniel/A-2007-2009</t>
  </si>
  <si>
    <t>Fordyce, Ewan/0000-0002-2656-730X</t>
  </si>
  <si>
    <t>Claude McCarthy Fellowship; University of Otago; Departments of Geology and Chemistry of the University of Otago; NSF [0949899]; Direct For Biological Sciences; Division Of Environmental Biology [0949899] Funding Source: National Science Foundation</t>
  </si>
  <si>
    <t>Claude McCarthy Fellowship; University of Otago; Departments of Geology and Chemistry of the University of Otago; NSF(National Science Foundation (NSF)); Direct For Biological Sciences; Division Of Environmental Biology(National Science Foundation (NSF)NSF - Directorate for Biological Sciences (BIO))</t>
  </si>
  <si>
    <t>We thank AMNH, USNM and OM staff for providing access to specimens, N. D. Pyenson, J. A. Clarke and K. S. Lamm for discussions; N. D. Smith and an anonymous referee for manuscript review. SeaWorld kindly donated penguin specimens dissected at the AMNH. Research funding was provided by the Claude McCarthy Fellowship and Elman Poole Travelling Scholarship through the University of Otago, as well as the Departments of Geology and Chemistry of the University of Otago (D.B.T.), and NSF DEB grant 0949899 (D.T.K.).</t>
  </si>
  <si>
    <t>ROYAL SOC</t>
  </si>
  <si>
    <t>6-9 CARLTON HOUSE TERRACE, LONDON SW1Y 5AG, ENGLAND</t>
  </si>
  <si>
    <t>1744-9561</t>
  </si>
  <si>
    <t>1744-957X</t>
  </si>
  <si>
    <t>BIOL LETTERS</t>
  </si>
  <si>
    <t>Biol. Lett.</t>
  </si>
  <si>
    <t>JUN 23</t>
  </si>
  <si>
    <t>10.1098/rsbl.2010.0993</t>
  </si>
  <si>
    <t>Biology; Ecology; Evolutionary Biology</t>
  </si>
  <si>
    <t>Life Sciences &amp; Biomedicine - Other Topics; Environmental Sciences &amp; Ecology; Evolutionary Biology</t>
  </si>
  <si>
    <t>762XI</t>
  </si>
  <si>
    <t>WOS:000290515100040</t>
  </si>
  <si>
    <t>Gussone, N; Nehrke, G; Teichert, BMA</t>
  </si>
  <si>
    <t>Gussone, Nikolaus; Nehrke, Gernot; Teichert, Barbara M. A.</t>
  </si>
  <si>
    <t>Calcium isotope fractionation in ikaite and vaterite</t>
  </si>
  <si>
    <t>Vaterite; Ikaite; Calcium carbonate polymorph; Calcium isotopes</t>
  </si>
  <si>
    <t>ANAEROBIC OXIDATION; PORE-FLUID; DELTA-CA-44/40; METHANE; MINERALIZATION; TRANSFORMATION; TEMPERATURE; DELTA-O-18; EVOLUTION; MODEL</t>
  </si>
  <si>
    <t>We investigated the isotopic composition of calcium in the metastable calcium carbonate polymorphs vaterite and ikaite. The synthetic vaterite precipitates show a smaller degree of Ca isotope fractionation than calcite or aragonite at comparable temperatures and revealed no significant temperature sensitivity between 10 and 50 degrees C. Ikaite, the water-bearing Ca carbonate modification (CaCO3 center dot 6H(2)O) was precipitated at 2 degrees C in controlled laboratory experiments and in addition recovered from marine sediments and sea-ice. Synthetic and natural ikaites show similar values of Ca isotope fractionation. In general, ikaite is less depleted in heavy isotopes compared to calcite or aragonite at low temperatures. The observed offset of vaterite and ikaite to calcite or aragonite precipitated at similar temperatures is presumably mainly related to differences in precipitation rates and regimes, which seem however to be typical for the growth of these carbonate minerals. Small differences in Ca isotope ratios of naturally formed ikaites from different locations seem to be related to different geochemical conditions in the respective sediment settings. (C) 2011 Elsevier B.V. All rights reserved.</t>
  </si>
  <si>
    <t>[Gussone, Nikolaus] Univ Munster, Inst Mineral, D-48149 Munster, Germany; [Nehrke, Gernot] Alfred Wegener Inst Polar &amp; Marine Res, D-27570 Bremerhaven, Germany; [Teichert, Barbara M. A.] Univ Munster, Inst Geol &amp; Palaontol, D-48149 Munster, Germany</t>
  </si>
  <si>
    <t>University of Munster; Helmholtz Association; Alfred Wegener Institute, Helmholtz Centre for Polar &amp; Marine Research; University of Munster</t>
  </si>
  <si>
    <t>Gussone, N (corresponding author), Univ Munster, Inst Mineral, Corrensstr 24, D-48149 Munster, Germany.</t>
  </si>
  <si>
    <t>nikolaus.gussone@uni-muenster.de</t>
  </si>
  <si>
    <t>, Nikolaus/0000-0002-3390-1118; Nehrke, Gernot/0000-0002-2851-3049; Teichert, Barbara/0000-0003-1729-9064</t>
  </si>
  <si>
    <t>DFG [GU 1035/1-1, NE 1564/1-1 (SPP 1158)]</t>
  </si>
  <si>
    <t>DFG(German Research Foundation (DFG))</t>
  </si>
  <si>
    <t>We would like to thank Horst D. Schulz and Matthias Zabel (Universitat Bremen) for providing natural ikaite samples from the southern Congo fan and the Uruguay continental margin and Gerhard Dieckmann (Alfred-Wegener-Institut, Bremerhaven) for providing natural ikaite samples from Antarctic sea-ice. We are grateful to Anton Eisenhauer for making the TIMS in Kiel available for the vaterite measurements. We thank captains and crews from the research vessels Polarstern, Sonne and Meteor. We greatly appreciate the constructive and helpful comments of Joel D. Blum, Thomas Bullen and Anton Eisenhauer. This research was supported by the DFG by grant GU 1035/1-1 and NE 1564/1-1 (SPP 1158).</t>
  </si>
  <si>
    <t>1872-6836</t>
  </si>
  <si>
    <t>JUN 22</t>
  </si>
  <si>
    <t>10.1016/j.chemgeo.2011.04.002</t>
  </si>
  <si>
    <t>787CY</t>
  </si>
  <si>
    <t>WOS:000292355400016</t>
  </si>
  <si>
    <t>Dias, MP; Granadeiro, JP; Phillips, RA; Alonso, H; Catry, P</t>
  </si>
  <si>
    <t>Dias, Maria P.; Granadeiro, Jose P.; Phillips, Richard A.; Alonso, Hany; Catry, Paulo</t>
  </si>
  <si>
    <t>Breaking the routine: individual Cory's shearwaters shift winter destinations between hemispheres and across ocean basins</t>
  </si>
  <si>
    <t>PROCEEDINGS OF THE ROYAL SOCIETY B-BIOLOGICAL SCIENCES</t>
  </si>
  <si>
    <t>behavioural plasticity; climate changes; Cory's shearwater; migration; non-breeding movements</t>
  </si>
  <si>
    <t>CLIMATE-CHANGE; PHENOTYPIC PLASTICITY; POPULATION DECLINES; MIGRATION; ARRIVAL; SEA; EVOLUTION; RESPONSES; MISMATCH; DIOMEDEA</t>
  </si>
  <si>
    <t>There is growing evidence that migratory species are particularly vulnerable to rapid environmental changes arising from human activity. Species are expected to vary in their capacity to respond to these changes: long-distance migrants and those lacking variability in migratory traits are probably at considerable disadvantage. The few studies that have assessed the degree of plasticity in behaviour of marine animals suggest that fidelity to non-breeding destinations is usually high. In the present study, we evaluated individual flexibility in migration strategy of a highly pelagic seabird, the Cory's shearwater Calonectris diomedea. Geolocation data from 72 different migrations, including 14 birds that were tracked for more than one non-breeding season, showed a remarkable capacity to change winter destinations between years. Although some birds exhibited high site fidelity, others shifted from the South to North Atlantic, from the western to eastern South Atlantic, and from the Atlantic to Indian Ocean. Individuals also showed flexibility in stopover behaviour and migratory schedule. Although their K-selected life-history strategy has the disadvantage that the chances of microevolution are slight if circumstances alter rapidly, these results suggest that Cory's shearwaters may be in a better position than many other long-distance migrants to face the consequences of a changing environment.</t>
  </si>
  <si>
    <t>[Dias, Maria P.; Alonso, Hany; Catry, Paulo] ISPA, Ecoethol Res Unit, P-1149041 Lisbon, Portugal; [Granadeiro, Jose P.] Univ Lisbon, Ctr Estudos Ambiente &amp; Mar CESAM, Museu Nacl Hist Nat, P-1250102 Lisbon, Portugal; [Phillips, Richard A.] British Antarctic Survey, Nat Environm Res Council, Cambridge CB3 0ET, England; [Alonso, Hany] Univ Coimbra, Inst Marine Res IMAR CMA, Dept Life Sci, P-3004517 Coimbra, Portugal</t>
  </si>
  <si>
    <t>Instituto Superior Psicologia Aplicada (ISPA); Universidade de Lisboa; UK Research &amp; Innovation (UKRI); Natural Environment Research Council (NERC); NERC British Antarctic Survey; Universidade de Coimbra</t>
  </si>
  <si>
    <t>Granadeiro, José Pedro/E-8060-2011; Dias, Maria P./D-1331-2012; Catry, Paulo/I-5408-2013</t>
  </si>
  <si>
    <t>Granadeiro, José Pedro/0000-0002-7207-3474; Dias, Maria P./0000-0002-7281-4391; Catry, Paulo/0000-0003-3000-0522; Alonso, Hany/0000-0001-6698-6018</t>
  </si>
  <si>
    <t>Fundacao para a Ciencia e a Tecnologia (FCT-Portugal) [PDCT/MAR/ PTDC/MAR/ 71927/2006]; FEDER; Programa Plurianual [UID 331/94]; FCT [BPD/46827/08, BD/47055/2008]; NERC [bas0100025] Funding Source: UKRI; Natural Environment Research Council [bas0100025] Funding Source: researchfish</t>
  </si>
  <si>
    <t>Fundacao para a Ciencia e a Tecnologia (FCT-Portugal)(Fundacao para a Ciencia e a Tecnologia (FCT)); FEDER(European Union (EU)Spanish Government); Programa Plurianual; FCT(Fundacao para a Ciencia e a Tecnologia (FCT)); NERC(UK Research &amp; Innovation (UKRI)Natural Environment Research Council (NERC)); Natural Environment Research Council(UK Research &amp; Innovation (UKRI)Natural Environment Research Council (NERC))</t>
  </si>
  <si>
    <t>Parque Natural da Madeira, and particularly Paulo Oliveira, Dilia Menezes and Carolina Santos provided permissions to carry out the work and, together with the wardens at the Nature Reserve where this study took place, gave important logistical support. Rafael Matias, Miguel Lecoq, Rui Rebelo, Filipe Moniz, Teresa Catry and others helped with fieldwork. This study is an output from a project on the ecology in Cory's shearwaters (PDCT/MAR/ PTDC/MAR/ 71927/2006) supported by Fundacao para a Ciencia e a Tecnologia (FCT-Portugal) and FEDER and further support was received through Programa Plurianual (UI&amp;D 331/94). M. Dias and H. Alonso benefited from fellowships from FCT (BPD/46827/08 and BD/47055/2008, respectively). This study represents a contribution to the British Antarctic Survey Ecosystems programme.</t>
  </si>
  <si>
    <t>0962-8452</t>
  </si>
  <si>
    <t>1471-2954</t>
  </si>
  <si>
    <t>P ROY SOC B-BIOL SCI</t>
  </si>
  <si>
    <t>Proc. R. Soc. B-Biol. Sci.</t>
  </si>
  <si>
    <t>10.1098/rspb.2010.2114</t>
  </si>
  <si>
    <t>761VT</t>
  </si>
  <si>
    <t>WOS:000290429800005</t>
  </si>
  <si>
    <t>Capuska, GEM; Huynen, L; Lambert, D; Raubenheimer, D</t>
  </si>
  <si>
    <t>Capuska, Gabriel E. Machovsky; Huynen, Leon; Lambert, David; Raubenheimer, David</t>
  </si>
  <si>
    <t>UVS is rare in seabirds</t>
  </si>
  <si>
    <t>VISION RESEARCH</t>
  </si>
  <si>
    <t>UVS; Seabirds; VS; Gulls; Albatross; SWS1 opsin; Phylogeny</t>
  </si>
  <si>
    <t>ULTRAVIOLET VISION; VISUAL PIGMENTS; OIL DROPLETS; MOLECULAR EVOLUTION; KING PENGUIN; SWS1 OPSIN; BIRDS; PHOTORECEPTOR; RADIATION; FIELDS</t>
  </si>
  <si>
    <t>Ultraviolet-sensitive vision (UVS), believed to have evolved from an ancestral state of violet-sensitive vision (VS), is widespread among terrestrial birds, where it is thought to play a role in orientation, foraging, and sexual selection. Less is known, however, about the distribution and significance of UVS in seabirds. To date UVS has been definitively demonstrated only in two families (Laridae and Sternidae), although indirect evidence has been used to argue for a more widespread occurrence. In this study we analyzed short-wavelength sensitive (SWS1) opsin DNA sequences to determine the distribution of ancestral (VS) and derived (UVS) amino acid spectral tuning sites in 16 seabird species representing 8 families with diverse ecological niches. Our results revealed sequences associated with UVS pigments (UVSs) in the Black-backed gull (Larus dominicanus), providing further evidence of its widespread occurrence within the Laridae. The Caspian tern (Hydroprogne caspia) and White-fronted tern (Sterna striata), however, were found to have VSs, suggesting an evolutionary reversion to the ancestral state within Sternidae. VSs were also detected in an additional six families. Our results raise interesting questions about the functions of UV vision in marine environments. (C) 2011 Elsevier Ltd. All rights reserved.</t>
  </si>
  <si>
    <t>[Capuska, Gabriel E. Machovsky; Raubenheimer, David] Massey Univ, Nutr Ecol Res Grp, Inst Nat Sci, N Shore MSC, Private Bag 102 904, Auckland, New Zealand; [Capuska, Gabriel E. Machovsky; Raubenheimer, David] Massey Univ, Coastal Marine Res Grp, Inst Nat Sci, N Shore MSC, Auckland, New Zealand; [Huynen, Leon; Lambert, David] Griffith Univ, Australian Rivers Inst, Sch Environm, Nathan, Qld 4111, Australia</t>
  </si>
  <si>
    <t>Massey University; Massey University; Griffith University</t>
  </si>
  <si>
    <t>Capuska, GEM (corresponding author), Massey Univ, Nutr Ecol Res Grp, Inst Nat Sci, N Shore MSC, Private Bag 102 904, Auckland, New Zealand.</t>
  </si>
  <si>
    <t>g.machovsky@massey.ac.nz</t>
  </si>
  <si>
    <t>Lambert, David/0000-0002-5821-3637; Raubenheimer, David/0000-0001-9050-1447; Machovsky-Capuska, Gabriel/0000-0001-8698-8424</t>
  </si>
  <si>
    <t>Institute of Natural Sciences at Massey University (INS); Massey University</t>
  </si>
  <si>
    <t>Seabird feathers were kindly provided by Lyn MacDonald at Green Bay Rescue Centre; Anne-Sophie Boyer at Ecology and Conservation Research Group, Massey University; Brian Gill at the Auckland Museum; Andrew Christie at Kelly Tarltons Antarctic Encounter and Underwater World; Chris Gaskin at Pterodroma Pelagics. Additional extracted seabird DNAs were generously provided by Craig Millar from the University of Auckland. Jim Dale provided valuable comments on an earlier version of this manuscript. GMC is a recipient of the Institute of Natural Sciences at Massey University (INS) doctoral scholarship. This work was partly supported by the Massey University Research Fund.</t>
  </si>
  <si>
    <t>0042-6989</t>
  </si>
  <si>
    <t>1878-5646</t>
  </si>
  <si>
    <t>VISION RES</t>
  </si>
  <si>
    <t>Vision Res.</t>
  </si>
  <si>
    <t>JUN 21</t>
  </si>
  <si>
    <t>10.1016/j.visres.2011.04.008</t>
  </si>
  <si>
    <t>Neurosciences; Ophthalmology; Psychology</t>
  </si>
  <si>
    <t>Neurosciences &amp; Neurology; Ophthalmology; Psychology</t>
  </si>
  <si>
    <t>779LF</t>
  </si>
  <si>
    <t>WOS:000291778400005</t>
  </si>
  <si>
    <t>Barnes, DKA; Clarke, A</t>
  </si>
  <si>
    <t>Barnes, David K. A.; Clarke, Andrew</t>
  </si>
  <si>
    <t>Antarctic marine biology</t>
  </si>
  <si>
    <t>CURRENT BIOLOGY</t>
  </si>
  <si>
    <t>SOUTHERN-OCEAN; BIODIVERSITY</t>
  </si>
  <si>
    <t>[Barnes, David K. A.; Clarke, Andrew] British Antarctic Survey, NERC, Cambridge CB3 0ET, England</t>
  </si>
  <si>
    <t>Barnes, DKA (corresponding author), British Antarctic Survey, NERC, Madingley Rd, Cambridge CB3 0ET, England.</t>
  </si>
  <si>
    <t>NERC [bas0100025] Funding Source: UKRI; Natural Environment Research Council [bas0100025] Funding Source: researchfish</t>
  </si>
  <si>
    <t>CELL PRESS</t>
  </si>
  <si>
    <t>600 TECHNOLOGY SQUARE, 5TH FLOOR, CAMBRIDGE, MA 02139 USA</t>
  </si>
  <si>
    <t>0960-9822</t>
  </si>
  <si>
    <t>CURR BIOL</t>
  </si>
  <si>
    <t>Curr. Biol.</t>
  </si>
  <si>
    <t>R451</t>
  </si>
  <si>
    <t>R457</t>
  </si>
  <si>
    <t>10.1016/j.cub.2011.04.012</t>
  </si>
  <si>
    <t>Biochemistry &amp; Molecular Biology; Biology; Cell Biology</t>
  </si>
  <si>
    <t>Biochemistry &amp; Molecular Biology; Life Sciences &amp; Biomedicine - Other Topics; Cell Biology</t>
  </si>
  <si>
    <t>785IE</t>
  </si>
  <si>
    <t>WOS:000292221900005</t>
  </si>
  <si>
    <t>Venuti, A; Florindo, F; Caburlotto, A; Hounslow, MW; Hillenbrand, CD; Strada, E; Talarico, FM; Cavallo, A</t>
  </si>
  <si>
    <t>Venuti, Alessandra; Florindo, Fabio; Caburlotto, Andrea; Hounslow, Mark W.; Hillenbrand, Claus-Dieter; Strada, Eleonora; Talarico, Franco M.; Cavallo, Andrea</t>
  </si>
  <si>
    <t>Late Quaternary sediments from deep-sea sediment drifts on the Antarctic Peninsula Pacific margin: Climatic control on provenance of minerals</t>
  </si>
  <si>
    <t>CONTINENTAL RISE WEST; REVERSAL CURVE DIAGRAMS; MAGNETIC-PROPERTIES; SOUTHERN-OCEAN; GEOMAGNETIC PALEOINTENSITY; ENVIRONMENTAL MAGNETISM; GREIGITE FORMATION; MARINE-SEDIMENTS; NORTH-ATLANTIC; TEMPERATURE</t>
  </si>
  <si>
    <t>We present results of detailed paleomagnetic investigations on deep-sea cores from sediment drifts located along the Pacific continental margin of the Antarctic Peninsula. High-resolution magnetic measurements on u channel samples provide detailed age models for three cores collected from drift 7, which document an age of 122 ka for the oldest sediments recovered near the drift crest at site SED-07 and a high sedimentation rate (11 cm/kyr) at site SED-12 located close to the Alexander Channel system. Low-and high-temperature magnetic measurements in conjunction with microscopic and mineralogic observations from drifts 4, 5 and 7 indicate that pseudosingle-domain detrital titanomagnetite (partially oxidized and with limited Ti substitution) is the dominant magnetic mineral in the drift sediments. The titanomagnetite occurs in two magnetic forms: (1) a low-coercivity form similar to laboratory-synthesized titanomagnetite and (2) a high-coercivity form (B-cr &gt; 60 mT). These two forms vary in amount and stratigraphic distribution across the drifts. We did not find evidence for diagenetic magnetic iron sulfides as has been previously suggested for these drift deposits. The observed change of magnetic mineralogy in sediments deposited during Heinrich events on drift 7 appears to be related to warming periods, which temporarily modified the normal glacial transport pathways of glaciogenic detritus to and along the continental rise and thus resulted in deposition of sediments with a different provenance. Understanding this sediment provenance delivery signature at a wider spatial scale should provide information about ice sheet dynamics in West Antarctica over the last similar to 100 kyr.</t>
  </si>
  <si>
    <t>[Venuti, Alessandra; Florindo, Fabio; Strada, Eleonora; Cavallo, Andrea] Ist Nazl Geofis &amp; Vulcanol, I-00143 Rome, Italy; [Caburlotto, Andrea] Ist Nazl Oceanog &amp; Geofis Sperimentale, I-34010 Sgonico, Italy; [Hounslow, Mark W.] Univ Lancaster, Lancaster Environm Ctr, Lancaster LA1 4YQ, England; [Hillenbrand, Claus-Dieter] British Antarctic Survey, Cambridge CB3 0ET, England; [Strada, Eleonora; Talarico, Franco M.] Univ Siena, Dipartimento Sci Terra, I-53100 Siena, Italy</t>
  </si>
  <si>
    <t>Istituto Nazionale Geofisica e Vulcanologia (INGV); Istituto Nazionale di Oceanografia e di Geofisica Sperimentale; Lancaster University; UK Research &amp; Innovation (UKRI); Natural Environment Research Council (NERC); NERC British Antarctic Survey; University of Siena</t>
  </si>
  <si>
    <t>Venuti, A (corresponding author), Ist Nazl Geofis &amp; Vulcanol, Via Vigna Murata 605, I-00143 Rome, Italy.</t>
  </si>
  <si>
    <t>fabio.florindo@ingv.it</t>
  </si>
  <si>
    <t>Florindo, Fabio/AAU-2548-2021; Florindo, Fabio/M-1459-2019; Florindo, Fabio/F-4119-2010; talarico, franco/G-9472-2012; Hounslow, mark/E-7873-2014</t>
  </si>
  <si>
    <t>Florindo, Fabio/0000-0002-6058-9748; Florindo, Fabio/0000-0002-6058-9748; caburlotto, andrea/0000-0001-7259-6884; talarico, franco/0000-0002-7254-4301; Venuti, Alessandra/0000-0002-0213-3355; Hounslow, mark/0000-0003-1784-6291</t>
  </si>
  <si>
    <t>Italian PNRA; BAS Palaeo-Ice Sheets [SAGES-500K]; NERC [bas0100027] Funding Source: UKRI; Natural Environment Research Council [ceh010010, bas0100027] Funding Source: researchfish</t>
  </si>
  <si>
    <t>Italian PNRA(Ministry of Education, Universities and Research (MIUR)); BAS Palaeo-Ice Sheets; NERC(UK Research &amp; Innovation (UKRI)Natural Environment Research Council (NERC)); Natural Environment Research Council(UK Research &amp; Innovation (UKRI)Natural Environment Research Council (NERC))</t>
  </si>
  <si>
    <t>This work was supported by Italian PNRA grants for the SEDANO-I and -II projects and by the BAS Palaeo-Ice Sheets and SAGES-500K projects. Reviews by Andrew P. Roberts, Stefanie Brachfeld, an anonymous reviewer, and the Associate Editor helped to improve the manuscript. We are grateful to Carol Pudsey, Ian Hawkes, and Barbara Maher, who all assisted in a variety of ways and to the captains, officers, crew, and scientists who participated in the various cruises.</t>
  </si>
  <si>
    <t>B06104</t>
  </si>
  <si>
    <t>10.1029/2010JB007952</t>
  </si>
  <si>
    <t>784GL</t>
  </si>
  <si>
    <t>WOS:000292144500001</t>
  </si>
  <si>
    <t>Soyol-Erdene, TO; Huh, Y; Hong, S; Hwang, HJ; Hur, SD</t>
  </si>
  <si>
    <t>Soyol-Erdene, Tseren-Ochir; Huh, Youngsook; Hong, Sungmin; Hwang, Hee Jin; Hur, Soon Do</t>
  </si>
  <si>
    <t>Quantification of Ultra-Trace Levels of Pt, Ir and Rh in Polar Snow and Ice Using ICP-SFMS Coupled with a Pre-Concentration and Desolvation Nebulization System</t>
  </si>
  <si>
    <t>BULLETIN OF THE KOREAN CHEMICAL SOCIETY</t>
  </si>
  <si>
    <t>Platinum group elements; Antarctic snow; Ice core</t>
  </si>
  <si>
    <t>[Soyol-Erdene, Tseren-Ochir; Hwang, Hee Jin; Hur, Soon Do] Korea Polar Res Inst, Inchon 406840, South Korea; [Huh, Youngsook] Seoul Natl Univ, Res Inst Oceanog, Seoul 151747, South Korea; [Hong, Sungmin] Inha Univ, Dept Oceanog, Inchon 402751, South Korea; [Soyol-Erdene, Tseren-Ochir; Huh, Youngsook] Seoul Natl Univ, Sch Earth &amp; Environm Sci, Seoul 151747, South Korea</t>
  </si>
  <si>
    <t>Korea Institute of Ocean Science &amp; Technology (KIOST); Korea Polar Research Institute (KOPRI); Seoul National University (SNU); Inha University; Seoul National University (SNU)</t>
  </si>
  <si>
    <t>Hur, SD (corresponding author), Korea Polar Res Inst, Songdo Techno Pk, Inchon 406840, South Korea.</t>
  </si>
  <si>
    <t>sdhur@kopri.re.kr</t>
  </si>
  <si>
    <t>Tseren-Ochir, Soyol-Erdene/P-9364-2015; Huh, Youngsook/C-3379-2014</t>
  </si>
  <si>
    <t>Tseren-Ochir, Soyol-Erdene/0000-0002-6356-1361;</t>
  </si>
  <si>
    <t>National Research Foundation of Korea (NRF); Korea government (MEST) [2009-0083899]; KOPRI [PE11090]; Inha University [INHA-40890-01]; Brain Korea 21 Graduate Student Fellowship</t>
  </si>
  <si>
    <t>National Research Foundation of Korea (NRF)(National Research Foundation of Korea); Korea government (MEST)(Ministry of Education, Science &amp; Technology (MEST), Republic of KoreaKorean Government); KOPRI(Korea Polar Research Institute of Marine Research Placement (KOPRI)); Inha University; Brain Korea 21 Graduate Student Fellowship(Ministry of Education &amp; Human Resources Development (MOEHRD), Republic of Korea)</t>
  </si>
  <si>
    <t>This work was supported by the National Research Foundation of Korea (NRF) and by grants funded by the Korea government (MEST) (No. 2009-0083899), a KOPRI research grant (PE11090) and an Inha University research grant (INHA-40890-01). A Brain Korea 21 Graduate Student Fellowship supported T.-O. Soyol-Erdene.</t>
  </si>
  <si>
    <t>KOREAN CHEMICAL SOC</t>
  </si>
  <si>
    <t>635-4 YEOGSAM-DONG, KANGNAM-GU, SEOUL 135-703, SOUTH KOREA</t>
  </si>
  <si>
    <t>0253-2964</t>
  </si>
  <si>
    <t>B KOREAN CHEM SOC</t>
  </si>
  <si>
    <t>Bull. Korean Chem. Soc.</t>
  </si>
  <si>
    <t>JUN 20</t>
  </si>
  <si>
    <t>10.5012/bkcs.2011.32.6.2105</t>
  </si>
  <si>
    <t>Chemistry, Multidisciplinary</t>
  </si>
  <si>
    <t>Chemistry</t>
  </si>
  <si>
    <t>783XH</t>
  </si>
  <si>
    <t>WOS:000292117700051</t>
  </si>
  <si>
    <t>Roscoe, HK; Brooks, B; Jackson, AV; Smith, MH; Walker, SJ; Obbard, RW; Wolff, EW</t>
  </si>
  <si>
    <t>Roscoe, H. K.; Brooks, B.; Jackson, A. V.; Smith, M. H.; Walker, S. J.; Obbard, R. W.; Wolff, E. W.</t>
  </si>
  <si>
    <t>Frost flowers in the laboratory: Growth, characteristics, aerosol, and the underlying sea ice</t>
  </si>
  <si>
    <t>SURFACE-AREA; SALT AEROSOL; CHEMISTRY; TEMPERATURE; REGIONS; SNOW</t>
  </si>
  <si>
    <t>In the laboratory, we have investigated the growth and composition of frost flowers. Their ionic composition has shown little difference from those of field measurements. Young frost flowers grown on sea ice are saline, leading us to speculate that wicking occurs continually during their growth on sea ice. The surface area of frost flowers is only a little larger than the area of ice underneath, consistent with recent field measurements from the Arctic. Time-lapse photography has allowed us to observe the extreme mobility of freshly forming sea ice, at the stage at which the mush has become rather solid, and continuing while the flowers grow. This mobility results in new brine being expelled to the surface, which therefore remains wet. During various stages of frost flower growth, we observed their freshly formed dendritic parts rapidly diminishing in size after contacting the surface, consistent with repeated wicking. Frost flowers proved to be very stable in the presence of wind, such that no aerosol was observed when wind was blown across them in the laboratory chamber. This is consistent with recent field observations of frost flowers coexisting with wind-blown snow.</t>
  </si>
  <si>
    <t>[Roscoe, H. K.; Obbard, R. W.; Wolff, E. W.] British Antarctic Survey, Cambridge CB3 0ET, England; [Brooks, B.; Jackson, A. V.; Smith, M. H.; Walker, S. J.] Univ Leeds, Sch Earth &amp; Environm, Leeds LS2 9JT, W Yorkshire, England</t>
  </si>
  <si>
    <t>UK Research &amp; Innovation (UKRI); Natural Environment Research Council (NERC); NERC British Antarctic Survey; University of Leeds</t>
  </si>
  <si>
    <t>Roscoe, HK (corresponding author), British Antarctic Survey, Madingley Rd, Cambridge CB3 0ET, England.</t>
  </si>
  <si>
    <t>hkro@bas.ac.uk</t>
  </si>
  <si>
    <t>Wolff, Eric W/D-7925-2014</t>
  </si>
  <si>
    <t>Wolff, Eric W/0000-0002-5914-8531</t>
  </si>
  <si>
    <t>British Antarctic Survey; UK's Natural Environment Research Council (NERC); NERC [NE/D004276/1]; NERC [bas0100024, NE/D004276/1, ncas10004, ncas10008] Funding Source: UKRI; Natural Environment Research Council [NE/D004276/1, ncas10004, bas0100024, ncas10008] Funding Source: researchfish</t>
  </si>
  <si>
    <t>British Antarctic Survey; UK's Natural Environment Research Council (NERC)(UK Research &amp; Innovation (UKRI)Natural Environment Research Council (NERC)); NERC(UK Research &amp; Innovation (UKRI)Natural Environment Research Council (NERC)); NERC(UK Research &amp; Innovation (UKRI)Natural Environment Research Council (NERC)); Natural Environment Research Council(UK Research &amp; Innovation (UKRI)Natural Environment Research Council (NERC))</t>
  </si>
  <si>
    <t>The authors would like to thank Florent Domine and Jean-Charles Gallet of the Laboratoire de Glaciologie et Geophysique de l'Environnement (LGGE) in France and Michael Kerbrat of the Paul Scherrer Institute in Switzerland for advice and training on the BET apparatus. We are indebted to Rob Style and Grae Worster of DAMTP in Cambridge for helpful conversations and previews of their frost flower results and to Louise Althorpe at BAS for assistance with measurements of ionic composition. The participation of Howard Roscoe and Eric Wolff was funded by the British Antarctic Survey's Polar Science for Planet Earth program, which is funded by the UK's Natural Environment Research Council (NERC). The participation of Rachel Obbard, Sarah Walker, and Barbara Brooks was funded by NERC grant NE/D004276/1.</t>
  </si>
  <si>
    <t>JUN 17</t>
  </si>
  <si>
    <t>D12301</t>
  </si>
  <si>
    <t>10.1029/2010JD015144</t>
  </si>
  <si>
    <t>780AC</t>
  </si>
  <si>
    <t>WOS:000291822300001</t>
  </si>
  <si>
    <t>Sigmond, M; Reader, MC; Fyfe, JC; Gillett, NP</t>
  </si>
  <si>
    <t>Sigmond, M.; Reader, M. C.; Fyfe, J. C.; Gillett, N. P.</t>
  </si>
  <si>
    <t>Drivers of past and future Southern Ocean change: Stratospheric ozone versus greenhouse gas impacts</t>
  </si>
  <si>
    <t>ANTARCTIC CIRCUMPOLAR CURRENT; RECENT CLIMATE-CHANGE; CIRCULATION; MODELS</t>
  </si>
  <si>
    <t>We study the separate impacts of changing atmospheric greenhouse gas (GHG) and stratospheric ozone concentrations on past (1960-2010) and future (20102100) Southern Ocean conditions. To this end we employ a coupled atmosphere-ocean model with interactive stratospheric chemistry. In our model we separately prescribe i) GHGs that monotonically increase to 2100 and ii) ozone depleting substances (ODSs) that rapidly increase to a maximum in 1995 and then slowly return to 1960 values around 2100, following moderate emission scenarios. Past GHG and ODS changes in our model drive, in about equal measure in the annual mean, poleward intensified surface winds which act to strengthen the sub polar meridional ocean circulation cell and Antarctic Circumpolar Current (ACC). Future GHG-induced oceanic changes continue nearly monotonically to 2100, while the ODS-induced ACC transport peaks, and then reverses, a couple of decades after the ODS maximum in 1995. The ODS impact on ACC transport exceeds the corresponding GHG impact up to the second quarter of the 21st century, a result that highlights the importance of often-neglected stratospheric ozone trends for the simulation of the ocean circulation. Citation: Sigmond, M., M. C. Reader, J. C. Fyfe, and N. P. Gillett (2011), Drivers of past and future Southern Ocean change: Stratospheric ozone versus greenhouse gas impacts, Geophys. Res. Lett., 38, L12601, doi: 10.1029/2011GL047120.</t>
  </si>
  <si>
    <t>[Sigmond, M.] Univ Toronto, Dept Phys, Toronto, ON M5S 1A7, Canada; [Reader, M. C.] Univ Victoria, Sch Earth &amp; Ocean Sci, Victoria, BC V8W 3V6, Canada; [Fyfe, J. C.; Gillett, N. P.] Univ Victoria, Canadian Ctr Climate Modelling &amp; Anal, Victoria, BC V8W 3V6, Canada</t>
  </si>
  <si>
    <t>University of Toronto; University of Victoria; University of Victoria; Environment &amp; Climate Change Canada; Canadian Centre for Climate Modelling &amp; Analysis (CCCma)</t>
  </si>
  <si>
    <t>Sigmond, M (corresponding author), Univ Toronto, Dept Phys, 60 St George St, Toronto, ON M5S 1A7, Canada.</t>
  </si>
  <si>
    <t>sigmond@atmosp.physics.utoronto.ca</t>
  </si>
  <si>
    <t>Sigmond, Michael/Q-7202-2019; Sigmond, Michael/K-3169-2012</t>
  </si>
  <si>
    <t>Sigmond, Michael/0000-0003-2191-9756;</t>
  </si>
  <si>
    <t>Canadian Foundation for Climate and Atmospheric Sciences</t>
  </si>
  <si>
    <t>MS and MCR are a members of the CSPARC network, and gratefully acknowledge the support of the Canadian Foundation for Climate and Atmospheric Sciences. We thank Bill Merryfield, John Scinocca, Matthew England and an anonymous reviewer for their insightful comments.</t>
  </si>
  <si>
    <t>JUN 16</t>
  </si>
  <si>
    <t>L12601</t>
  </si>
  <si>
    <t>10.1029/2011GL047120</t>
  </si>
  <si>
    <t>779WS</t>
  </si>
  <si>
    <t>WOS:000291813500001</t>
  </si>
  <si>
    <t>Hans, J; Jöst, C; Zauke, GP</t>
  </si>
  <si>
    <t>Hans, J.; Joest, C.; Zauke, G. -P.</t>
  </si>
  <si>
    <t>Significance and interspecific variability of accumulated trace metal concentrations in Antarctic benthic polychaetes</t>
  </si>
  <si>
    <t>SCIENCE OF THE TOTAL ENVIRONMENT</t>
  </si>
  <si>
    <t>Heavy metals; Polychaetes; Feeding guilds; Weddell Sea; Antarctica</t>
  </si>
  <si>
    <t>SABELLA-SPALLANZANII; FEEDING GUILDS; TOXICOKINETIC MODELS; ESTUARINE SEDIMENTS; NEREIS-DIVERSICOLOR; HEAVY-METALS; WEDDELL SEA; BIOACCUMULATION; CADMIUM; MARINE</t>
  </si>
  <si>
    <t>Trace metals were analysed in polychaetes collected on Polarstern cruise ANT XXI/2 (2003/04) to the Weddell Sea. Pb concentrations were largely less than 1.3 mg kg(-1) DW in all samples analysed. Statistical results indicate that the accumulated Cd, Cu and Zn concentrations are related to the feeding guild to which the animals are belonging. Relatively low Cd and Cu concentrations are found in macrophagous carnivores and relatively high concentrations in microphagous detritus feeders. The relationship between Zn concentrations and the feeding guilds of polychaetes is reverse. Cd concentrations range from (median values and interquantile ranges in brackets) 2.6 (1.5-3.2) mg kg(-1) DW in the carnivorous Trypanosyllis gigantea to 133 (37-176) mg kg(-1) in the microphagous detritus feeder Lanicides bilobata: Cu concentrations from 16 (11-19) mg kg(-1) in the carnivorous Antarctinoe spicoides to 40 (23-68) mg kg(-1) in the microphagous detritus feeder Phyllocomus crocea and Zn from 89 (69-97) mg kg(-1) in the microphagous detritus feeder Isocirrus yungi to 396 (372-404) mg kg(-1) in the carnivorous Aglaophamus trissophyllus. Ni is ranging from 3.7 (1.8-6.0) mg kg(-1) in Polyeunoa laevis to 34 (20-41) mg kg(-1) in A. spicoides, but no significant differences are obvious regarding the feeding guilds. Since information on metals in Antarctic polychaetes is almost completely lacking, our results suggest further studies to clarify the role of feeding in the bioaccumulation of metals in this ecologically important taxonomic group. (C) 2011 Elsevier B.V. All rights reserved.</t>
  </si>
  <si>
    <t>[Hans, J.; Joest, C.; Zauke, G. -P.] Carl von Ossietzky Univ Oldenburg, Inst Chem &amp; Biol Marine Environm ICBM, D-26111 Oldenburg, Germany</t>
  </si>
  <si>
    <t>Carl von Ossietzky Universitat Oldenburg</t>
  </si>
  <si>
    <t>Zauke, GP (corresponding author), CvO Univ ICBM, Postfach 2503, D-26111 Oldenburg, Germany.</t>
  </si>
  <si>
    <t>gerd.p.zauke@uni-oldenburg.de</t>
  </si>
  <si>
    <t>Hans, Jorg B./0009-0007-6100-4418</t>
  </si>
  <si>
    <t>0048-9697</t>
  </si>
  <si>
    <t>SCI TOTAL ENVIRON</t>
  </si>
  <si>
    <t>Sci. Total Environ.</t>
  </si>
  <si>
    <t>JUN 15</t>
  </si>
  <si>
    <t>10.1016/j.scitotenv.2011.04.014</t>
  </si>
  <si>
    <t>Environmental Sciences</t>
  </si>
  <si>
    <t>788ZP</t>
  </si>
  <si>
    <t>WOS:000292483400018</t>
  </si>
  <si>
    <t>King, MA; Padman, L; Nicholls, K; Clarke, PJ; Gudmundsson, GH; Kulessa, B; Shepherd, A</t>
  </si>
  <si>
    <t>King, Matt A.; Padman, Laurie; Nicholls, Keith; Clarke, Peter J.; Gudmundsson, G. Hilmar; Kulessa, Bernd; Shepherd, Andrew</t>
  </si>
  <si>
    <t>Ocean tides in the Weddell Sea: New observations on the Filchner-Ronne and Larsen C ice shelves and model validation</t>
  </si>
  <si>
    <t>GROUNDING ZONE; LOAD TIDES; ANTARCTICA; STREAM; ALTIMETRY; RADAR; FLOW; INTERFEROMETRY; UNDERNEATH; EFFICIENT</t>
  </si>
  <si>
    <t>Ocean tides under the large Weddell Sea ice shelves are among the least well observed on Earth. Here we present new, spatially extensive observations of the vertical tidal motion of the Filchner-Ronne and Larsen C ice shelves using Global Positioning System (GPS) data spanning a few weeks to years. We pay particular attention to the major tidal constituents (M2, S2, O1, K1) as well as important GRACE aliasing periods (K2 and S1). We compare the estimated constituents with recent global and regional tide models and find that no single model is the most accurate across all constituents or ice shelves. The root-sum-square errors are 7-8 cm (CATS2008a and TPXO7.2) and 11-12 cm (GOT4.7 and FES2004) with the energetic M2 (RMSE = 4-8 cm) and S2 (4-5 cm) generally dominating these statistics. The FES2004 K1 is particularly inaccurate near the Larsen C Ice Shelf, with errors approaching 20 cm, meaning that GRACE Release 4 estimates of mass change in the northern Antarctic Peninsula will be biased. We find tidal energy at 3, 4, 5, 6 and, weakly, at 7 cycles per day at all of our sites. The largest amplitudes within these bands are at M4, MO3 and SP3 and approach 30 mm, although significant spatial variations exist. We show that they generally do not appear to originate in areas of reduced water column in ice shelf grounding zones. Comparing model estimates with our M4, MS4 and MN4 values shows that models do not accurately represent these terms.</t>
  </si>
  <si>
    <t>[King, Matt A.; Clarke, Peter J.] Newcastle Univ, Sch Civil Engn &amp; Geosci, Newcastle Upon Tyne NE1 7RU, Tyne &amp; Wear, England; [Nicholls, Keith; Gudmundsson, G. Hilmar] British Antarctic Survey, NERC, Cambridge CB3 0ET, England; [Kulessa, Bernd] Swansea Univ, Coll Sci, Swansea SA2 8PP, W Glam, Wales; [Padman, Laurie] Earth &amp; Space Res, Corvallis, OR 97333 USA; [Shepherd, Andrew] Univ Leeds, Sch Earth &amp; Environm, Leeds LS2 9JT, W Yorkshire, England</t>
  </si>
  <si>
    <t>Newcastle University - UK; UK Research &amp; Innovation (UKRI); Natural Environment Research Council (NERC); NERC British Antarctic Survey; Swansea University; University of Leeds</t>
  </si>
  <si>
    <t>King, MA (corresponding author), Newcastle Univ, Sch Civil Engn &amp; Geosci, Cassie Bldg, Newcastle Upon Tyne NE1 7RU, Tyne &amp; Wear, England.</t>
  </si>
  <si>
    <t>m.a.king@newcastle.ac.uk</t>
  </si>
  <si>
    <t>Facility, NERC Geophysical Equipment/G-5260-2010; Gudmundsson, Gudmundur Hilmar/AAU-5987-2020; Gudmundsson, Gudmundur Hilmar/F-6499-2012; Padman, Laurence/AAH-3808-2021; Clarke, Peter John/B-1783-2008; King, Matt/B-4622-2008</t>
  </si>
  <si>
    <t>Gudmundsson, Gudmundur Hilmar/0000-0003-4236-5369; Gudmundsson, Gudmundur Hilmar/0000-0003-4236-5369; Clarke, Peter John/0000-0003-1276-8300; King, Matt/0000-0001-5611-9498; Shepherd, Andrew/0000-0002-4914-1299; Padman, Laurence/0000-0003-2010-642X; Kulessa, Bernd/0000-0002-4830-4949</t>
  </si>
  <si>
    <t>NERC (UK) Antarctic Funding Initiative; NERC; RCUK; NASA [NNX06AH39G, NNX10AG19G]; NERC [NE/D009960/1, NE/E013414/1, NE/E014089/2, bas0100028, NE/E012914/1, bas0100023] Funding Source: UKRI; Natural Environment Research Council [NE/E012914/1, bas0100023, bas0100028, NE/D009960/1, NE/E013414/1, NE/E014089/2] Funding Source: researchfish</t>
  </si>
  <si>
    <t>NERC (UK) Antarctic Funding Initiative(UK Research &amp; Innovation (UKRI)Natural Environment Research Council (NERC)); NERC(UK Research &amp; Innovation (UKRI)Natural Environment Research Council (NERC)); RCUK(UK Research &amp; Innovation (UKRI)); NASA(National Aeronautics &amp; Space Administration (NASA)); NERC(UK Research &amp; Innovation (UKRI)Natural Environment Research Council (NERC)); Natural Environment Research Council(UK Research &amp; Innovation (UKRI)Natural Environment Research Council (NERC))</t>
  </si>
  <si>
    <t>The data collection and research were enabled by NERC (UK) Antarctic Funding Initiative grants and Geophysical Equipment Facility loans to M.A.K./P.J.C., A. S., and B. K. M. A. K. was also funded by NERC and RCUK Academic Fellowships. L. P. was funded by NASA, NNX06AH39G and NNX10AG19G. We thank David Barber for his efforts in deploying the GPS units and BAS personnel based at Rothera for their additional and substantial efforts in maintaining the equipment and retrieving the data. We thank model authors for making their model output available. Richard Ray kindly provided GRACE range acceleration anomalies for mu2 and commented on a section of a draft of the manuscript. We also thank JPL for making GIPSY and their orbit products available and Tonie vanDam for providing atmospheric pressure loading displacements. We gratefully acknowledge the efforts of two anonymous reviewers and the Editor. This is ESR contribution 138.</t>
  </si>
  <si>
    <t>C06006</t>
  </si>
  <si>
    <t>10.1029/2011JC006949</t>
  </si>
  <si>
    <t>780AU</t>
  </si>
  <si>
    <t>Green Published, Green Accepted, Bronze</t>
  </si>
  <si>
    <t>WOS:000291824300004</t>
  </si>
  <si>
    <t>Cunningham, A; Carrie, ID; Korb, RE</t>
  </si>
  <si>
    <t>Cunningham, Alex; Carrie, Iain D.; Korb, Rebecca E.</t>
  </si>
  <si>
    <t>Two-component modeling of the optical properties of a diatom bloom in the Southern Ocean</t>
  </si>
  <si>
    <t>Inherent optical properties; Ocean color; Southern Ocean; Diatoms</t>
  </si>
  <si>
    <t>MARINE-PHYTOPLANKTON; REFRACTIVE-INDEX; CHLOROPHYLL-A; SCOTIA SEA; SCATTERING PROPERTIES; TEMPORAL VARIABILITY; COLOR; LIGHT; ABSORPTION; ATLANTIC</t>
  </si>
  <si>
    <t>Diatom cells have distinctive optical characteristics, originating from their relatively large cell size, fucoxanthin content and silica cell wall. It has been proposed that diatom-dominated phytoplankton blooms can be identified by optical remote sensing and that specifically tuned chlorophyll and primary production algorithms should be applied in regions where these blooms are present. However there have been few studies on how the optical properties of diatom blooms change as they progress from active growth to senescence, and it is unlikely that measurements on laboratory cultures encompass the full range of physiological states found in natural waters. We have therefore examined the inherent optical properties (IOPs) of the waters around the island of South Georgia at the end of the spring diatom bloom. Considerable variability was found in the relationships between the inherent optical properties and analytically determined chlorophyll a concentrations even in the surface layer, which meant that the usual bio-optical assumptions for Case 1 waters did not apply. To account for this variability, phytoplankton absorption and scattering were modeled as a two-component mixture, with the components representing actively growing and senescent material. The specific inherent optical properties of the two components were derived by linear regression of total IOPs against chlorophyll concentration and a fraction of the suspended mineral concentration. These specific IOPs were used to develop radiative transfer models of diatom blooms in varying stages of growth and senescence. Remote sensing reflectances calculated using this technique confirmed the tendency of the standard algorithms employed in SeaWiFS, MODIS and MERIS data processing to under-estimate near-surface chlorophyll concentrations in diatom blooms. However the inclusion of increasing proportions of senescent material had a significant effect on algorithm performance only at chlorophyll concentrations below 10 mg m(-3). Optical depths predicted by the model around South Georgia were 9+/-2 m at 512 nm, indicating that a large fraction of the phytoplankton biomass was located below the depth from which the remote sensing signals originated. (C) 2011 Elsevier Inc. All rights reserved.</t>
  </si>
  <si>
    <t>[Cunningham, Alex; Carrie, Iain D.] Univ Strathclyde, Dept Phys, Glasgow G4 0NG, Lanark, Scotland; [Korb, Rebecca E.] British Antarctic Survey, Nat Environm Res Council, Cambridge CB3 0ET, England</t>
  </si>
  <si>
    <t>University of Strathclyde; UK Research &amp; Innovation (UKRI); Natural Environment Research Council (NERC); NERC British Antarctic Survey</t>
  </si>
  <si>
    <t>Cunningham, A (corresponding author), Univ Strathclyde, Dept Phys, 107 Rottenrow, Glasgow G4 0NG, Lanark, Scotland.</t>
  </si>
  <si>
    <t>a.cunningham@strath.ac.uk</t>
  </si>
  <si>
    <t>Cunningham, Alexander/D-6316-2013</t>
  </si>
  <si>
    <t>UK Natural Environment Research Council through Collaborative Gearing Initiative; NERC [bas0100025] Funding Source: UKRI; Natural Environment Research Council [bas0100025] Funding Source: researchfish</t>
  </si>
  <si>
    <t>UK Natural Environment Research Council through Collaborative Gearing Initiative; NERC(UK Research &amp; Innovation (UKRI)Natural Environment Research Council (NERC)); Natural Environment Research Council(UK Research &amp; Innovation (UKRI)Natural Environment Research Council (NERC))</t>
  </si>
  <si>
    <t>This work was supported by the UK Natural Environment Research Council through a Collaborative Gearing Initiative grant awarded to Alex Cunningham (Strathclyde) and Rebecca Korb (British Antarctic Survey).</t>
  </si>
  <si>
    <t>10.1016/j.rse.2011.01.023</t>
  </si>
  <si>
    <t>756KX</t>
  </si>
  <si>
    <t>WOS:000290011200013</t>
  </si>
  <si>
    <t>Downes, SM; Budnick, AS; Sarmiento, JL; Farneti, R</t>
  </si>
  <si>
    <t>Downes, S. M.; Budnick, A. S.; Sarmiento, J. L.; Farneti, R.</t>
  </si>
  <si>
    <t>Impacts of wind stress on the Antarctic Circumpolar Current fronts and associated subduction</t>
  </si>
  <si>
    <t>SOUTHERN-OCEAN; MESOSCALE EDDIES; VARIABILITY; TRANSPORT; ZONE</t>
  </si>
  <si>
    <t>Recent studies suggest that the overturning circulation in the Antarctic Circumpolar Current (ACC) region shows a weak sensitivity to overlying wind stress changes, due to balancing of changes in the eddy-induced and Eulerian mean transports. Using an eddy-permitting coupled climate model, we analyze the response of the ACC transport, and associated water mass subduction rates, in response to an idealized poleward shift and intensification of the westerlies. As in previous studies, we find a small increase in the net ACC transport, and a poleward shift in the mean position of the ACC flow. However, the ACC is restructured, with the Subantarctic Front (SAF) and Polar Front (PF) branches shifting poleward by between 0.9 degrees and 2.5 degrees of latitude, resulting in a weaker ACC flow in both the SAF and PF zones. The wind stress anomaly drives a stronger northward Ekman transport of cool surface waters, deepening the winter mixed layer and causing a 12.7 Sv increase in the subduction of Subantarctic Mode Water (SAMW) north of the SAF zone and a 6.5 Sv increase in the subduction of Antarctic Intermediate Water (AAIW) within the SAF and PF zones. Our results suggest that changes in the wind stress restructure the Southern Ocean large-scale circulation, including the flow of the ACC in its primary jets, and that this affects the formation rates of SAMW and AAIW in this complex region. Citation: Downes, S. M., A. S. Budnick, J. L. Sarmiento, and R. Farneti (2011), Impacts of wind stress on the Antarctic Circumpolar Current fronts and associated subduction, Geophys. Res. Lett., 38, L11605, doi:10.1029/2011GL047668.</t>
  </si>
  <si>
    <t>[Downes, S. M.; Budnick, A. S.; Sarmiento, J. L.] Princeton Univ, Program Atmospher &amp; Ocean Sci, Princeton, NJ 08544 USA; [Farneti, R.] Abdus Salaam Int Ctr Theoret Phys, Earth Syst Phys Sect, I-34151 Trieste, Italy</t>
  </si>
  <si>
    <t>Princeton University; National Oceanic Atmospheric Admin (NOAA) - USA; Abdus Salam International Centre for Theoretical Physics (ICTP)</t>
  </si>
  <si>
    <t>Downes, SM (corresponding author), Princeton Univ, Program Atmospher &amp; Ocean Sci, 300 Forrestal Rd, Princeton, NJ 08544 USA.</t>
  </si>
  <si>
    <t>sdownes@princeton.edu; abudnick@princeton.edu; jls@princeton.edu; rfarneti@ictp.it</t>
  </si>
  <si>
    <t>Downes, Stephanie/A-1424-2012; Farneti, Riccardo/B-5183-2011</t>
  </si>
  <si>
    <t>Farneti, Riccardo/0000-0001-7781-6436</t>
  </si>
  <si>
    <t>NOAA [NA07OAR4310096]</t>
  </si>
  <si>
    <t>NOAA(National Oceanic Atmospheric Admin (NOAA) - USA)</t>
  </si>
  <si>
    <t>The authors wish to thank Anand Gnanadesikan, Eun Young Kwon, Thomas Frolicher, and two anonymous reviewers for constructive comments on the manuscript. We gratefully acknowledge GFDL scientists, in particular Fanrong Zeng and Thomas Delworth, for their modeling efforts. This research was supported by NOAA grant NA07OAR4310096.</t>
  </si>
  <si>
    <t>JUN 14</t>
  </si>
  <si>
    <t>L11605</t>
  </si>
  <si>
    <t>10.1029/2011GL047668</t>
  </si>
  <si>
    <t>779WM</t>
  </si>
  <si>
    <t>Bronze, Green Accepted, Green Published</t>
  </si>
  <si>
    <t>WOS:000291812900003</t>
  </si>
  <si>
    <t>Maraldi, C; Lyard, F; Testut, L; Coleman, R</t>
  </si>
  <si>
    <t>Maraldi, Claire; Lyard, Florent; Testut, Laurent; Coleman, Richard</t>
  </si>
  <si>
    <t>Energetics of internal tides around the Kerguelen Plateau from modeling and altimetry</t>
  </si>
  <si>
    <t>OCEAN TIDES; SURFACE MANIFESTATION; BAROCLINIC TIDES; TIDAL ENERGY; GLOBAL OCEAN; DEEP-OCEAN; DISSIPATION; CIRCULATION; GENERATION; VARIABILITY</t>
  </si>
  <si>
    <t>A barotropic tidal model, with a parameterization term to account for the internal wave drag energy dissipation, is used to examine areas of possible M-2 internal tide generation in the Kerguelen Plateau region. Barotropic energy flux and a distribution of wave drag dissipation are computed. The results suggest important conversion of barotropic energy into baroclinic tide generation over the northern Kerguelen Plateau shelf break, consistent with a theoretical criterion based on ocean stratification, tidal forcing frequency, and bathymetric gradients. The sea surface height signatures of time-coherent internal tides are studied using TOPEX/Poseidon and Jason-1 altimeter data, whose ascending tracks cross nearly perpendicular to the eastern and western Kerguelen Plateau shelf break. Oscillations of a few centimeters associated with phase-locked internal tides propagate away from the plateau over distances of several hundred kilometers with a similar to 110 km wavelength. When reaching the frontal area of the Antarctic Circumpolar Current, the internal tide cannot be identified because of the aliasing of mesoscale variability into the same alias band as M-2. Finally, using altimeter data, we estimate the M-2 barotropic tidal power converted through the internal tide generation process. We find consistent values with the barotropic model parameterization estimation, which is also in good agreement with global internal tide model estimates. Combined with modeling, this study has shown that altimetry can be used to estimate internal tide dissipation.</t>
  </si>
  <si>
    <t>[Maraldi, Claire; Lyard, Florent; Testut, Laurent] CNRS, Lab Etudes Geophys &amp; Oceanog Spatiales, F-31400 Toulouse, France; [Coleman, Richard] Antarctic Climate &amp; Ecosyst CRC, Hobart, Tas 7001, Australia; [Coleman, Richard] Univ Tasmania, Inst Marine &amp; Antarctic Studies, Hobart, Tas, Australia</t>
  </si>
  <si>
    <t>Universite de Toulouse; Universite Toulouse III - Paul Sabatier; Centre National de la Recherche Scientifique (CNRS); Institut de Recherche pour le Developpement (IRD); Laboratoire d'Etudes en Geophysique et oceanographie spatiales; University of Tasmania; University of Tasmania</t>
  </si>
  <si>
    <t>Maraldi, C (corresponding author), Serv Hydrog &amp; Oceanog Marine, 42 Ave Gaspard Coriolis, F-31057 Toulouse, France.</t>
  </si>
  <si>
    <t>claire.maraldi@gmail.com</t>
  </si>
  <si>
    <t>Lyard, Florent/AAN-4065-2021; Coleman, Richard/H-4425-2012</t>
  </si>
  <si>
    <t>Testut, Laurent/0000-0002-3969-2919; Coleman, Richard/0000-0002-9731-7498</t>
  </si>
  <si>
    <t>C06004</t>
  </si>
  <si>
    <t>10.1029/2010JC006515</t>
  </si>
  <si>
    <t>780AS</t>
  </si>
  <si>
    <t>WOS:000291824100001</t>
  </si>
  <si>
    <t>Vieli, GJMCL; Hindmarsh, RCA; Siegert, MJ; Bo, S</t>
  </si>
  <si>
    <t>Vieli, Gwendolyn J. -M. C. Leysinger; Hindmarsh, Richard C. A.; Siegert, Martin J.; Bo, Sun</t>
  </si>
  <si>
    <t>Time-dependence of the spatial pattern of accumulation rate in East Antarctica deduced from isochronic radar layers using a 3-D numerical ice flow model</t>
  </si>
  <si>
    <t>WEST ANTARCTICA; DOME-C; SUBGLACIAL LAKE; SOUNDING DATA; SIPLE DOME; BASAL MELT; SHEET; VOSTOK; SURFACE; CORE</t>
  </si>
  <si>
    <t>In East Antarctica surface mass balance data can only be obtained from the sparsely distributed ice cores when considering time periods greater than a few decades. Observations of internal layers measured by airborne ice penetrating radar, in principle, permit extrapolation of mass balance information from these ice cores. We use radar survey lines gathered in the 1970s, and a three-dimensional numerical model, to investigate the feasibility of such extrapolation, seeking to match the calculations of englacial layer geometry with observations. First, we justify the use of a three-dimensional model by showing that simple vertical flow models cannot explain all the observations and that horizontal advection is a significant glacial process. Then we examine processes that affect calculations of layer geometry, finding that spatial accumulation-rate patterns are extremely important while geothermal heat flux and flow mode (sliding or internal deformation) are of substantially less importance. Where the layer is from the Last Glacial Maximum (17.5 ka), we find a very good match between the spatial pattern of accumulation rates inferred from this layer and the modern spatial pattern of accumulation rates. When considering deeper layers from beyond the current interglacial, we find that a different spatial accumulation-rate pattern must have existed, in addition to the known change in accumulation rate from ice cores. The glacial spatial accumulation-rate pattern would have had proportionally greater accumulation at the South Pole than now, compared with the Vostok and Dome C ice cores.</t>
  </si>
  <si>
    <t>[Vieli, Gwendolyn J. -M. C. Leysinger; Hindmarsh, Richard C. A.] British Antarctic Survey, Div Phys Sci, NERC, Cambridge CB3 0ET, England; [Vieli, Gwendolyn J. -M. C. Leysinger] Univ Durham, Dept Geog, Sci Labs, Durham DH1 3LE, England; [Siegert, Martin J.] Univ Edinburgh, Sch Geosci, Grant Inst, Edinburgh EH9 3JW, Midlothian, Scotland; [Bo, Sun] Polar Res Inst China, Shanghai 200136, Peoples R China</t>
  </si>
  <si>
    <t>UK Research &amp; Innovation (UKRI); Natural Environment Research Council (NERC); NERC British Antarctic Survey; Durham University; University of Edinburgh; Polar Research Institute of China</t>
  </si>
  <si>
    <t>Vieli, GJMCL (corresponding author), British Antarctic Survey, Div Phys Sci, NERC, Madingley Rd, Cambridge CB3 0ET, England.</t>
  </si>
  <si>
    <t>g.j.m.c.leysinger-vieli@durham.ac.uk; rcah@bas.ac.uk; m.j.siegert@ed.ac.uk; sunbo@pric.gov.cn</t>
  </si>
  <si>
    <t>Siegert, Martin/M-9939-2019; Siegert, Martin J/A-3826-2008; Hindmarsh, Richard/N-1195-2019</t>
  </si>
  <si>
    <t>Siegert, Martin/0000-0002-0090-4806; Siegert, Martin J/0000-0002-0090-4806; Hindmarsh, Richard/0000-0003-1633-2416; Leysinger Vieli, Gwendolyn/0000-0003-1817-0641</t>
  </si>
  <si>
    <t>U.K. Natural Environment Research Council [NER/A/S/2001/01011]; Royal Society; NERC [NE/F016646/1, bas0100027] Funding Source: UKRI; Natural Environment Research Council [NER/A/S/2001/01011, NER/A/S/2001/01248, bas0100027, NE/F016646/1] Funding Source: researchfish</t>
  </si>
  <si>
    <t>U.K. Natural Environment Research Council(UK Research &amp; Innovation (UKRI)Natural Environment Research Council (NERC)); Royal Society(Royal Society); NERC(UK Research &amp; Innovation (UKRI)Natural Environment Research Council (NERC)); Natural Environment Research Council(UK Research &amp; Innovation (UKRI)Natural Environment Research Council (NERC))</t>
  </si>
  <si>
    <t>We would like to thank three anonymous reviewers for thorough reviews improving the manuscript. Funding for work leading to this paper was provided by the U.K. Natural Environment Research Council grant NER/A/S/2001/01011. G. Leysinger Vieli is currently funded by a Royal Society BP Dorothy Hodgkin Fellowship.</t>
  </si>
  <si>
    <t>JUN 11</t>
  </si>
  <si>
    <t>F02018</t>
  </si>
  <si>
    <t>10.1029/2010JF001785</t>
  </si>
  <si>
    <t>776OW</t>
  </si>
  <si>
    <t>Green Accepted, Green Published</t>
  </si>
  <si>
    <t>WOS:000291547200001</t>
  </si>
  <si>
    <t>Coxall, HK; Wilson, PA</t>
  </si>
  <si>
    <t>Coxall, Helen K.; Wilson, Paul A.</t>
  </si>
  <si>
    <t>Early Oligocene glaciation and productivity in the eastern equatorial Pacific: Insights into global carbon cycling</t>
  </si>
  <si>
    <t>ANTARCTIC ICE-SHEET; SEA BENTHIC FORAMINIFERA; SOUTH-ATLANTIC; LATE EOCENE; MIDDLE EOCENE; DIOXIDE CONCENTRATIONS; CALCITE COMPENSATION; CENOZOIC GLACIATION; CLIMATE-CHANGE; CO2 FLUX</t>
  </si>
  <si>
    <t>The onset of sustained Antarctic glaciation across the Eocene-Oligocene transition (EOT) marks a pivotal change in Earth's climate, but our understanding of this event, particularly the role of the carbon cycle, is limited. To help address this gap we present the following paleoceanographic proxy records from Ocean Drilling Program Site 1218 in the eastern equatorial Pacific (EEP): (1) stable isotope (delta O-18 and delta C-13) records generated in epifaunal benthic foraminifera (Cibicidoides spp.) to improve (double the resolution) the previously published records; (2) delta O-18 and delta C-13 records measured on Oridorsalis umbonatus, a shallow infaunal species; and (3) a record of benthic foraminifera accumulation rate (BFAR). Our new isotope data sets confirm the existence at Site 1218 of a two-step delta O-18 increase. They also lend support to the hypothesized existence of a late Eocene transient delta O-18 increase and early Oligocene Oi-1a and Oi-1b glacial maxima. Our record of BFAR indicates a transient (similar to 500 kyr) twofold to threefold peak relative to baseline Oligocene values associated with the onset of Antarctic glaciation that we attribute to enhanced biological export production in the EEP. This takes the same general form as the history of opal accumulation in the Southern Ocean, suggesting strong high-to-low-latitude oceanic coupling. These findings appear to lend support to the idea that the EOT delta C-13 excursion is traceable to increased organic carbon (C-org) burial. Paradoxically, early Oligocene sediments in the EEP are extremely C-org-poor, and proxy records of atmospheric pCO(2) indicate a transient increase associated with the EOT.</t>
  </si>
  <si>
    <t>[Coxall, Helen K.] Cardiff Univ, Sch Earth &amp; Ocean Sci, Cardiff CF10 3AT, S Glam, Wales; [Wilson, Paul A.] Univ Southampton, Natl Oceanog Ctr Southampton, Southampton SO14 3ZH, Hants, England; [Coxall, Helen K.] Stockholm Univ, Dept Geol Sci, S-10691 Stockholm, Sweden</t>
  </si>
  <si>
    <t>Cardiff University; NERC National Oceanography Centre; University of Southampton; Stockholm University</t>
  </si>
  <si>
    <t>Coxall, HK (corresponding author), Cardiff Univ, Sch Earth &amp; Ocean Sci, Main Bldg,Pk Pl, Cardiff CF10 3AT, S Glam, Wales.</t>
  </si>
  <si>
    <t>coxallh@cardiff.ac.uk</t>
  </si>
  <si>
    <t>Coxall, Helen/0000-0002-2843-2898; Wilson, Paul/0000-0001-6425-8906</t>
  </si>
  <si>
    <t>UK (I)ODP; Natural Environmental Research Council; Royal Society; NERC [NE/I006168/1] Funding Source: UKRI; Natural Environment Research Council [NE/I006168/1] Funding Source: researchfish</t>
  </si>
  <si>
    <t>UK (I)ODP; Natural Environmental Research Council(UK Research &amp; Innovation (UKRI)Natural Environment Research Council (NERC)); Royal Society(Royal Society); NERC(UK Research &amp; Innovation (UKRI)Natural Environment Research Council (NERC)); Natural Environment Research Council(UK Research &amp; Innovation (UKRI)Natural Environment Research Council (NERC))</t>
  </si>
  <si>
    <t>This research used samples provided by the Ocean Drilling Program (ODP). Funding was provided by the UK (I)ODP and Natural Environmental Research Council grants to P. A. W and a Royal Society University Research Fellowship to H. K. C. We thank Helen Farhall and Heather Birch for laboratory assistance and Mike Bolshaw for analytical support. Thanks also to Jim Zachos, Paul Pearson, and Steve Bohaty for sharing data and providing insight into site-to-site age correlation; to Chris Smart and Ellen Thomas for help with benthic foraminifera taxonomy; and to Ted Moore, Jan Backman, and Jack Baldauf for useful discussion. We thank Greg Ravizza and Mimi Katz for providing insightful reviews.</t>
  </si>
  <si>
    <t>PA2221</t>
  </si>
  <si>
    <t>10.1029/2010PA002021</t>
  </si>
  <si>
    <t>776RY</t>
  </si>
  <si>
    <t>WOS:000291556500002</t>
  </si>
  <si>
    <t>Gawas-Sakhalkar, P; Singh, SM</t>
  </si>
  <si>
    <t>Gawas-Sakhalkar, Puja; Singh, Shiv Mohan</t>
  </si>
  <si>
    <t>Fungal community associated with Arctic moss, Tetraplodon mimoides and its rhizosphere: bioprospecting for production of industrially useful enzymes</t>
  </si>
  <si>
    <t>CURRENT SCIENCE</t>
  </si>
  <si>
    <t>Bioprospecting; cold-adapted enzyme; fungal diversity; rhizosphere</t>
  </si>
  <si>
    <t>PENICILLIUM-FREQUENTANS; AUREOBASIDIUM-PULLULANS; FILAMENTOUS FUNGI; POLYGALACTURONASES; PURIFICATION; DIVERSITY; ALKALINE; ESTERASE; SOILS</t>
  </si>
  <si>
    <t>Fungal community associated with terrestrial Arctic moss, Tetraplodon mimoides was studied by examining fresh thallus tissue and adhered soil. The study resulted in the isolation of 46 microfungi belonging to 20 species in 12 genera. These included seven non-sporulating morphotypes. To the best of our knowledge, species such as Botrytis verrucosa, Mortierella simplex, M. schmuckeri, Penicillium frequentans, P. rugulosum and Cladosporium chlorocephalum are new records to the study region. All isolates were tested for production of cold-adapted amylase, pectinase, cellulase, esterase, protease, phosphatase and urease. The cultures showed varying degrees of enzyme production, with two cultures producing all seven enzymes. The present study helps in understanding the fungal diversity associated with plants growing in extreme habitats.</t>
  </si>
  <si>
    <t>[Gawas-Sakhalkar, Puja; Singh, Shiv Mohan] Natl Ctr Antarctic &amp; Ocean Res, Headland Sada 403804, Goa, India</t>
  </si>
  <si>
    <t>Singh, SM (corresponding author), Natl Ctr Antarctic &amp; Ocean Res, Headland Sada 403804, Goa, India.</t>
  </si>
  <si>
    <t>smsingh@ncaor.org</t>
  </si>
  <si>
    <t>0011-3891</t>
  </si>
  <si>
    <t>CURR SCI INDIA</t>
  </si>
  <si>
    <t>Curr. Sci.</t>
  </si>
  <si>
    <t>JUN 10</t>
  </si>
  <si>
    <t>788PA</t>
  </si>
  <si>
    <t>WOS:000292455700028</t>
  </si>
  <si>
    <t>Aoki, T; Kuchiki, K; Niwano, M; Kodama, Y; Hosaka, M; Tanaka, T</t>
  </si>
  <si>
    <t>Aoki, Teruo; Kuchiki, Katsuyuki; Niwano, Masashi; Kodama, Yuji; Hosaka, Masahiro; Tanaka, Taichu</t>
  </si>
  <si>
    <t>Physically based snow albedo model for calculating broadband albedos and the solar heating profile in snowpack for general circulation models</t>
  </si>
  <si>
    <t>SPECTRAL ALBEDO; ANTARCTIC SNOW; BLACK CARBON; PART II; COVER; ICE; SOOT; ABSORPTION; PARAMETERS; SCATTERING</t>
  </si>
  <si>
    <t>A physically based snow albedo model (PBSAM), which can be used in a general circulation model, is developed. PBSAM calculates broadband albedos and the solar heating profile in snowpack as functions of snow grain size and concentrations of snow impurities, black carbon and mineral dust, in snow with any layer structure and under any solar illumination condition. The model calculates the visible and near-infrared (NIR) albedos by dividing each broadband spectrum into several spectral subbands to simulate the change in spectral distribution of solar radiation in the broadband spectra at the snow surface and in the snowpack. PBSAM uses (1) the look-up table method for calculations of albedo and transmittance in spectral subbands for a homogeneous snow layer, (2) an adding method for calculating the effect of an inhomogeneous snow structure on albedo and transmittance, and (3) spectral weighting of radiative parameters to obtain the broadband values from the subbands. We confirmed that PBSAM can calculate the broadband albedos of single-and two-layer snow models with good accuracy by comparing them with those calculated by a spectrally detailed radiative transfer model (RTM). In addition, we used radiation budget measurements and snow pit data obtained during the two winters from 2007 to 2009 at Sapporo, Hokkaido, Japan, for simulation of the broadband albedos by PBSAM and compared the results with the in situ measurements. A five-layer snow model with one visible subband and three NIR subbands were necessary for accurate simulation. Comparison of solar heating profiles calculated by PBSAM with those calculated by the spectrally detailed RTM showed that PBSAM calculated accurate solar heating profiles when at least three subbands were used in both the visible and NIR bands.</t>
  </si>
  <si>
    <t>[Aoki, Teruo; Kuchiki, Katsuyuki; Niwano, Masashi] Meteorol Res Inst, Phys Meteorol Res Dept, Tsukuba, Ibaraki 3050052, Japan; [Kodama, Yuji] Hokkaido Univ, Inst Low Temp Sci, Sapporo, Hokkaido 0600819, Japan; [Hosaka, Masahiro] Meteorol Res Inst, Climate Res Dept, Tsukuba, Ibaraki 3050052, Japan; [Tanaka, Taichu] Meteorol Res Inst, Atmospher Environm &amp; Appl Meteorol Res Dept, Tsukuba, Ibaraki 3050052, Japan</t>
  </si>
  <si>
    <t>Meteorological Research Institute - Japan; Hokkaido University; Meteorological Research Institute - Japan; Meteorological Research Institute - Japan</t>
  </si>
  <si>
    <t>Aoki, T (corresponding author), Meteorol Res Inst, Phys Meteorol Res Dept, 1-1 Nagamine, Tsukuba, Ibaraki 3050052, Japan.</t>
  </si>
  <si>
    <t>teaoki@mri-jma.go.jp</t>
  </si>
  <si>
    <t>Niwano, Masashi/N-6723-2016</t>
  </si>
  <si>
    <t>Niwano, Masashi/0000-0003-3121-3802; Tanaka, Taichu Yasumichi/0000-0003-0600-2122</t>
  </si>
  <si>
    <t>Experimental Research Fund for Global Environment Conservation; Ministry of the Environment of Japan; Grant for Joint Research Program; Institute of Low Temperature Science, Hokkaido University; GCOM-C/SGLI Mission; Japan Aerospace Exploration Agency (JAXA)</t>
  </si>
  <si>
    <t>Experimental Research Fund for Global Environment Conservation; Ministry of the Environment of Japan(Ministry of the Environment, Japan); Grant for Joint Research Program; Institute of Low Temperature Science, Hokkaido University; GCOM-C/SGLI Mission; Japan Aerospace Exploration Agency (JAXA)</t>
  </si>
  <si>
    <t>Sueyoshi, Junko Mori, Masahiro Takahashi, Tomoyasu Kuno, Hayato Oka, Taro Nakai, Kazuhiro Okuzawa, Tsutomu Watanabe, Shun Tsutaki, Chusei Fujiwara, Kohei Ohtomo, Niyi Sunmonu, Masaki Okuda, Tatsuya Nakayama, Hirokazu Hirano, and Etsuko Tanaka for snow pit work during two winters in the Institute of Low Temperature Science of Hokkaido University. We also thank Masae Igosaki for supporting the laboratory measurements of snow impurities. We appreciate three anonymous reviewers for their helpful comments. This study was supported in part by (1) the Experimental Research Fund for Global Environment Conservation, the Ministry of the Environment of Japan, (2) the Grant for Joint Research Program, the Institute of Low Temperature Science, Hokkaido University, and (3) the GCOM-C/SGLI Mission, the Japan Aerospace Exploration Agency (JAXA).</t>
  </si>
  <si>
    <t>D11114</t>
  </si>
  <si>
    <t>10.1029/2010JD015507</t>
  </si>
  <si>
    <t>776PJ</t>
  </si>
  <si>
    <t>WOS:000291548800004</t>
  </si>
  <si>
    <t>Aldea, C; Zelaya, DG; Troncoso, JS</t>
  </si>
  <si>
    <t>Aldea, Cristian; Zelaya, Diego G.; Troncoso, Jesus S.</t>
  </si>
  <si>
    <t>A new gigantic species of Zeidora Adams, 1860 from Antarctic waters (Gastropoda: Fissurellidae)</t>
  </si>
  <si>
    <t>NAUTILUS</t>
  </si>
  <si>
    <t>Bellingshausen Sea; Southern Ocean</t>
  </si>
  <si>
    <t>A new species of Zeidora, Z. antarctica new species, is described from Bellingshausen Sea, Antarctica. The species is characterized by having a large and low shell, with delicate shell sculpture, spire extending beyond the shell's outline, and relatively wide septum, curved at the anterior margin.</t>
  </si>
  <si>
    <t>[Aldea, Cristian] Univ Magallanes, Fdn Ctr Estudios Cuaternario Fuegopatagonia &amp; Ant, Punta Arenas, Chile; [Zelaya, Diego G.] Museo La Plata, Div Zool Invertebrados, RA-1900 La Plata, Argentina; [Aldea, Cristian; Troncoso, Jesus S.] Univ Vigo, Dept Ecol &amp; Biol Anim, Fac Ciencias Mar, Vigo 36310, Spain</t>
  </si>
  <si>
    <t>Universidad de Magallanes; National University of La Plata; Museo La Plata; Universidade de Vigo</t>
  </si>
  <si>
    <t>Aldea, C (corresponding author), Univ Magallanes, Fdn Ctr Estudios Cuaternario Fuegopatagonia &amp; Ant, Ave Bulnes 01890,Casilla 737, Punta Arenas, Chile.</t>
  </si>
  <si>
    <t>cristian-aldea@uvigo.es</t>
  </si>
  <si>
    <t>Aldea, Cristian/J-5391-2013; Troncoso, Jesus/L-1823-2017</t>
  </si>
  <si>
    <t>Troncoso, Jesus/0000-0002-7305-6879; Aldea, Cristian/0000-0002-4473-6509</t>
  </si>
  <si>
    <t>Spanish Government of the Ministry of Education and Science (MEC) [GLC2004-01856/ANT]</t>
  </si>
  <si>
    <t>Spanish Government of the Ministry of Education and Science (MEC)(Spanish Government)</t>
  </si>
  <si>
    <t>We would like to express our gratitude to Amelia McLellan and Kathie Way (NHMUK) for sending photographs of Zeidora naufraga, Z. maoria, and Z. reticulata; Yolanda Villacampa (National Museum of Natural History; Smithsonian Institution; Washington, DC) for the photographs of the holotype of Emarginula flabellum; and the officers and crew of the 2006 BENTART cruise the RAT HESPERIDES, and colleagues from the 2006 BENTART cruise, which was carried out under the support of the Spanish Government through the Antarctic Program GLC2004-01856/ANT of the Ministry of Education and Science (MEC). And we also thank Daniel Geiger for his review of the manuscript.</t>
  </si>
  <si>
    <t>BAILEY-MATTHEWS SHELL MUSEUM</t>
  </si>
  <si>
    <t>SANIBEL</t>
  </si>
  <si>
    <t>C/O DR JOSE H LEAL, ASSOCIATE/MANAGING EDITOR, 3075 SANIBEL-CAPTIVA RD, SANIBEL, FL 33957 USA</t>
  </si>
  <si>
    <t>0028-1344</t>
  </si>
  <si>
    <t>Nautilus</t>
  </si>
  <si>
    <t>780HI</t>
  </si>
  <si>
    <t>WOS:000291844700006</t>
  </si>
  <si>
    <t>Grob, M; Maggi, A; Stutzmann, E</t>
  </si>
  <si>
    <t>Grob, M.; Maggi, A.; Stutzmann, E.</t>
  </si>
  <si>
    <t>Observations of the seasonality of the Antarctic microseismic signal, and its association to sea ice variability</t>
  </si>
  <si>
    <t>NOISE; OCEAN; PACIFIC; COASTAL</t>
  </si>
  <si>
    <t>Seismic noise spectra at all seismic stations display two peaks in the 1-20 s period band, called primary and secondary microseisms. They are caused by the coupling of ocean waves into Rayleigh waves. At most locations, microseismic power is greater during local winter (when nearby oceans are stormier) than local summer. This tendency is reversed for stations in Antarctica, where growth of local winter sea ice seems to impede microseism generation in near coastal areas. A decade of continuous data from coastal seismic stations in Antarctica show systematic seasonality in microseismic signal levels, and demonstrate associations with both broad-scale and local sea-ice conditions. Primary microseisms are known to be generated at the coast and the modulation that we observe can be associated with sea-ice variations both in the vicinity of the station and along other Antarctic coasts. The similar modulation of short-period secondary microseisms corroborates their mostly near-coastal origin, while the continued presence of long-period secondary microseisms suggests more distant source regions. These observations could be used to extend the monitoring of climate variability prior to the availability of satellite-derived climate indicators. Citation: Grob, M., A. Maggi, and E. Stutzmann (2011), Observations of the seasonality of the Antarctic microseismic signal, and its association to sea ice variability, Geophys. Res. Lett., 38, L11302, doi:10.1029/2011GL047525.</t>
  </si>
  <si>
    <t>[Grob, M.; Maggi, A.] Univ Strasbourg, Inst Phys Globe Strasbourg, EOST, CNRS, F-67084 Strasbourg, France; [Stutzmann, E.] CNRS, Inst Phys Globe Paris, UMR 7154, F-75005 Paris 05, France</t>
  </si>
  <si>
    <t>Universites de Strasbourg Etablissements Associes; Universite de Strasbourg; Centre National de la Recherche Scientifique (CNRS); Centre National de la Recherche Scientifique (CNRS); CNRS - National Institute for Earth Sciences &amp; Astronomy (INSU); Universite Paris Cite</t>
  </si>
  <si>
    <t>Grob, M (corresponding author), Univ Alberta, Dept Phys, 11322-89 Ave, Edmonton, AB T6G 2G7, Canada.</t>
  </si>
  <si>
    <t>grob@ualberta.ca</t>
  </si>
  <si>
    <t>Maggi, Alessia/P-5041-2016; Stutzmann, Eleonore/G-8511-2014</t>
  </si>
  <si>
    <t>Maggi, Alessia/0000-0001-8859-8948; Grob, Melanie/0000-0003-4328-9951; Stutzmann, Eleonore/0000-0002-4348-7475</t>
  </si>
  <si>
    <t>National Science Foundation [EAR-0552316, EAR-0733069]; PS (PACIFIC-21); GE (GEOFON); AU(Geoscience Australia); IU (IRIS/USGS); G(GEOSCOPE); GT (Global Telemetered Seismograph Network -USAF/USGS), YT (POLENET)</t>
  </si>
  <si>
    <t>National Science Foundation(National Science Foundation (NSF)); PS (PACIFIC-21); GE (GEOFON); AU(Geoscience Australia); IU (IRIS/USGS)(United States Geological Survey); G(GEOSCOPE); GT (Global Telemetered Seismograph Network -USAF/USGS), YT (POLENET)(United States Geological Survey)</t>
  </si>
  <si>
    <t>The authors would like to thank Lise Retailleau and Simon Boyat for processing part of the seismic data during their Master training. The facilities of the IRIS Data Management System, and specifically the IRIS Data Management Center, were used for access to waveform, metadata or products required in this study. The IRIS DMS is funded through the National Science Foundation and specifically the GEO Directorate through the Instrumentation and Facilities Program of the National Science Foundation under Cooperative Agreement EAR-0552316. Some activities of are supported by the National Science Foundation EarthScope Program under Cooperative Agreement EAR-0733069. We have used data from the following networks: PS (PACIFIC-21), GE (GEOFON), AU(Geoscience Australia), IU (IRIS/USGS), G(GEOSCOPE), GT (Global Telemetered Seismograph Network -USAF/USGS), YT (POLENET). We thank Masaki Kanao and NIPR (National Institute of Polar Research, Japan) for running SYO station, and providing us with access to recent data through the IFREE (Institute for Research on Earth Evolution) data center at JAMSTEC (Japan Agency for Marine-Earth Science and Technology). The GEOFON network is funded and operated by GFZ Potsdam, Germany, in co-operation with almost50 institutions worldwide. The IU stations are the part of the Global Seismic Network (GSN) that are installed, maintained and operated by the USGS Albuquerque Seismological Laboratory. Geoscience Australia operates the Australian National Seismic Network within Australia, its Territories and across its local region.</t>
  </si>
  <si>
    <t>JUN 8</t>
  </si>
  <si>
    <t>L11302</t>
  </si>
  <si>
    <t>10.1029/2011GL047525</t>
  </si>
  <si>
    <t>776NE</t>
  </si>
  <si>
    <t>WOS:000291541200003</t>
  </si>
  <si>
    <t>Wang, LZ; Xue, CH; Wang, YM; Yang, B</t>
  </si>
  <si>
    <t>Wang, Lingzhao; Xue, Changhu; Wang, Yuming; Yang, Bao</t>
  </si>
  <si>
    <t>Extraction of Proteins with Low Fluoride Level from Antarctic Krill (Euphausia superba) and Their Composition Analysis</t>
  </si>
  <si>
    <t>Euphausia superba; krill proteins; fluoride; protein solubilization; protein precipitation; fluoride removal</t>
  </si>
  <si>
    <t>ISOELECTRIC SOLUBILIZATION/PRECIPITATION; ACID</t>
  </si>
  <si>
    <t>The extraction of proteins with low fluoride level (LFP) from Antarctic krill (Euphausia superba) was investigated in this work The optimal conditions for protein solubilization were determined to be pH 11.5 and 4 degrees C. The proteins were solubilized two times; a water/krill ratio (mL/g) of 6 and a time of 30 min were used for the first step, whereas the second used a water/krill residue ratio (mL/g) of 3 and a time of 30 min. The optimum pH for protein precipitation was 4.6. A LFP with fluoride content of 9.86 mg/kg (dry weight) was finally obtained through a fluoride removal program. The protein yield of LFP was 52.68%. Composition analysis of LFP indicated it was composed of 66.96% of crude proteins (dry weight) and 33.01% of total lipids (dry weight)(n) and all nine essential amino acids were in sufficient amounts to meet FAO/WHO/UNU requirements for adults and infants. In addition, LFP could be taken as a good source of EPA and DHA for consideration of use as a food item for human consumption.</t>
  </si>
  <si>
    <t>[Wang, Lingzhao; Xue, Changhu; Wang, Yuming] Ocean Univ China, Coll Food Sci &amp; Engn, Qingdao 266003, Peoples R China; [Yang, Bao] Chinese Acad Sci, S China Bot Garden, Guangzhou 510650, Guangdong, Peoples R China; [Wang, Lingzhao] Huaihai Inst Technol, Sch Marine Sci &amp; Technol, Lianyungang 222005, Peoples R China</t>
  </si>
  <si>
    <t>Ocean University of China; Chinese Academy of Sciences; South China Botanical Garden, CAS; Jiangsu Ocean University</t>
  </si>
  <si>
    <t>Xue, CH (corresponding author), Ocean Univ China, Coll Food Sci &amp; Engn, Qingdao 266003, Peoples R China.</t>
  </si>
  <si>
    <t>xuech@ouc.edu.cn</t>
  </si>
  <si>
    <t>Yang, Bao/E-1736-2011; yuming, wang/K-8179-2012</t>
  </si>
  <si>
    <t>International Science and Technology Cooperation Project [2010DFA31330]; Ministry of Science and Technology of China</t>
  </si>
  <si>
    <t>International Science and Technology Cooperation Project; Ministry of Science and Technology of China(Ministry of Science and Technology, China)</t>
  </si>
  <si>
    <t>Financial support provided by the International Science and Technology Cooperation Project (Grant 2010DFA31330) and High-Tech R&amp;D Plan (863 Plan) of the Ministry of Science and Technology of China (topic: the Key Technologies of Rapid Separation and Deep Processing of Antarctic krill) is appreciated.</t>
  </si>
  <si>
    <t>10.1021/jf201009t</t>
  </si>
  <si>
    <t>770GJ</t>
  </si>
  <si>
    <t>WOS:000291074700040</t>
  </si>
  <si>
    <t>Bolton, A; Baker, JA; Dunbar, GB; Carter, L; Smith, EGC; Neil, HL</t>
  </si>
  <si>
    <t>Bolton, Annette; Baker, Joel A.; Dunbar, Gavin B.; Carter, Lionel; Smith, Euan G. C.; Neil, Helen L.</t>
  </si>
  <si>
    <t>Environmental versus biological controls on Mg/Ca variability in Globigerinoides ruber (white) from core top and plankton tow samples in the southwest Pacific Ocean</t>
  </si>
  <si>
    <t>FORAMINIFERAL MG/CA; NEW-ZEALAND; BIOMINERALIZATION PROCESSES; CLEANING PROCEDURES; ORBULINA-UNIVERSA; SURFACE SEDIMENTS; TRACE-ELEMENTS; SOUTHERN-OCEAN; SW PACIFIC; SEA</t>
  </si>
  <si>
    <t>Laser ablation inductively coupled plasma mass spectrometry was used to analyze the individual chambers from tests of foraminiferal fossil and plankton tow Globigerinoides ruber from the southwest Pacific Ocean, from latitudes 3 degrees S to 42 degrees S. The variability of Mg/Ca between chambers of an individual (intraindividual) and individuals of the same population (interindividual), is such that when converted to temperature, the extent of intra-individual and interindividual variability appears to exceed that attributable to either calcification or seasonal temperature variability. The pooled mean chamber Mg/Ca from each core top and plankton tow site demonstrates a significant (p &lt; 0.05) positive correlation with temperature. We derive chamber-specific calibrations where Mg/CaCh_F-2 = 0.798 exp(0.070 T), Mg/CaCh_ F-1 = 0.891 exp(0.067 T) and Mg/Ca-Ch_ F = 0.590 exp(0.072 T). We do not observe any bias between the two morphotypes Gs. ruber ruber and Gs. ruber pyramidalis. The chamber-specific calibrations potentially offset Mg/Ca-based temperature reconstructions if used on bulk (whole) test Mg/Ca or applied to misidentified chambers. Nevertheless, these calibrations can be used to reliably estimate sea surface temperature. Although there is a general overriding temperature control on Mg/Ca, we show that removal of the effect of temperature at each site reveals a lognormal Mg/Ca distribution. This suggests that Mg/Ca variability at each site is also affected by biological mechanism(s) that may control the distribution of interindividual Mg/Ca. In addition, other TE/Ca data (Al/Ca and Mn/Ca) from laser ablation trace element depth profiles can be used to identify detrital or diagenetic phases that may bias the trace element/Ca signal.</t>
  </si>
  <si>
    <t>[Bolton, Annette; Baker, Joel A.; Smith, Euan G. C.] Victoria Univ Wellington, Sch Geog Environm &amp; Earth Sci, Wellington 6001, New Zealand; [Bolton, Annette; Dunbar, Gavin B.; Carter, Lionel] Victoria Univ Wellington, Antarctic Res Ctr, Wellington 6001, New Zealand; [Neil, Helen L.] Natl Inst Water &amp; Atmospher Res, Wellington 6021, New Zealand</t>
  </si>
  <si>
    <t>Victoria University Wellington; Victoria University Wellington; National Institute of Water &amp; Atmospheric Research (NIWA) - New Zealand</t>
  </si>
  <si>
    <t>Bolton, A (corresponding author), Victoria Univ Wellington, Sch Geog Environm &amp; Earth Sci, POB 600, Wellington 6001, New Zealand.</t>
  </si>
  <si>
    <t>annette.bolton@vuw.ac.nz</t>
  </si>
  <si>
    <t>Baker, Joel A/A-3477-2008; Bolton, Annette/C-6520-2013</t>
  </si>
  <si>
    <t>Baker, Joel/0000-0001-6371-5060; Bolton, Annette/0000-0002-7252-2049</t>
  </si>
  <si>
    <t>JUN 3</t>
  </si>
  <si>
    <t>PA2219</t>
  </si>
  <si>
    <t>10.1029/2010PA001924</t>
  </si>
  <si>
    <t>773PV</t>
  </si>
  <si>
    <t>WOS:000291320100001</t>
  </si>
  <si>
    <t>Smocovitis, VB</t>
  </si>
  <si>
    <t>Smocovitis, Vassiliki Betty</t>
  </si>
  <si>
    <t>An Empire of Ice Scott, Shackleton, and the Heroic Age of Antarctic Science</t>
  </si>
  <si>
    <t>Book Review</t>
  </si>
  <si>
    <t>[Smocovitis, Vassiliki Betty] Univ Florida, Dept Biol, Gainesville, FL 32611 USA; [Smocovitis, Vassiliki Betty] Univ Florida, Dept Hist, Gainesville, FL 32611 USA</t>
  </si>
  <si>
    <t>State University System of Florida; University of Florida; State University System of Florida; University of Florida</t>
  </si>
  <si>
    <t>Smocovitis, VB (corresponding author), Univ Florida, Dept Biol, Gainesville, FL 32611 USA.</t>
  </si>
  <si>
    <t>bsmocovi@ufl.edu</t>
  </si>
  <si>
    <t>10.1126/science.1205505</t>
  </si>
  <si>
    <t>772BO</t>
  </si>
  <si>
    <t>WOS:000291205200030</t>
  </si>
  <si>
    <t>Passchier, S</t>
  </si>
  <si>
    <t>Passchier, Sandra</t>
  </si>
  <si>
    <t>CLIMATE CHANGE Ancient Antarctic fjords</t>
  </si>
  <si>
    <t>NATURE</t>
  </si>
  <si>
    <t>ICE-SHEET; MIOCENE</t>
  </si>
  <si>
    <t>Montclair State Univ, Dept Earth &amp; Environm Studies, Montclair, NJ 07043 USA</t>
  </si>
  <si>
    <t>Montclair State University</t>
  </si>
  <si>
    <t>Passchier, S (corresponding author), Montclair State Univ, Dept Earth &amp; Environm Studies, Montclair, NJ 07043 USA.</t>
  </si>
  <si>
    <t>passchiers@mail.montclair.edu</t>
  </si>
  <si>
    <t>Passchier, Sandra/GYU-2381-2022; Passchier, Sandra/AAQ-2243-2021; Passchier, Sandra/B-1993-2008</t>
  </si>
  <si>
    <t>Passchier, Sandra/0000-0001-7204-7025; Passchier, Sandra/0000-0001-7204-7025</t>
  </si>
  <si>
    <t>MACMILLAN BUILDING, 4 CRINAN ST, LONDON N1 9XW, ENGLAND</t>
  </si>
  <si>
    <t>0028-0836</t>
  </si>
  <si>
    <t>Nature</t>
  </si>
  <si>
    <t>JUN 2</t>
  </si>
  <si>
    <t>10.1038/474046a</t>
  </si>
  <si>
    <t>771KV</t>
  </si>
  <si>
    <t>WOS:000291156700033</t>
  </si>
  <si>
    <t>Young, DA; Wright, AP; Roberts, JL; Warner, RC; Young, NW; Greenbaum, JS; Schroeder, DM; Holt, JW; Sugden, DE; Blankenship, DD; van Ommen, TD; Siegert, MJ</t>
  </si>
  <si>
    <t>Young, Duncan A.; Wright, Andrew P.; Roberts, Jason L.; Warner, Roland C.; Young, Neal W.; Greenbaum, Jamin S.; Schroeder, Dustin M.; Holt, John W.; Sugden, David E.; Blankenship, Donald D.; van Ommen, Tas D.; Siegert, Martin J.</t>
  </si>
  <si>
    <t>A dynamic early East Antarctic Ice Sheet suggested by ice-covered fjord landscapes</t>
  </si>
  <si>
    <t>SOUTHERN VICTORIA LAND; EXOBIOLOGICAL IMPLICATIONS; ALTERNATIVE ORIGIN; NUMERICAL-MODEL; LAKE VOSTOK; MIOCENE; MOUNTAINS; EVOLUTION; ROUGHNESS; EROSION</t>
  </si>
  <si>
    <t>The first Cenozoic ice sheets initiated in Antarctica from the Gamburtsev Subglacial Mountains(1) and other highlands as a result of rapid global cooling similar to 34 million years ago(2). In the subsequent 20 million years, at a time of declining atmospheric carbon dioxide concentrations(2) and an evolving Antarctic circumpolar current(2), sedimentary sequence interpretation(3) and numerical modelling(4) suggest that cyclical periods of ice-sheet expansion to the continental margin, followed by retreat to the subglacial highlands, occurred up to thirty times. These fluctuations were paced by orbital changes and were a major influence on global sea levels(5). Ice-sheet models show that the nature of such oscillations is critically dependent on the pattern and extent of Antarctic topographic lowlands. Here we show that the basal topography of the Aurora Subglacial Basin of East Antarctica, at present overlain by 2-4.5 km of ice, is characterized by a series of well-defined topographic channels within a mountain block landscape. The identification of this fjord landscape, based on new data from ice-penetrating radar, provides an improved understanding of the topography of the Aurora Subglacial Basin and its surroundings, and reveals a complex surface sculpted by a succession of ice-sheet configurations substantially different from today's. At different stages during its fluctuations, the edge of the East Antarctic Ice Sheet lay pinned along the margins of the Aurora Subglacial Basin, the upland boundaries of which are currently above sea level and the deepest parts of which are more than 1 km below sea level. Although the timing of the channel incision remains uncertain, our results suggest that the fjord landscape was carved by at least two ice-flow regimes of different scales and directions, each of which would have over-deepened existing topographic depressions, reversing valley floor slopes.</t>
  </si>
  <si>
    <t>[Young, Duncan A.; Greenbaum, Jamin S.; Schroeder, Dustin M.; Holt, John W.; Blankenship, Donald D.] Univ Texas Austin, Inst Geophys, Jackson Sch Geosci, Austin, TX 78758 USA; [Wright, Andrew P.; Sugden, David E.; Siegert, Martin J.] Univ Edinburgh, Sch Geosci, Edinburgh EH9 3JW, Midlothian, Scotland; [Roberts, Jason L.; Warner, Roland C.; Young, Neal W.; van Ommen, Tas D.] Australian Antarctic Div, Kingston, Tas 7050, Australia; [Roberts, Jason L.; Warner, Roland C.; Young, Neal W.; van Ommen, Tas D.] Antarctic Climate &amp; Ecosyst Cooperat Res Ctr, Hobart, Tas 7001, Australia</t>
  </si>
  <si>
    <t>University of Texas System; University of Texas Austin; University of Edinburgh; Australian Antarctic Division; Antarctic Climate &amp; Ecosystems Cooperative Research Centre (ACE CRC)</t>
  </si>
  <si>
    <t>Young, DA (corresponding author), Univ Texas Austin, Inst Geophys, Jackson Sch Geosci, Austin, TX 78758 USA.</t>
  </si>
  <si>
    <t>duncan@utig.ig.utexas.edu; m.j.siegert@ed.ac.uk</t>
  </si>
  <si>
    <t>Siegert, Martin/M-9939-2019; Warner, Robert R./M-5342-2013; Siegert, Martin J/A-3826-2008; Wright, Andrew/HDM-9615-2022; Roberts, Jason L/B-2235-2012; Holt, John W/C-4896-2009; Blankenship, Donald D./G-5935-2010; Warner, Roland Charles/ISS-2485-2023; Young, Duncan/G-6256-2010; van Ommen, Tas/B-5020-2012</t>
  </si>
  <si>
    <t>Siegert, Martin/0000-0002-0090-4806; Siegert, Martin J/0000-0002-0090-4806; Roberts, Jason L/0000-0002-3477-4069; Warner, Roland Charles/0000-0002-9778-3544; Young, Neal/0000-0001-9729-3273; Young, Duncan/0000-0002-6866-8176; Schroeder, Dustin/0000-0003-1916-3929; van Ommen, Tas/0000-0002-2463-1718</t>
  </si>
  <si>
    <t>NSF [ANT-0733025]; NASA [NNX09AR52G]; NERC [NE/D003733/1]; Australian Antarctic Division [3103]; Jackson School of Geoscience; Jet Propulsion Laboratory; G. Unger Vetlesen Foundation; Antarctic Climate and Ecosystems Cooperative Research Centre; Natural Environment Research Council [NE/E018254/1, NE/F016646/1] Funding Source: researchfish; NERC [NE/F016646/1, NE/E018254/1] Funding Source: UKRI; NASA [106520, NNX09AR52G] Funding Source: Federal RePORTER</t>
  </si>
  <si>
    <t>NSF(National Science Foundation (NSF)); NASA(National Aeronautics &amp; Space Administration (NASA)); NERC(UK Research &amp; Innovation (UKRI)Natural Environment Research Council (NERC)); Australian Antarctic Division; Jackson School of Geoscience; Jet Propulsion Laboratory; G. Unger Vetlesen Foundation; Antarctic Climate and Ecosystems Cooperative Research Centre(Australian GovernmentDepartment of Industry, Innovation and ScienceCooperative Research Centres (CRC) Programme); Natural Environment Research Council(UK Research &amp; Innovation (UKRI)Natural Environment Research Council (NERC)); NERC(UK Research &amp; Innovation (UKRI)Natural Environment Research Council (NERC)); NASA(National Aeronautics &amp; Space Administration (NASA))</t>
  </si>
  <si>
    <t>This work was supported by NSF grant ANT-0733025 and NASA grant NNX09AR52G to the University of Texas at Austin, NERC grant NE/D003733/1 to the University of Edinburgh, Australian Antarctic Division project 3103, the Jackson School of Geoscience, and the Jet Propulsion Laboratory, and the G. Unger Vetlesen Foundation. This research was also supported by the Antarctic Climate and Ecosystems Cooperative Research Centre. This is UTIG contribution 2344.</t>
  </si>
  <si>
    <t>1476-4687</t>
  </si>
  <si>
    <t>10.1038/nature10114</t>
  </si>
  <si>
    <t>WOS:000291156700039</t>
  </si>
  <si>
    <t>Kumar, M; Tewari, R; Chatterjee, S; Mehrotra, NC</t>
  </si>
  <si>
    <t>Kumar, Madhav; Tewari, Rajni; Chatterjee, Sankar; Mehrotra, Naresh C.</t>
  </si>
  <si>
    <t>Charcoalified plant remains from the Lashly Formation of Allan Hills, Antarctica: Evidence of forest fire during the Triassic Period</t>
  </si>
  <si>
    <t>EPISODES</t>
  </si>
  <si>
    <t>WILDFIRES; GONDWANA; VOLCANISM; POLLEN; AGE</t>
  </si>
  <si>
    <t>Microscopic charcoal preserved in sediments of the Lushly Formation (Middle to Late Triassic) of South Victoria Land (SVL), Antarctica provides a proxy record of palaeofire. These charred fragments derived from wood and leaf pieces along with spores and pollen grains are part of the buried plant biomass preserved in the shale and carbonaceous shale of fluvial/lacustrine deposits. The evidence of paleofire in Antarctica during the Triassic Period is supported by the presence of a thin bed of silicic tuff interlayered with Dicroidium-bearing shale. The detailed morphology and comparative anatomy of least to high thermally altered plant fragments observed under the light, fluorescence and scanning electron microscope demonstrates the evidence of effect of fire on the vegetation during Middle to Late Triassic (240-200 million years). Most of the charred particles retain identifiable structures with well-preserved to distorted cellular details. Such plant fragments are dark brown, blackish brown, quadrangular-multiangular, equi-dimensional, opaque up to the edges and non-fluorescent. The pollen grains recorded from several sedimentary sequences (but the new data come from only one level i.e., member C of Lashly Formation) show distorted exinal sculptures and are light to dark brown in colour indicating intensive thermal effect. The detailed microscopic images of such fire-affected plant remains also explain their preservation biases in the sediments. The magnitude of the charred pieces and their abundance peaks from various locations in Allan Hills is related solely to the production and amount of burnt material embodied in the sediments. The high peaks indicate severity of fire and production of maximum charcoal of the standing vegetation in Allan Hills.</t>
  </si>
  <si>
    <t>[Kumar, Madhav; Tewari, Rajni; Mehrotra, Naresh C.] Birbal Sahni Inst Paleobot, Lucknow 226007, Uttar Pradesh, India; [Chatterjee, Sankar] Texas Tech Univ, Lubbock, TX 79409 USA</t>
  </si>
  <si>
    <t>Department of Science &amp; Technology (India); Birbal Sahni Institute of Palaeobotany (BSIP); Texas Tech University System; Texas Tech University</t>
  </si>
  <si>
    <t>Kumar, M (corresponding author), Birbal Sahni Inst Paleobot, 53 Univ Rd, Lucknow 226007, Uttar Pradesh, India.</t>
  </si>
  <si>
    <t>madhavbsip@yahoo.com; rajni.tewari@gmail.com; sankar.chatterjee@ttu.edu; mehrotrabsip@rediffmail.com</t>
  </si>
  <si>
    <t>Chatterjee, Sankar/A-3801-2016</t>
  </si>
  <si>
    <t>Chatterjee, Sankar/0000-0002-1065-0782</t>
  </si>
  <si>
    <t>National Science Foundation; Birbal Sahni Institute of Palaeobotany</t>
  </si>
  <si>
    <t>National Science Foundation(National Science Foundation (NSF)); Birbal Sahni Institute of Palaeobotany(Department of Science &amp; Technology (India))</t>
  </si>
  <si>
    <t>One of the authors (RT) is thankful to Dr Gary Edson, Director of the Texas Tech University Museum (2009) for granting permission to study the Antarctic plant fossils and for providing hospitality during a short visit. The research was funded by the National Science Foundation and Birbal Sahni Institute of Palaeobotany.</t>
  </si>
  <si>
    <t>GEOLOGICAL SOC INDIA</t>
  </si>
  <si>
    <t>NO 63, 12TH CORSS, BASAPPA LAY OUT, GAVIPURAM PO, PO BOX 1922, BANGALORE, 560-019, INDIA</t>
  </si>
  <si>
    <t>0705-3797</t>
  </si>
  <si>
    <t>Episodes</t>
  </si>
  <si>
    <t>JUN</t>
  </si>
  <si>
    <t>10.18814/epiiugs/2011/v34i2/007</t>
  </si>
  <si>
    <t>902FQ</t>
  </si>
  <si>
    <t>WOS:000301024400006</t>
  </si>
  <si>
    <t>Golovin, PN; Antipov, NN; Klepikov, AV</t>
  </si>
  <si>
    <t>Golovin, P. N.; Antipov, N. N.; Klepikov, A. V.</t>
  </si>
  <si>
    <t>Downflow of the Antarctic Shelf Water at the Shelf and Continental Slope of the Commonwealth Sea in the Summer Season and its Effect on the Bottom Water Formation in the Southern Ocean</t>
  </si>
  <si>
    <t>WEDDELL SEA; DENSE WATER; ROTATING FLUID; CIRCULATION; TRANSPORT; CASCADES; EDDIES; MARGIN; MASSES; FLOWS</t>
  </si>
  <si>
    <t>In the summer seasons of 2004-2007, the intensive runoff (cascading) of the Antarctic shelf water (ASW) down the shelf and continental slope was revealed thanks to the recording of numerous thermohaline profiles across the shelf and continental slope of the Commonwealth Sea and Prydz Bay. The quickly executed profiles (4-10 h) with submesoscale resolution (near the shelf's edge, the scale was even eddy-determinative, i.e., within 1.9-5.6 km), in combination with the fine-structure sounding and fine vertical resolution of the near-bottom boundary layer, provided a qualitatively new level of understanding the natural data. The detailed analysis of the temperature, salinity, and density patterns revealed the regularities and peculiarities of the ASW shelf and slope cascading. The intensive ASW cascading near the shelf break and lower part of the slope can be forced (appearing as discrete frontal meanders) or free (appearing as discrete plumes) and often has a wave-eddy character. The field observational data confirmed the obtained representative estimates of the elements of the ASW slope cascading. The basic area of the ASW formation is near the Amery Shelf Ice, from where the ASW spreads to the northwest, goes around the Fram Bank, and flows down the continental slope. The evaluative contribution of the ASW slope cascading to the ventilation of the deep and slope water of the Southern Ocean (near the shelf break 70 km long where the ASW cascading was observed) is Q(K) = 0.04-0.24 Sv, which agrees well with the analogous estimates obtained in other regions of the Antarctic.</t>
  </si>
  <si>
    <t>[Golovin, P. N.; Antipov, N. N.; Klepikov, A. V.] Arctic &amp; Antarctic Res Inst, St Petersburg 199226, Russia</t>
  </si>
  <si>
    <t>Golovin, PN (corresponding author), Arctic &amp; Antarctic Res Inst, St Petersburg 199226, Russia.</t>
  </si>
  <si>
    <t>golovin@aari.nw.ru</t>
  </si>
  <si>
    <t>Russian Foundation for Basic Research [08-05-00146-a]</t>
  </si>
  <si>
    <t>This work was fulfilled in the framework of the sub-program Research and Exploration of the Antarctica of the World Ocean Federal Targeted Program and supported by the Russian Foundation for Basic Research, project no. 08-05-00146-a.</t>
  </si>
  <si>
    <t>10.1134/S000143701103009X</t>
  </si>
  <si>
    <t>868YQ</t>
  </si>
  <si>
    <t>WOS:000298562900002</t>
  </si>
  <si>
    <t>Hawes, I; Safi, K; Sorrell, B; Webster-Brown, J; Arscott, D</t>
  </si>
  <si>
    <t>Hawes, Ian; Safi, Karl; Sorrell, Brian; Webster-Brown, Jenny; Arscott, David</t>
  </si>
  <si>
    <t>Summer-winter transitions in Antarctic ponds I: The physical environment</t>
  </si>
  <si>
    <t>conductivity; ice formation; irradiance; McMurdo Ice Shelf</t>
  </si>
  <si>
    <t>MCMURDO ICE SHELF; MICROBIAL BIOMASS; LAKES</t>
  </si>
  <si>
    <t>Meltwater ponds are one of the most widespread aquatic habitats in ice-free areas of continental Antarctica. While most studies of such systems occur during the Antarctic summer, here we report on ice formation and water column attributes in four meltwater ponds on the McMurdo Ice Shelf during autumn, when they went from ice-free to &gt; 80 cm thickness of ice. Ice thickness grew at an average rate of 1.5 cm d(-1) in all ponds and as ice formed, salts and gases were excluded. This resulted in conductivity rising from 3-5 to &gt; 60mS cm(-1) and contributed to the ebullition of gases. Incorporation of gas bubbles in the ice resulted in a high albedo and under-ice irradiance declined faster than incident, the former falling below 1Wm(-2) (daily average) by early April. After two months of ice formation, only 0-15% of the volume of each pond was still liquid, although this represented 5-35% of the pond sediment area, where much of the biological activity was concentrated. We suggest that the stresses that the freezing process imposes may be as important to structuring the biotic communities as those during the more benign summer growth period.</t>
  </si>
  <si>
    <t>[Hawes, Ian; Webster-Brown, Jenny] Univ Canterbury, Christchurch 1, New Zealand; [Safi, Karl] NIWA Ltd, Hamilton, New Zealand; [Sorrell, Brian] Aarhus Univ, Dept Biol Sci, DK-8000 Aarhus 3, Denmark; [Arscott, David] Stroud Water Res Ctr, Avondale, PA 19311 USA</t>
  </si>
  <si>
    <t>University of Canterbury; National Institute of Water &amp; Atmospheric Research (NIWA) - New Zealand; Aarhus University</t>
  </si>
  <si>
    <t>Hawes, I (corresponding author), Univ Canterbury, Private Bag 4800, Christchurch 1, New Zealand.</t>
  </si>
  <si>
    <t>ian.hawes@canterbury.ac.nz</t>
  </si>
  <si>
    <t>; Sorrell, Brian/L-1351-2013</t>
  </si>
  <si>
    <t>Safi, Karl/0000-0002-7785-1909; Webster-Brown, Jenny/0000-0001-9665-871X; Sorrell, Brian/0000-0002-2460-8438; Hawes, Ian/0000-0003-2471-6903</t>
  </si>
  <si>
    <t>New Zealand Foundation for Research, Science and Technology [C01X0708, C01X0306]</t>
  </si>
  <si>
    <t>New Zealand Foundation for Research, Science and Technology(New Zealand Foundation for Research, Science and Technology)</t>
  </si>
  <si>
    <t>This research was funded by the New Zealand Foundation for Research, Science and Technology (Contracts C01X0708 and C01X0306) to the National Institute of Water and Atmospheric Research (NIWA). Antarctica New Zealand provided logistic support, in collaboration with the US National Science Foundation. Nat Wilson was an integral part of the field team. We are grateful to NIWA Christchurch for laboratory, technical and infrastructural support, particularly to Dr Clive Howard-Williams, and to two anonymous reviewers for critical comments on the manuscript.</t>
  </si>
  <si>
    <t>10.1017/S0954102011000046</t>
  </si>
  <si>
    <t>769XF</t>
  </si>
  <si>
    <t>WOS:000291050900004</t>
  </si>
  <si>
    <t>Parnikoza, IY; Loro, P; Miryuta, NY; Kunakh, VA; Kozeretska, IA</t>
  </si>
  <si>
    <t>Parnikoza, I. Yu.; Loro, P.; Miryuta, N. Yu.; Kunakh, V. A.; Kozeretska, I. A.</t>
  </si>
  <si>
    <t>The Influence of Some Environmental Factors on Cytological and Biometric Parameters and Chlorophyll Content of Deschampsia antarctica Desv. in the Maritime Antarctic</t>
  </si>
  <si>
    <t>CYTOLOGY AND GENETICS</t>
  </si>
  <si>
    <t>KING-GEORGE-ISLAND; VASCULAR PLANTS; PENGUIN ROOKERIES; VEGETATION; PHOTOSYNTHESIS</t>
  </si>
  <si>
    <t>Under the environmental conditions of the Point Thomas Oasis (King George Island, the South Shetland Islands), we studied the influence of month-long artificial treatment with fresh water, salt water, and guano solution on the biometric characteristics, chlorophyll content, as well as the nuclear area of leaf parenchymal cells and nuclear DNA content, in a maritime Antarctic aboriginal plant Deschampsia antarctica. The modeled factors induced an increase in the generative shoot height and the length of the largest leaf but did not influence the number of flowers. Treatment with guano caused an increase in the chlorophyll a and b contents, while fresh water treatment only led to some increase in chlorophyll a. Fluctuations of physiologically significant traits, such as the nuclear area and DNA content in the leaf parenchyma cells of D. antarctica, have been traced under the influence of the studied factors. Understanding of the hierarchy of influence of these factors as well as and sensitivity of plants of this species to external agents require further investigation.</t>
  </si>
  <si>
    <t>[Parnikoza, I. Yu.; Miryuta, N. Yu.; Kunakh, V. A.] Natl Acad Sci Ukraine, Inst Mol Biol &amp; Genet, Kiev, Ukraine; [Loro, P.] Univ Warmia &amp; Mazury Olsztyn, Dept Bot &amp; Plant Protect, PL-10727 Otsztyn, Poland; [Kozeretska, I. A.] Taras Shevchenko Kyiv Natl Univ, Kiev, Ukraine</t>
  </si>
  <si>
    <t>National Academy of Sciences Ukraine; Institute of Molecular Biology &amp; Genetics of NASU; University of Warmia &amp; Mazury; Ministry of Education &amp; Science of Ukraine; Taras Shevchenko National University of Kyiv</t>
  </si>
  <si>
    <t>Parnikoza, IY (corresponding author), Natl Acad Sci Ukraine, Inst Mol Biol &amp; Genet, Kiev, Ukraine.</t>
  </si>
  <si>
    <t>parnikoza@gmail.com; kunakh@imbg.org.ua</t>
  </si>
  <si>
    <t>Parnikoza, Ivan/I-2398-2016; Ivan, Parnikoza/O-2781-2019; Kunakh, Viktor A./HKV-4993-2023; Kozeretska, Iryna/F-1383-2010</t>
  </si>
  <si>
    <t>Ivan, Parnikoza/0000-0002-0490-8134; Kunakh, Viktor/0000-0002-9418-3172; Kozeretska, Iryna/0000-0002-6485-1408; Miryuta, Natalia/0000-0001-7180-7117</t>
  </si>
  <si>
    <t>Young Scientists grant of President of Ukraine [GP/FU/0048]</t>
  </si>
  <si>
    <t>Young Scientists grant of President of Ukraine</t>
  </si>
  <si>
    <t>Authors thank the Ukrainian Antarctic Scientific Center and the Department of Antarctic Biology of Polish Academy of Sciences, particularly Prof S. Rakusa-Suszczewski, and participants of 30-th Polish Antarctic expedition K. Lypszyc and A. Rjabokon dagger for their help in implementation of this study. We thank also A. Rogok and E. Denis for their assistance in preparing the article. This work has been realized in frame of research project The effects of environmental changes on distribution, abundance and diversity of biota in terrestrial ecosystems of the Maritime Antarctic in scientific cooperation of NASU and PAS and supported by the Young Scientists grant of President of Ukraine (GP/FU/0048).</t>
  </si>
  <si>
    <t>ALLERTON PRESS INC</t>
  </si>
  <si>
    <t>18 WEST 27TH ST, NEW YORK, NY 10001 USA</t>
  </si>
  <si>
    <t>0095-4527</t>
  </si>
  <si>
    <t>CYTOL GENET+</t>
  </si>
  <si>
    <t>Cytol. Genet.</t>
  </si>
  <si>
    <t>10.3103/S0095452711030078</t>
  </si>
  <si>
    <t>Genetics &amp; Heredity</t>
  </si>
  <si>
    <t>830SW</t>
  </si>
  <si>
    <t>WOS:000295678500006</t>
  </si>
  <si>
    <t>Brabant, F; El Amri, S; Tison, JL</t>
  </si>
  <si>
    <t>Brabant, Frederic; El Amri, Saieda; Tison, Jean-Louis</t>
  </si>
  <si>
    <t>A robust approach for the determination of dimethylsulfoxide in sea ice</t>
  </si>
  <si>
    <t>LIMNOLOGY AND OCEANOGRAPHY-METHODS</t>
  </si>
  <si>
    <t>SPRING-SUMMER TRANSITION; SOUTHERN-OCEAN; DIMETHYL-SULFOXIDE; MARINE-ALGAE; DIMETHYLSULFONIOPROPIONATE DMSP; PARTICULATE DIMETHYLSULFOXIDE; SULFUR-COMPOUNDS; BRINE COMMUNITY; NATURAL-WATERS; MCMURDO SOUND</t>
  </si>
  <si>
    <t>The melting of sea ice samples is acknowledged to be deleterious to sympagic microorganisms due to the hypo-osmotic shock undergone by the organism when released from high salinity brine inclusions into the sample melt. Because melting of sea ice samples was also anticipated to modify the initial proportions of dimethylsulfide (DMS), dimethylsulfoniopropionate (DMSP), and dimethylsulfoxide (DMSO), three sample treatments were tested on an Antarctic sea ice sample, with the aim of identifying an efficient procedure that could routinely be applied for the determination of DMSO in sea ice. Herein, it was demonstrated that purging the melted sample before the determination of DMSO in the sample via an enzyme-linked method produced reliable DMSO results (215.8 +/- 8.9 nmol L-1, precision 4.1%). However, analysis revealed that the unintentional enzymatic cleavage of DMSP through the subsequent production of interfering DMS during melting caused an overestimation of the DMSO content in the sample by more than 59% and concurrently an underestimation of the DMSP content by approximately 9%. The sequential determination of DMSP after the DMSO determination by the enzyme-linked method was shown to be problematic. To circumvent all of these issues, we recommend an analytical procedure for the sequential determination of DMS, DMSP, and DMSO in sea ice. Ultimately, the first depth profile of DMSO at high resolution in sea ice was produced. The depth-integrated DMSO concentration in sea ice was determined to be 718 mu mol m(-2), which indicated that Antarctic sea ice is a potentially important source of DMSO for the Southern Ocean.</t>
  </si>
  <si>
    <t>[Brabant, Frederic; El Amri, Saieda; Tison, Jean-Louis] Univ Libre Bruxelles, Fac Sci, Lab Glaciol DSTE, B-1050 Brussels, Belgium</t>
  </si>
  <si>
    <t>Universite Libre de Bruxelles</t>
  </si>
  <si>
    <t>Brabant, F (corresponding author), Univ Libre Bruxelles, Fac Sci, Lab Glaciol DSTE, Av FD Roosevelt 50,CP 160-03, B-1050 Brussels, Belgium.</t>
  </si>
  <si>
    <t>fbrabant@ulb.ac.be</t>
  </si>
  <si>
    <t>Tison, Jean-Louis/F-4065-2015</t>
  </si>
  <si>
    <t>Tison, Jean-Louis/0000-0002-9758-3454</t>
  </si>
  <si>
    <t>F.R.I.A. (Fonds pour la Recherche dans l'Industrie et l'Agriculture) from the Belgian Fonds de la Recherche Scientifique-FNRS; Communaute francaise de Belgique [02/07-287]</t>
  </si>
  <si>
    <t>F.R.I.A. (Fonds pour la Recherche dans l'Industrie et l'Agriculture) from the Belgian Fonds de la Recherche Scientifique-FNRS(Fonds de la Recherche Scientifique - FNRS); Communaute francaise de Belgique(Australian Research Council)</t>
  </si>
  <si>
    <t>F. Brabant is funded by an F.R.I.A. (Fonds pour la Recherche dans l'Industrie et l'Agriculture) grant from the Belgian Fonds de la Recherche Scientifique-FNRS. This research was supported by the Communaute francaise de Belgique (SIBClim project - ARC contract nr 02/07-287). The authors are indebted to the Alfred Wegener Institut fur Polar und Meeresforschung (AWI) for offering them the opportunity to take part in the ISPOL (Ice Station Polarstern) experiment. The authors would also like to acknowledge the support of the captain, officers, and crew of the R/V Polarstern during the ANT XXII/2 cruise. The authors would like to thank the two anonymous reviewers for their valuable comments.</t>
  </si>
  <si>
    <t>1541-5856</t>
  </si>
  <si>
    <t>LIMNOL OCEANOGR-METH</t>
  </si>
  <si>
    <t>Limnol. Oceanogr. Meth.</t>
  </si>
  <si>
    <t>10.4319/lom.2011.9.261</t>
  </si>
  <si>
    <t>816MJ</t>
  </si>
  <si>
    <t>WOS:000294604600003</t>
  </si>
  <si>
    <t>Oza, SR; Singh, RKK; Vyas, NK; Gohil, BS; Sarkar, A</t>
  </si>
  <si>
    <t>Oza, Sandip R.; Singh, R. K. K.; Vyas, N. K.; Gohil, B. S.; Sarkar, Abhijit</t>
  </si>
  <si>
    <t>Spatio-Temporal Coherence Based Technique for Near-Real Time Sea-Ice Identification from Scatterometer Data</t>
  </si>
  <si>
    <t>JOURNAL OF THE INDIAN SOCIETY OF REMOTE SENSING</t>
  </si>
  <si>
    <t>Sea-Ice identification; Scatterometer; QuikSCAT; Spatio-temporal coherence</t>
  </si>
  <si>
    <t>EXTENT</t>
  </si>
  <si>
    <t>The identification of sea-ice has frequently been cited as one of the most important tasks for deriving the sea-ice parameters and to avoid erroneous retrieval of wind vector over sea-ice infested oceans using space-borne scatterometer data. Discrimination between sea-ice and ocean is ambiguous under the high wind and/or thin/scattered ice conditions. The pre-launch technique developed for Oceansat-2, utilizes the dual-polarized QuikSCAT scatterometer data by using the spatio-temporal coherence properties of sea ice in addition to backscatter coefficient and the Active Polarization Ratio. Results were compared with the operational sea-ice products from National Snow and Ice Data Center. The threshold API value of -0.025 was found optimum for sea-ice and ocean discrimination. The overall sea-ice identification accuracy achieved was of the order of 95 per cent, ranging from 92.5% (during December in Southern Hemisphere) to 98% (during March in Northern Hemisphere). The applicability of the algorithm for both the Arctic as well as Antarctic makes it suitable for its operational use with the Oceansat-2 scatterometer data.</t>
  </si>
  <si>
    <t>[Oza, Sandip R.; Singh, R. K. K.; Vyas, N. K.; Gohil, B. S.; Sarkar, Abhijit] Space Applicat Ctr ISRO, Ahmadabad 380015, Gujarat, India</t>
  </si>
  <si>
    <t>Department of Space (DoS), Government of India; Indian Space Research Organisation (ISRO); Space Applications Centre (SAC)</t>
  </si>
  <si>
    <t>Oza, SR (corresponding author), Space Applicat Ctr ISRO, Ahmadabad 380015, Gujarat, India.</t>
  </si>
  <si>
    <t>sandipoza@sac.isro.gov.in</t>
  </si>
  <si>
    <t>Rajkumar, Kamaljit/I-8045-2013</t>
  </si>
  <si>
    <t>Rajkumar, Kamaljit/0000-0001-8864-3526</t>
  </si>
  <si>
    <t>0255-660X</t>
  </si>
  <si>
    <t>0974-3006</t>
  </si>
  <si>
    <t>J INDIAN SOC REMOTE</t>
  </si>
  <si>
    <t>J. Indian Soc. Remote Sens.</t>
  </si>
  <si>
    <t>10.1007/s12524-011-0070-x</t>
  </si>
  <si>
    <t>Environmental Sciences; Remote Sensing</t>
  </si>
  <si>
    <t>Environmental Sciences &amp; Ecology; Remote Sensing</t>
  </si>
  <si>
    <t>808EO</t>
  </si>
  <si>
    <t>WOS:000293960200002</t>
  </si>
  <si>
    <t>Mellish, JAE; Hindle, AG; Horning, M</t>
  </si>
  <si>
    <t>Mellish, Jo-Ann E.; Hindle, Allyson G.; Horning, Markus</t>
  </si>
  <si>
    <t>Health and condition in the adult Weddell seal of McMurdo Sound, Antarctica</t>
  </si>
  <si>
    <t>ZOOLOGY</t>
  </si>
  <si>
    <t>Weddell seal; Leptonychotes weddellii; Body condition; Health parameters; Marine mammals</t>
  </si>
  <si>
    <t>RANGING RINGED SEALS; SERUM CHEMISTRY; LEPTONYCHOTES-WEDDELLII; BLOOD-CHEMISTRY; BODY-COMPOSITION; PUSA-HISPIDA; HARBOR SEALS; AGE; HEMATOLOGY; SEX</t>
  </si>
  <si>
    <t>Weddell seals (Leptonychotes weddellii) are large-bodied, long-lived mammals that live only in the circumpolar Antarctic. As such, they represent an ideal sentinel species for the impacts of environmental change on polar species. However, longitudinal physiological studies of marine mammals are notoriously difficult due to their largely aquatic lifestyle, such that many baseline indicators of health and condition are not well defined. Fifty known-age, adult seals (9-27 years, 24 males, 26 females) in McMurdo Sound were sampled for mass, total body fat, blubber depth and a suite of blood parameters (21 variables) to assess hydration state, nutritional plane, reproductive hormones (females only), organ function and immune status. Total body mass increased with age, whereas variation in blubber depth was best described by mass and/or sex, with an overall greater blubber thickness in female seals (p &lt; 0.001). Ten blood parameters showed a significant effect of one or more model variables, most prominently between the sexes. Serum chemistry suggested that females were better nourished and displayed lower indicators of acute stress compared to males. We noted limited age-related declines that might indicate impaired organ function. Overall, seals demonstrated clinically normal values for large mammals, even at the upper end of the age continuum. Future physiological studies in this species are strongly encouraged to incorporate potential sex effects in experimental design and analysis. (C) 2011 Elsevier GmbH. All rights reserved.</t>
  </si>
  <si>
    <t>[Mellish, Jo-Ann E.] Alaska SeaLife Ctr, Seward, AK 99664 USA; [Mellish, Jo-Ann E.] Univ Alaska Fairbanks, Sch Fisheries &amp; Ocean Sci, Fairbanks, AK 99775 USA; [Hindle, Allyson G.] Texas A&amp;M Univ, College Stn, TX 77843 USA; [Hindle, Allyson G.] Univ British Columbia, Vancouver, BC V6T 1Z4, Canada; [Horning, Markus] Oregon State Univ, Marine Mammal Inst, Dept Fisheries &amp; Wildlife, Newport, OR 97365 USA</t>
  </si>
  <si>
    <t>University of Alaska System; University of Alaska Fairbanks; Texas A&amp;M University System; Texas A&amp;M University College Station; University of British Columbia; Oregon State University</t>
  </si>
  <si>
    <t>Mellish, JAE (corresponding author), Alaska SeaLife Ctr, 301 Railway Ave,POB 1329, Seward, AK 99664 USA.</t>
  </si>
  <si>
    <t>joannM@alaskasealife.org</t>
  </si>
  <si>
    <t>Horning, Markus/I-3019-2015</t>
  </si>
  <si>
    <t>Horning, Markus/0000-0001-6178-4935</t>
  </si>
  <si>
    <t>National Science Foundation Office of Polar Programs [0649609, 0440715, 0635739]; NSERC (Canada); Directorate For Geosciences; Division Of Polar Programs [0635739] Funding Source: National Science Foundation; Office of Polar Programs (OPP); Directorate For Geosciences [0440715] Funding Source: National Science Foundation; Office of Polar Programs (OPP); Directorate For Geosciences [0649609] Funding Source: National Science Foundation</t>
  </si>
  <si>
    <t>National Science Foundation Office of Polar Programs(National Science Foundation (NSF)NSF - Directorate for Geosciences (GEO)); NSERC (Canada)(Natural Sciences and Engineering Research Council of Canada (NSERC)); Directorate For Geosciences; Division Of Polar Programs(National Science Foundation (NSF)NSF - Directorate for Geosciences (GEO)); Office of Polar Programs (OPP); Directorate For Geosciences(National Science Foundation (NSF)NSF - Directorate for Geosciences (GEO)); Office of Polar Programs (OPP); Directorate For Geosciences(National Science Foundation (NSF)NSF - Directorate for Geosciences (GEO))</t>
  </si>
  <si>
    <t>This work was supported by National Science Foundation Office of Polar Programs awards #0649609 and 0440715 to MH and JM. AH was partly supported by an NSERC (Canada) post-graduate fellowship. The authors are grateful for the field assistance of Millie Gray, Roger Hill, Sue Hill, Jeanette Nienaber, Jamie Thomton, Pam Tuomi, the Crary Science Laboratory staff, and the Polar Programs RPSC support staff. Survival and reproductive data of tagged seals was generously provided through the National Science Foundation Office of Polar Programs award #0635739 to Robert Garrott, Jay Rotella, and Don Siniff. All work was conducted under the Antarctic Conservation Act (2007-007), Marine Mammal Protection Act (1034-1854), Alaska SeaLife Center Animal Use Protocol (05-004), Texas A &amp; M University at Galveston Animal Use Protocol (2006160), and Oregon State University Animal Use Protocol (3454).</t>
  </si>
  <si>
    <t>0944-2006</t>
  </si>
  <si>
    <t>10.1016/j.zool.2010.11.007</t>
  </si>
  <si>
    <t>811HH</t>
  </si>
  <si>
    <t>WOS:000294196800007</t>
  </si>
  <si>
    <t>Wang, HJ</t>
  </si>
  <si>
    <t>Wang Huijun</t>
  </si>
  <si>
    <t>A New Prediction Model for Tropical Storm Frequency over the Western North Pacific Using Observed Winter-Spring Precipitation and Geopotential Height at 500 hPa</t>
  </si>
  <si>
    <t>ACTA METEOROLOGICA SINICA</t>
  </si>
  <si>
    <t>tropical storm; frequency; western North Pacific; seasonal prediction</t>
  </si>
  <si>
    <t>CYCLONE ACTIVITY; ANTARCTIC OSCILLATION; GCM SIMULATION; EL-NINO; VARIABILITY; ENSO</t>
  </si>
  <si>
    <t>A new seasonal prediction model for annual tropical storm numbers (ATSNs) over the western North Pacific was developed using the preceding January-February (JF) and April-May (AM) grid-point data at a resolution of 2.5 degrees x 2.5 degrees. The JF and AM mean precipitation and the AM mean 500-hPa geopotential height in the Northern Hemisphere, together with the JF mean 500-hPa geopotential height in the Southern Hemisphere, were employed to compose the ATSN forecast model via the stepwise multiple linear regression technique. All JF and AM mean data were confined to the Eastern Hemisphere. We established two empirical prediction models for ATSN using the ERA40 reanalysis and NCEP reanalysis datasets, respectively, together with the observed precipitation. The performance of the models was verified by cross-validation. Anomaly correlation coefficients (ACC) at 0.78 and 0.74 were obtained via comparison of the retrospective predictions of the two models and the observed ATSNs from 1979 to 2002. The multi-year mean absolute prediction errors were 3.0 and 3.2 for the two models respectively, or roughly 10% of the average ATSN. In practice, the final prediction was made by averaging the ATSN predictions of the two models. This resulted in a higher score, with ACC being further increased to 0.88, and the mean absolute error reduced to 1.92, or 6.13% of the average ATSN.</t>
  </si>
  <si>
    <t>[Wang Huijun] Chinese Acad Sci, Inst Atmospher Phys, Beijing 100029, Peoples R China</t>
  </si>
  <si>
    <t>Chinese Academy of Sciences; Institute of Atmospheric Physics, CAS</t>
  </si>
  <si>
    <t>Wang, HJ (corresponding author), Chinese Acad Sci, Inst Atmospher Phys, Beijing 100029, Peoples R China.</t>
  </si>
  <si>
    <t>wanghj@mail.iap.ac.cn</t>
  </si>
  <si>
    <t>National Basic Research Program of China [2009CB421406]; National Natural Science Foundation of China [40875048, 40775049]</t>
  </si>
  <si>
    <t>National Basic Research Program of China(National Basic Research Program of China); National Natural Science Foundation of China(National Natural Science Foundation of China (NSFC))</t>
  </si>
  <si>
    <t>Supported by the National Basic Research Program of China (2009CB421406) and National Natural Science Foundation of China (40875048 and 40775049).</t>
  </si>
  <si>
    <t>0894-0525</t>
  </si>
  <si>
    <t>2191-4788</t>
  </si>
  <si>
    <t>ACTA METEOROL SIN</t>
  </si>
  <si>
    <t>Acta Meteorol. Sin.</t>
  </si>
  <si>
    <t>10.1007/s13351-011-0302-6</t>
  </si>
  <si>
    <t>805GT</t>
  </si>
  <si>
    <t>WOS:000293715600001</t>
  </si>
  <si>
    <t>Qian, ZL; Wang, HJ; Sun, JQ</t>
  </si>
  <si>
    <t>Qian Zhuolei; Wang Huijun; Sun Jianqi</t>
  </si>
  <si>
    <t>The Hindcast of Winter and Spring Arctic and Antarctic Oscillation with the Coupled Climate Models</t>
  </si>
  <si>
    <t>Arctic Oscillation (AO); Antarctic Oscillation (AAO); EOF; spatial mode; time series</t>
  </si>
  <si>
    <t>INTERANNUAL VARIABILITY; RIVER VALLEY; TEMPERATURE; FREQUENCY; YANGTZE; LINKAGE</t>
  </si>
  <si>
    <t>This study evaluates the ability of the global coupled climate models in hindcasting the Arctic Oscillation (AO) and Antarctic Oscillation (AAO). The results show that the models can well simulate the spatial distribution of AO with better results in winter than in spring. In the troposphere in spring, the simulation of AO on the whole is still relatively good with a comparatively high correlation with the NCEP/NCAR reanalysis. The models can also well reproduce the spatial distribution of AAO throughout the year at all levels of the troposphere, and the spatial simulation is better at 850 hPa than at the surface. Although the simulation is better in winter than in other seasons, the seasonal variation is not so significant and the differences among different models are relatively small. In addition, the capability of the models for predicting the AO and the AAO index time series is limited, because only a few models can capture their observed interannual variability at the 95% significance level.</t>
  </si>
  <si>
    <t>[Qian Zhuolei; Wang Huijun; Sun Jianqi] Chinese Acad Sci, Inst Atmospher Phys, Beijing 100029, Peoples R China; [Qian Zhuolei; Wang Huijun; Sun Jianqi] Chinese Acad Sci, Climat Change Res Ctr, Beijing 100029, Peoples R China; [Qian Zhuolei] Chinese Acad Sci, Grad Sch, Beijing 100049, Peoples R China</t>
  </si>
  <si>
    <t>Chinese Academy of Sciences; Institute of Atmospheric Physics, CAS; Chinese Academy of Sciences; Chinese Academy of Sciences; University of Chinese Academy of Sciences, CAS</t>
  </si>
  <si>
    <t>Qian, ZL (corresponding author), Chinese Acad Sci, Inst Atmospher Phys, Beijing 100029, Peoples R China.</t>
  </si>
  <si>
    <t>qianzl@mail.iap.ac.cn</t>
  </si>
  <si>
    <t>Chinese Academy of Sciences [KZCX2-YW-Q1-02]; National Basic Research Program of China [2009CB421406]; National Natural Science Foundation of China [40875048, 40631005]</t>
  </si>
  <si>
    <t>Chinese Academy of Sciences(Chinese Academy of Sciences); National Basic Research Program of China(National Basic Research Program of China); National Natural Science Foundation of China(National Natural Science Foundation of China (NSFC))</t>
  </si>
  <si>
    <t>Supported by the Knowledge Innovation Project of the Chinese Academy of Sciences (KZCX2-YW-Q1-02), National Basic Research Program of China (2009CB421406), and National Natural Science Foundation of China (40875048 and 40631005).</t>
  </si>
  <si>
    <t>10.1007/s13351-011-0309-z</t>
  </si>
  <si>
    <t>WOS:000293715600008</t>
  </si>
  <si>
    <t>Tuemmers, C; Torres, DE; De los Ríos-Escalante, P</t>
  </si>
  <si>
    <t>Tuemmers, Christian; Torres, Daniel E.; De los Rios-Escalante, Patricio</t>
  </si>
  <si>
    <t>Presence of anthropogenic pathogens in the Antarctic fauna: The potential role of migratory birds</t>
  </si>
  <si>
    <t>REVISTA CHILENA DE HISTORIA NATURAL</t>
  </si>
  <si>
    <t>Letter</t>
  </si>
  <si>
    <t>HOPE BAY; WILDLIFE; CONSERVATION; OUTBREAKS; SEABIRDS; PENGUINS; DISEASE; SEALS</t>
  </si>
  <si>
    <t>[Tuemmers, Christian; Torres, Daniel E.] Univ Catolica Temuco, Escuela Med Vet, Fac Recursos Nat, Temuco, Chile; [De los Rios-Escalante, Patricio] Univ Catolica Temuco, Escuela Ciencias Ambientales, Fac Recursos Nat, Temuco, Chile</t>
  </si>
  <si>
    <t>Universidad Catolica de Temuco; Universidad Catolica de Temuco</t>
  </si>
  <si>
    <t>Tuemmers, C (corresponding author), Univ Catolica Temuco, Escuela Med Vet, Fac Recursos Nat, Casilla 15-D, Temuco, Chile.</t>
  </si>
  <si>
    <t>ctuemmers@uct.cl</t>
  </si>
  <si>
    <t>De los Rios Escalante, Patricio R./E-2775-2014</t>
  </si>
  <si>
    <t>De los Rios Escalante, Patricio R./0000-0001-5056-7003</t>
  </si>
  <si>
    <t>SOC BIOLGIA CHILE</t>
  </si>
  <si>
    <t>SANTIAGO</t>
  </si>
  <si>
    <t>CASILLA 16164, SANTIAGO 9, CHILE</t>
  </si>
  <si>
    <t>0716-078X</t>
  </si>
  <si>
    <t>REV CHIL HIST NAT</t>
  </si>
  <si>
    <t>Rev. Chil. Hist. Nat.</t>
  </si>
  <si>
    <t>10.4067/S0716-078X2011000200014</t>
  </si>
  <si>
    <t>804SS</t>
  </si>
  <si>
    <t>gold, Green Submitted</t>
  </si>
  <si>
    <t>WOS:000293674900014</t>
  </si>
  <si>
    <t>Grooss, JU; Müller, R</t>
  </si>
  <si>
    <t>Grooss, Jens-Uwe; Mueller, Rolf</t>
  </si>
  <si>
    <t>Do cosmic-ray-driven electron-induced reactions impact stratospheric ozone depletion and global climate change?</t>
  </si>
  <si>
    <t>Ozone; Ozone depletion; Global warming; Cosmic rays; Dissociative electron attachment</t>
  </si>
  <si>
    <t>CARBON-DIOXIDE; ARCTIC OZONE; HETEROGENEOUS CHEMISTRY; CHLORINE; ANTARCTICA; ACTIVATION; LOSSES; MODEL; HCL</t>
  </si>
  <si>
    <t>Recently, the cosmic-ray-driven electron-induced reaction mechanism (CRE) was introduced to explain polar ozone depletion and surface temperature change. It was proposed that the dissociation of chlorofluorocarbons (CFCs) on ice surfaces of polar stratospheric clouds plays the dominant role in forming the ozone hole. Efforts have been made to predict polar ozone loss in future years. It was further proposed that CFCs and cosmic-ray-driven ozone depletion may control global surface temperatures. These assertions challenge the fundamental understanding of Antarctic stratospheric ozone loss and global warming. Here we show that these arguments based on the CRE mechanism are inconclusive. First, correlations of satellite data of CFC-12, N2O and CH4 from ACE-FTS show no evidence of significant loss of CFC-12 as predicted by the CRE mechanism. Second, conclusions drawn about a possible CRE impact on the atmosphere, based on correlations of different observed atmospheric parameters, do not have a physical basis. Finally, predictions on the future development of the atmosphere based on these correlations are not reliable for either the ozone hole or global surface temperatures. (C) 2011 Elsevier Ltd. All rights reserved.</t>
  </si>
  <si>
    <t>[Grooss, Jens-Uwe; Mueller, Rolf] Forschungszentrum Julich, Inst Energie &amp; Klimaforsch Stratosphare IEK 7, D-52425 Julich, Germany</t>
  </si>
  <si>
    <t>Helmholtz Association; Research Center Julich</t>
  </si>
  <si>
    <t>Grooss, JU (corresponding author), Forschungszentrum Julich, Inst Energie &amp; Klimaforsch Stratosphare IEK 7, D-52425 Julich, Germany.</t>
  </si>
  <si>
    <t>j.-u.grooss@fz-juelich.de</t>
  </si>
  <si>
    <t>Grooß, Jens-Uwe/A-7315-2013; Müller, Rolf/ABA-8213-2021; Grooß, Jens-Uwe/N-3305-2019</t>
  </si>
  <si>
    <t>Grooß, Jens-Uwe/0000-0002-9485-866X; Müller, Rolf/0000-0002-5024-9977; Grooß, Jens-Uwe/0000-0002-9485-866X</t>
  </si>
  <si>
    <t>10.1016/j.atmosenv.2011.03.059</t>
  </si>
  <si>
    <t>793GV</t>
  </si>
  <si>
    <t>WOS:000292809300020</t>
  </si>
  <si>
    <t>Chu, DZ</t>
  </si>
  <si>
    <t>Chu, Dezhang</t>
  </si>
  <si>
    <t>TECHNOLOGY EVOLUTION AND ADVANCES IN FISHERIES ACOUSTICS</t>
  </si>
  <si>
    <t>JOURNAL OF MARINE SCIENCE AND TECHNOLOGY-TAIWAN</t>
  </si>
  <si>
    <t>sonar; fisheries acoustics; echosounders; technology</t>
  </si>
  <si>
    <t>WESTERN ANTARCTIC PENINSULA; SOUND-SCATTERING; MULTIBEAM-SONAR; EUPHAUSIID AGGREGATIONS; ZOOPLANKTON GROUPS; TARGET STRENGTH; FISH; DIRECTIVITY; BIOMASS; KRILL</t>
  </si>
  <si>
    <t>Application of sonar technology to fisheries acoustics has made significant advances over recent decades. The echosounder systems evolved from the simple analog single-beam and single-frequency systems to more sophisticated digital multi-beam and multi-frequency systems. In this paper, a brief review of major technological advances in fisheries acoustics is given, as well as examples of their applications.</t>
  </si>
  <si>
    <t>NOAA, Natl Marine Fisheries Serv, NW Fisheries Sci Ctr, Seattle, WA 98112 USA</t>
  </si>
  <si>
    <t>Chu, DZ (corresponding author), NOAA, Natl Marine Fisheries Serv, NW Fisheries Sci Ctr, 2757 Montlake Blvd E, Seattle, WA 98112 USA.</t>
  </si>
  <si>
    <t>dezhang.chu@noaa.gov</t>
  </si>
  <si>
    <t>NATL TAIWAN OCEAN UNIV</t>
  </si>
  <si>
    <t>KEELUNG</t>
  </si>
  <si>
    <t>NO 2 PEI-NING RD, KEELUNG, 202, TAIWAN</t>
  </si>
  <si>
    <t>1023-2796</t>
  </si>
  <si>
    <t>J MAR SCI TECH-TAIW</t>
  </si>
  <si>
    <t>J. Mar. Sci. Technol.-Taiwan</t>
  </si>
  <si>
    <t>Engineering, Multidisciplinary; Oceanography</t>
  </si>
  <si>
    <t>Engineering; Oceanography</t>
  </si>
  <si>
    <t>798IF</t>
  </si>
  <si>
    <t>WOS:000293195700002</t>
  </si>
  <si>
    <t>Jadwiszczak, P; Mörs, T</t>
  </si>
  <si>
    <t>Jadwiszczak, Piotr; Mors, Thomas</t>
  </si>
  <si>
    <t>Aspects of diversity in early Antarctic penguins</t>
  </si>
  <si>
    <t>ACTA PALAEONTOLOGICA POLONICA</t>
  </si>
  <si>
    <t>Aves; Sphenisciformes; systematics; sexual dimorphism; body mass; Eocene; Antarctic Peninsula</t>
  </si>
  <si>
    <t>LA-MESETA FORMATION; SEYMOUR-ISLAND; LATE EOCENE; SIZE DIMORPHISM; FOSSIL PENGUINS; BONE; SPHENISCIFORMES; EVOLUTION; RECORD; AVES</t>
  </si>
  <si>
    <t>Penguin bones from the Eocene La Meseta Formation (Seymour Island, Antarctic Peninsula) constitute the only extensive fossil record of Antarctic Sphenisciformes. Here, we synonymize some of the recognized genera (Anthropornis with Orthopteryx, Delphinornis with Ichtyopteryx) and species (Anthropornis nordenskjoeldi with Orthopteryx gigas, Delphinornis gracilis with Ichtyopteryx gracilis). Moreover, we suggest that Antarctic species of Anthropornis and Palaeeudyptes, so-called giant penguins, may in fact comprise only one species each instead of two, based on evidence of well-marked sexual dimorphism. We also present new estimates of body mass based on femora testifying to the impressive scope of interspecific body-size variation in Eocene Antarctic penguins.</t>
  </si>
  <si>
    <t>[Jadwiszczak, Piotr] Uniwersytet Bialymstoku, Inst Biol, PL-15950 Bialystok, Poland; [Mors, Thomas] Swedish Museum Nat Hist, Dept Palaeozool, SE-10405 Stockholm, Sweden</t>
  </si>
  <si>
    <t>University of Bialystok; Swedish Museum of Natural History</t>
  </si>
  <si>
    <t>Jadwiszczak, P (corresponding author), Uniwersytet Bialymstoku, Inst Biol, Ul Swierkowa 20B, PL-15950 Bialystok, Poland.</t>
  </si>
  <si>
    <t>piotrj@uwb.edu.pl; thomas.moers@nrm.se</t>
  </si>
  <si>
    <t>Jadwiszczak, Piotr/K-5136-2014; Jadwiszczak, Piotr/P-4336-2019</t>
  </si>
  <si>
    <t>Jadwiszczak, Piotr/0000-0002-5263-1125</t>
  </si>
  <si>
    <t>Andrzej Gazdzicki (Institute of Paleobiology, Polish Academy of Sciences, Warsaw, Poland); European Community [SE-TAF-4399]</t>
  </si>
  <si>
    <t>Andrzej Gazdzicki (Institute of Paleobiology, Polish Academy of Sciences, Warsaw, Poland); European Community</t>
  </si>
  <si>
    <t>We are grateful for consultation from Wojciech Starega (Podlasie Academy, Siedlce, Poland) and support from Andrzej Gazdzicki (Institute of Paleobiology, Polish Academy of Sciences, Warsaw, Poland). We are also thankful to Olavi Gronwall (Department of Vertebrate Zoology, Swedish Museum of Natural History, Stockholm, Sweden) for giving access to the collection of Recent penguins. And last but not least, we appreciate reviews by Steven D. Emslie (University of North Carolina-Wilmington, Wilmington, USA), Daniel T. Ksepka (North Carolina State University, Raleigh, USA) and Tatsuro Ando (Ashoro Museum of Paleontology, Hokkaido, Japan) whose comments have led to improvements in the manuscript. PJ acknowledges the financial support through SYNTHESYS funding made available by the European Community-Research Infrastructure Action under the FP6 Structuring the European Research Area Programme; project SE-TAF-4399. This contribution was presented on the 9th Paleontological Conference (Warszawa, 10-11 October 2008) that was organized by the Institute of Paleobiology of the Polish Academy of Sciences.</t>
  </si>
  <si>
    <t>INST PALEOBIOLOGII PAN</t>
  </si>
  <si>
    <t>WARSAW</t>
  </si>
  <si>
    <t>UL TWARDA 51/55, 00-818 WARSAW, POLAND</t>
  </si>
  <si>
    <t>0567-7920</t>
  </si>
  <si>
    <t>1732-2421</t>
  </si>
  <si>
    <t>ACTA PALAEONTOL POL</t>
  </si>
  <si>
    <t>Acta Palaeontol. Pol.</t>
  </si>
  <si>
    <t>10.4202/app.2009.1107</t>
  </si>
  <si>
    <t>792NV</t>
  </si>
  <si>
    <t>Green Submitted, gold</t>
  </si>
  <si>
    <t>WOS:000292754700004</t>
  </si>
  <si>
    <t>Simms, AR; Milliken, KT; Anderson, JB; Wellner, JS</t>
  </si>
  <si>
    <t>Simms, Alexander R.; Milliken, Kristy T.; Anderson, John B.; Wellner, Julia S.</t>
  </si>
  <si>
    <t>The marine record of deglaciation of the South Shetland Islands, Antarctica since the Last Glacial Maximum</t>
  </si>
  <si>
    <t>Antarctic Peninsula; Late Pleistocene; Holocene; Shelf; Fjords; King George Island; Bransfield Basin; Glaciation</t>
  </si>
  <si>
    <t>KING-GEORGE-ISLAND; SEA-FLOOR EVIDENCE; ICE-SHEET RETREAT; JAMES-ROSS-ISLAND; LATE-HOLOCENE; BRANSFIELD BASIN; LATE PLEISTOCENE; GLACIOMARINE SEDIMENTATION; CONTINENTAL-SHELF; ADMIRALTY BAY</t>
  </si>
  <si>
    <t>The marine geological record of the glacial-retreat history of the South Shetland Islands is derived from the integration of seismic data, core lithofacies, radiocarbon ages and geomorphological data from two study areas. On the northern shelf, we present one of the first published multibeam bathymetric images of the seafloor. This new image combined with descriptions of new and existing short sediment cores and high-resolution seismic data from the continental shelf north of King George Island are used to map a grounding zone wedge that marks the minimum seaward extent of the South Shetland Ice Cap during the Last Glacial Maximum. Seismic data, multibeam bathymetry, and sediment cores from Maxwell Bay, on the opposite side of King George Island, are used to provide further spatial constrains on the history of grounding and retreat of the ice cap along the southern margin of the South Shetland Islands. During the Last Glacial Maximum the South Shetland Ice Cap extended onto the outer continental shelf, some 50 km north of its present location. The ice grounded on the shelf in troughs in present water depths of almost 400 m. It had a minimum thickness of similar to 570 m and was also grounded in the deepest part of fjords and straits between the islands. To the south, the ice cap extended seaward of the mouths of fjords and straits to the steep northern boundary of the Bransfield Strait. Sediment eroded from the fjords and straits was deposited in prominent fans that extend into the Bransfield Strait and show evidence for an ice shelf that covered the Bransfield Strait during the Last Glacial Maximum. A long drill core (SHALDRIL) in Maxwell Bay and several jumbo piston cores yielded carbonate material used to constrain the timing and spatial extent of glacial retreat within Maxwell Bay. The oldest glacimarine sediments in the fjord date back to similar to 14.1 to similar to 14.8 ka and suggest an initial deglaciation earlier than most previous studies of the South Shetland Islands. Upper Maxwell Bay was ice free by 9.1 ka and most of Maxwell Bay proper was ice free by 5.9 ka except for the smaller tributary fjords of Maxwell Bay. These smaller tributary fjords were ice free by 1.7 ka, but may have been ice free earlier but reoccupied by a neoglacial advance that ended approximately 1.7 ka. (C) 2011 Elsevier Ltd. All rights reserved.</t>
  </si>
  <si>
    <t>[Simms, Alexander R.] Univ Calif Santa Barbara, Dept Earth Sci, Santa Barbara, CA 93106 USA; [Milliken, Kristy T.; Anderson, John B.] Rice Univ, Dept Earth Sci, Houston, TX 77005 USA; [Wellner, Julia S.] Univ Houston, Dept Earth &amp; Atmospher Sci, Houston, TX 77204 USA</t>
  </si>
  <si>
    <t>University of California System; University of California Santa Barbara; Rice University; University of Houston System; University of Houston</t>
  </si>
  <si>
    <t>Simms, AR (corresponding author), Univ Calif Santa Barbara, Dept Earth Sci, 1006 Webb Hall, Santa Barbara, CA 93106 USA.</t>
  </si>
  <si>
    <t>asimms@geol.ucsb.edu; kristy.t.milliken@exxonmobil.com; johna@rice.edu; jwellner@uh.edu</t>
  </si>
  <si>
    <t>Anderson, John/B-1011-2012; Simms, Alexander R/E-5609-2012</t>
  </si>
  <si>
    <t>Simms, Alexander/0000-0001-5034-2189</t>
  </si>
  <si>
    <t>R/V Nathaniel B. Palmer crew; Raytheon Polar Services technical personnel; Office of Polar Programs - NSF/OPP [03-38137, 0724929]; Directorate For Geosciences; Division Of Polar Programs [0739596] Funding Source: National Science Foundation; Office of Polar Programs (OPP); Directorate For Geosciences [0739751, 0838781] Funding Source: National Science Foundation; Office of Polar Programs (OPP); Directorate For Geosciences [0724929] Funding Source: National Science Foundation</t>
  </si>
  <si>
    <t>R/V Nathaniel B. Palmer crew; Raytheon Polar Services technical personnel; Office of Polar Programs - NSF/OPP; Directorate For Geosciences; Division Of Polar Programs(National Science Foundation (NSF)NSF - Directorate for Geosciences (GEO)); Office of Polar Programs (OPP); Directorate For Geosciences(National Science Foundation (NSF)NSF - Directorate for Geosciences (GEO)); Office of Polar Programs (OPP); Directorate For Geosciences(National Science Foundation (NSF)NSF - Directorate for Geosciences (GEO))</t>
  </si>
  <si>
    <t>Data for this project was collected during the 2005 SHALDRIL cruise and a 2007 marine geology cruise. We acknowledge the NBP0502 and NBP0703 Shipboard Scientific Parties for all the hard work necessary to collect this data. We thank the R/V Nathaniel B. Palmer crew and Raytheon Polar Services technical personnel for the support during the cruises. This project was funded by the Office of Polar Programs - NSF/OPP Award 03-38137 to JBA and JSW and 0724929 to ARS.</t>
  </si>
  <si>
    <t>13-14</t>
  </si>
  <si>
    <t>10.1016/j.quascirev.2011.03.018</t>
  </si>
  <si>
    <t>795BP</t>
  </si>
  <si>
    <t>WOS:000292946800004</t>
  </si>
  <si>
    <t>Dunbar, NW; Kurbatov, AV</t>
  </si>
  <si>
    <t>Dunbar, Nelia W.; Kurbatov, Andrei V.</t>
  </si>
  <si>
    <t>Tephrochronology of the Siple Dome ice core, West Antarctica: correlations and sources</t>
  </si>
  <si>
    <t>MARIE BYRD LAND; TEPHRA LAYERS; EXPLOSIVE VOLCANISM; CLIMATE-CHANGE; FRONTIER MOUNTAIN; EAST ANTARCTICA; VICTORIA LAND; TAYLOR DOME; RECORD; GREENLAND</t>
  </si>
  <si>
    <t>A total of 24 tephra-bearing volcanic layers have been recognized between 550 and 987 m depth in the Siple Dome A (SDM-A) ice core, in addition to a number already recognized tephra in the upper 550 m (Dunbar et al., 2003; Kurbatov et al., 2006). The uniform composition and distinctive morphological of the particles composing these tephra layers suggest deposition as a result of explosive volcanic eruptions and that the layers therefore represent time-stratigraphic markers in the ice core. Despite the very fine grain size of these tephra (mostly less than 20 microns), robust geochemical compositions were determined by electron microprobe analysis. The source volcanoes for these tephra layers are largely found within the Antarctic plate. Statistical geochemical correlations tie nine of the tephra layers to known eruptions from Mt Berlin, a West Antarctic volcano that has been very active for the past 100,000 years. Previous correlations were made to an eruption of Mt. Takahe, another West Antarctic volcano, and one to Mt. Hudson, located in South America (Kurbatov et al., 2006). The lowest tephra layer in the ice core, located at 986.21 m depth, is correlated to a source eruption with an age of 118.1 +/- 1.3 ka, suggesting a chronological pinning point for the lower ice. An episode of anomalously high volcanic activity in the ice in the SDM-A core between 18 and 35 ka (Cow and Meese, 2007) appears to be related to eruptive activity of Mt. Berlin volcano. At least some of the tephra layers found in the SDM-A core appear to be the result of very explosive eruptions that spread ash across large parts of West Antarctica, off the West Antarctic coast, as well as also being recognized in East Antarctica (Basile et al., 2001; Narcisi et al., 2005, 2006). Some of these layers would be expected to should be found in other deep Antarctic ice cores, particularly ones drilled in West Antarctica, providing correlative markers between different cores. The analysis of the tephra layers in the Siple Dome core, along with other Antarctic cores, provides a timing framework for the relatively proximal Antarctic and South American volcanic eruptive events, allowing these to be distinguished from the tropical eruptions that may play a greater role in climate forcing. (C) 2011 Elsevier Ltd. All rights reserved.</t>
  </si>
  <si>
    <t>[Dunbar, Nelia W.] New Mexico Inst Min &amp; Technol, New Mexico Bur Geol, Socorro, NM 87801 USA; [Dunbar, Nelia W.] New Mexico Inst Min &amp; Technol, Dept Earth &amp; Environm Sci, Socorro, NM 87801 USA; [Kurbatov, Andrei V.] Univ Maine, Climate Change Inst, Orono, ME 04469 USA</t>
  </si>
  <si>
    <t>New Mexico Institute of Mining Technology; New Mexico Institute of Mining Technology; University of Maine System; University of Maine Orono</t>
  </si>
  <si>
    <t>Dunbar, NW (corresponding author), New Mexico Inst Min &amp; Technol, New Mexico Bur Geol, Socorro, NM 87801 USA.</t>
  </si>
  <si>
    <t>nelia@nmt.edu</t>
  </si>
  <si>
    <t>Dunbar, Nelia W./HZL-8693-2023</t>
  </si>
  <si>
    <t>Dunbar, Nelia W./0000-0002-5181-937X; Kurbatov, Andrei/0000-0002-9819-9251</t>
  </si>
  <si>
    <t>National Science Foundation [OPP-9316505, OPP-9614384, OPP-9615167]; NSF [STI-9413900]; Directorate For Geosciences; Office of Polar Programs (OPP) [0838843] Funding Source: National Science Foundation</t>
  </si>
  <si>
    <t>National Science Foundation(National Science Foundation (NSF)); NSF(National Science Foundation (NSF)); Directorate For Geosciences; Office of Polar Programs (OPP)(National Science Foundation (NSF)NSF - Directorate for Geosciences (GEO))</t>
  </si>
  <si>
    <t>This work was supported by National Science Foundation grants OPP-9316505, OPP-9614384 and OPP-9615167. The Cameca SX-100 electron microprobe at NMIMT was partially funded by NSF grant STI-9413900. We thank many members of the SDMA community for their valuable contributions to this work. G.W. Lamorey (Siple Dome Science Coordination Office, DRI) and Kendrick Taylor provided valuable chronological information prior to official publication. We would like to thank the ICDS drilling team for obtaining the core, and NICL for freezer assistance. Thanks to two anonymous reviewers who provided thorough and thoughtful comments that greatly improved this contribution.</t>
  </si>
  <si>
    <t>10.1016/j.quascirev.2011.03.015</t>
  </si>
  <si>
    <t>WOS:000292946800005</t>
  </si>
  <si>
    <t>Thums, M; Bradshaw, CJA; Hindell, MA</t>
  </si>
  <si>
    <t>Thums, Michele; Bradshaw, Corey J. A.; Hindell, Mark A.</t>
  </si>
  <si>
    <t>In situ measures of foraging success and prey encounter reveal marine habitat-dependent search strategies</t>
  </si>
  <si>
    <t>area-restricted search; first-passage time; foraging success; Macquarie Island; Australia; Mirounga leonina; movement patterns; predictability; profitability; southern elephant seal</t>
  </si>
  <si>
    <t>SOUTHERN ELEPHANT SEALS; AREA-RESTRICTED SEARCH; MIROUNGA-LEONINA; DIVING BEHAVIOR; OCEANOGRAPHIC CONDITIONS; 1ST-PASSAGE TIME; SATELLITE TAGS; SWIM SPEED; FINE-SCALE; PREDATOR</t>
  </si>
  <si>
    <t>Predators are thought to reduce travel speed and increase turning rate in areas where resources are relatively more abundant, a behavior termed area-restricted search. However, evidence for this is rare, and few empirical data exist for large predators. Animals exhibiting foraging site fidelity could also be spatially aware of suitable feeding areas based on prior experience; changes in movement patterns might therefore arise from the anticipation of higher prey density. We tested the hypothesis that regions of area-restricted search were associated with a higher number of daily speed spikes (a proxy for potential prey encounter rate) and foraging success in southern elephant seals (Mirounga leonina), a species exhibiting both area-restricted searches and high interannual foraging site fidelity. We used onshore morphological measurements and diving data from archival tags deployed during winter foraging trips. Foraging success was inferred from in situ changes in relative lipid content derived from measured changes in buoyancy, and first-passage time analysis was used to identify area-restricted search behavior. Seals exhibited relatively direct southerly movement on average, with intensive search behavior predominantly located at the distal end of tracks. The probability of being in search mode was positively related to changes in relative lipid content; thus, intensively searched areas were associated with the highest foraging success. However, there was high foraging success during the outward transit even though seals moved through quickly without slowing down and increasing turning rate to exploit these areas. In addition, the probability of being in search mode was negatively related to the number of daily speed spikes. These results suggest that movement patterns represent a response to prior expectation of the location of predictable and profitable resources. Shelf habitat was 4-9 times more profitable than the other habitats, emphasizing the importance of the East Antarctic shelf for this and other predators in the region. We have provided rare empirical data with which to investigate the relationship between predator foraging strategy and prey encounter/foraging success, underlining the importance of inferring the timing and spatial arrangement of successful food acquisition for interpreting foraging strategies correctly.</t>
  </si>
  <si>
    <t>[Thums, Michele; Hindell, Mark A.] Univ Tasmania, Inst Marine &amp; Antarctic Studies, Marine Predator Unit, Hobart, Tas 7001, Australia; [Bradshaw, Corey J. A.] Univ Adelaide, Inst Environm, Adelaide, SA 5005, Australia; [Bradshaw, Corey J. A.] Univ Adelaide, Sch Earth &amp; Environm Sci, Adelaide, SA 5005, Australia; [Bradshaw, Corey J. A.] S Australian Res &amp; Dev Inst, Henley Beach, SA 5022, Australia</t>
  </si>
  <si>
    <t>University of Tasmania; University of Adelaide; University of Adelaide</t>
  </si>
  <si>
    <t>Thums, M (corresponding author), Univ Western Australia, Oceans Inst M470, Perth, WA 6009, Australia.</t>
  </si>
  <si>
    <t>michele.thums@uwa.edu.au</t>
  </si>
  <si>
    <t>Hindell, Mark A/K-1131-2013; Bradshaw, Corey J. A./A-1311-2008; Hindell, Mark A/C-8368-2013; Thums, Michele/A-3850-2013</t>
  </si>
  <si>
    <t>Bradshaw, Corey J. A./0000-0002-5328-7741; Hindell, Mark/0000-0002-7823-7185; Thums, Michele/0000-0002-8669-8440</t>
  </si>
  <si>
    <t>Australian Research Council; Natural Sciences and Engineering Research Council of Canada; Sea World Research and Rescue Foundation; Australian Antarctic Science Programme; University of Tasmania; Australian Postgraduate Award</t>
  </si>
  <si>
    <t>Australian Research Council(Australian Research Council); Natural Sciences and Engineering Research Council of Canada(Natural Sciences and Engineering Research Council of Canada (NSERC)CGIAR); Sea World Research and Rescue Foundation; Australian Antarctic Science Programme; University of Tasmania; Australian Postgraduate Award(Australian Government)</t>
  </si>
  <si>
    <t>This research was funded by the Australian Research Council, the Natural Sciences and Engineering Research Council of Canada, Sea World Research and Rescue Foundation, and the Australian Antarctic Science Programme, with additional support from P. Rowsthorn and the University of Tasmania. M. Thums was supported by an Australian Postgraduate Award. We thank M. Sumner, J. Horsburgh, S. Candy, and B. Raymond for help with analyses.</t>
  </si>
  <si>
    <t>ECOLOGICAL SOC AMER</t>
  </si>
  <si>
    <t>1990 M STREET NW, STE 700, WASHINGTON, DC 20036 USA</t>
  </si>
  <si>
    <t>10.1890/09-1299.1</t>
  </si>
  <si>
    <t>791BD</t>
  </si>
  <si>
    <t>WOS:000292633900008</t>
  </si>
  <si>
    <t>Willems, BA; Powell, RD; Cowan, EA; Jaeger, JM</t>
  </si>
  <si>
    <t>Willems, Bryce A.; Powell, Ross D.; Cowan, Ellen A.; Jaeger, John M.</t>
  </si>
  <si>
    <t>Glacial outburst flood sediments within Disenchantment Bay, Alaska: Implications of recognizing marine jokulhlaup deposits in the stratigraphic record</t>
  </si>
  <si>
    <t>outburst flood; jokulhlaup; Hubbard Glacier; Alaska; glacimarine; Disenchantment Bay</t>
  </si>
  <si>
    <t>ICE-STREAM SURGES; VALLEY; ORIGIN; SHELF; ANTARCTICA; MORPHOLOGY; INITIATION; DISPERSAL; DISCHARGE; DRAINAGE</t>
  </si>
  <si>
    <t>Glacial outburst floods have been observed or inferred in most glaciated regions of the world. Outburst flooding events along past ice-sheet margins have been discussed as possible causes for changes in ocean circulation while subglacial lake drainage under ice sheets may influence ice-sheet stability. The recognition of these geologically instantaneous events in the marine sediment or rock record is critical in order to characterize the magnitude and frequency of past outburst events as well as to predict the likelihood of future occurrences. In this paper, we characterize outburst lithofacies and infer depositional processes from two outburst floods within Disenchantment Bay, Alaska, and compare these deposits to other recognized outburst deposits within marine depositional settings. Here we show that the outburst deposits are lithologically similar and are composed of stratified mud, sand, and diamicton. We interpret these fades to have been formed by sediment gravity flows and hypopycnal plume sedimentation. These results show that the volume of sediment, lithofacies, and inferred depositional processes cannot be easily distinguished from normal sediment accumulation within the proximal temperate glacimarine depositional environment. The paucity of fluvial subglacial discharge in polar glacimarine environments suggests the potential for recognition of such deposits in the Antarctic. (C) 2011 Elsevier B.V. All rights reserved.</t>
  </si>
  <si>
    <t>[Willems, Bryce A.; Powell, Ross D.] No Illinois Univ, Dept Geol &amp; Environm Geosci, De Kalb, IL USA; [Cowan, Ellen A.] Appalachian State Univ, Dept Geol, Boone, NC USA; [Jaeger, John M.] Univ Florida, Dept Geol Sci, Gainesville, FL USA</t>
  </si>
  <si>
    <t>Northern Illinois University; University of North Carolina; Appalachian State University; State University System of Florida; University of Florida</t>
  </si>
  <si>
    <t>Willems, BA (corresponding author), Univ Alaska Anchorage, Dept Geol Sci, 3211 Providence Dr, Anchorage, AK 99508 USA.</t>
  </si>
  <si>
    <t>afbaw2@uaa.alaska.edu</t>
  </si>
  <si>
    <t>Jaeger, John/0000-0003-0248-489X</t>
  </si>
  <si>
    <t>National Science Foundation; Arctic Natural Sciences [OPP-0327106, OPP-0326926, OPP-0327107]; Ocean Sciences [OCE-0351062, OCE-0351043, OCE-0351089]; NIU Graduate School</t>
  </si>
  <si>
    <t>National Science Foundation(National Science Foundation (NSF)); Arctic Natural Sciences; Ocean Sciences; NIU Graduate School</t>
  </si>
  <si>
    <t>This research was supported by the National Science Foundation, Arctic Natural Sciences under Grant no. OPP-0327106 (Ellen A. Cowan, Appalachian State University), OPP-0326926 (John M. Jaeger, University of Florida), and OPP-0327107 (Ross D. Powell, Northern Illinois University), as well as Ocean Sciences under Grant no. OCE-0351062 (Cowan). OCE-0351043 (Jaeger), and OCE-0351089 (Powell). The authors would like to thank the following institutions and individuals for their contributions to this research: Goldich Fund (NIU), NIU Graduate School, Dr. David Mosher, Calvin Campbell, Graham Standen, and the crew of the R.V. Alpha Helix.</t>
  </si>
  <si>
    <t>JUN 1</t>
  </si>
  <si>
    <t>10.1016/j.margeo.2011.03.004</t>
  </si>
  <si>
    <t>787EM</t>
  </si>
  <si>
    <t>WOS:000292359400001</t>
  </si>
  <si>
    <t>Presti, M; Barbara, L; Denis, D; Schmidt, S; De Santis, L; Crosta, X</t>
  </si>
  <si>
    <t>Presti, Massimo; Barbara, Loic; Denis, Delphine; Schmidt, Sabine; De Santis, Laura; Crosta, Xavier</t>
  </si>
  <si>
    <t>Sediment delivery and depositional patterns off Adelie Land (East Antarctica) in relation to late Quaternary climatic cycles</t>
  </si>
  <si>
    <t>Adelie Land; Antarctic Bottom Water; geochemistry; biostratigraphy; sedimentation processes</t>
  </si>
  <si>
    <t>CONTINENTAL-MARGIN SEDIMENTS; PARTICULATE BARIUM FLUXES; SOUTHERN-OCEAN SEDIMENTS; LAST GLACIAL MAXIMUM; DEEP-SEA SEDIMENT; MAJOR DIATOM TAXA; ICE-SHEET; MARINE-SEDIMENTS; LATE PLEISTOCENE; BIOGENIC BARIUM</t>
  </si>
  <si>
    <t>This study focuses on the understanding of depositional patterns over late Quaternary glacial/interglacial cycles and of the influence of diagenesis on geochemical sedimentary records from the continental margin off Adelie Land (East Antarctica). We provide a complete analysis of the 30-m-long sediment core MD03-2603, collected on a deep-sea sediment mound deposit. The LR04 benthic oxygen isotope stack vs. down-core records of Ba/Al and Ba/Ti atomic ratios, reflectance data and micropaleontological evidence, allow to determine a detailed chronology back to similar to 490 ka BP. Long-lived Uranium and Thorium (U-238, U-234, Th-232, and Th-230) provide an assessment of lateral vs. vertical sediment advection, by constraining the sediment focusing factor (Phi). Phi is high in most glacial intervals, when mostly detrital material was transported down-slope and focused to the core area. Interglacials display highs in Ba/Al and Ba/Ti, coupled to low Phi values, related to stronger contour current flow. Biogenic fractions are more abundant during interglacials and more diluted by detrital fractions during glacials. The diatom assemblage is dominated by the open-ocean species Fragilariopsis kerguelensis, but glacial intervals display an increase of sea-ice related and coastal species. The integrated approach (high-resolution record of major and minor elements, U-auth, delta N-15, N-org, delta C-13, and C-org) provides key insights into how redox conditions affect glacial/interglacial sedimentation processes. Our evidence shows that diagenetic effects, due to development of reducing conditions and consequent higher preservation of organic matter, may overprint the paleoclimatic significance of some proxies involved into a sequence of diagenetic remineralization pathways. Comparison of the marine record to ice-core data (EPICA Dome C-EDC) allows to extend the information to the whole East Antarctic margin. Sediment proxies of increased burial of biogenic material, or increased preservation of organic matter, are linked to climatic amelioration on the continent. Highs in EDC dust flux correlate with high Mn/Al and Mo/Al ratios within the sediment record, confirming that establishment of colder conditions on the continent triggered changes in sedimentation rates at the glacial/interglacial transition, which in turn affected the development of reducing redox fronts within the sediment. (C) 2011 Elsevier B.V. All rights reserved.</t>
  </si>
  <si>
    <t>[Presti, Massimo; De Santis, Laura] Ist Nazl Oceanog &amp; Geofis Sperimentale OGS, I-34010 Trieste, Italy; [Barbara, Loic; Denis, Delphine; Schmidt, Sabine; Crosta, Xavier] Univ Bordeaux 1, CNRS, UMR 5805, EPOC, F-33405 Talence, France</t>
  </si>
  <si>
    <t>Istituto Nazionale di Oceanografia e di Geofisica Sperimentale; Universite de Bordeaux; Centre National de la Recherche Scientifique (CNRS); CNRS - National Institute for Earth Sciences &amp; Astronomy (INSU)</t>
  </si>
  <si>
    <t>Presti, M (corresponding author), Ist Nazl Oceanog &amp; Geofis Sperimentale OGS, Borgo Grotta Gigante 42-C, I-34010 Trieste, Italy.</t>
  </si>
  <si>
    <t>mpresti@ogs.trieste.it</t>
  </si>
  <si>
    <t>Barbara, Loic JB/D-2607-2013; Schmidt, Sabine/G-1193-2013</t>
  </si>
  <si>
    <t>Schmidt, Sabine/0000-0002-5985-9747; Barbara, Loic/0000-0003-1519-5835; De Santis, Laura/0000-0002-7752-7754</t>
  </si>
  <si>
    <t>Marie-Curie European Reintegration Grant; ACI ARTTE (Application of Radionuclides as Tracers of particulate Transfer in the Environment, French Research Ministry)</t>
  </si>
  <si>
    <t>Marie-Curie European Reintegration Grant(European Union (EU)); ACI ARTTE (Application of Radionuclides as Tracers of particulate Transfer in the Environment, French Research Ministry)(Ministry of Research, France)</t>
  </si>
  <si>
    <t>The authors acknowledge the crew of R. V. Marion Dufresne (French polar Institute) and the IMAGES program. The authors are grateful to Catherine Kissel for interesting discussion about magnetic properties' link to climatic cycles. Manuscript quality has been greatly improved by comments of the editor, D.J.W. Piper, and two anonymous reviewers. Funding for this work came from a Marie-Curie European Reintegration Grant to M.P. (project Holosed) and the ACI ARTTE (Application of Radionuclides as Tracers of particulate Transfer in the Environment, French Research Ministry) program of S.S.</t>
  </si>
  <si>
    <t>10.1016/j.margeo.2011.03.012</t>
  </si>
  <si>
    <t>WOS:000292359400008</t>
  </si>
  <si>
    <t>Jia, LL; Wang, HS; Xiang, LW; Wu, P; Li, F; Shi, HL</t>
  </si>
  <si>
    <t>Jia Lu-Lu; Wang Han-Sheng; Xiang Long-Wei; Wu Patrick; Li Fei; Shi Hong-Ling</t>
  </si>
  <si>
    <t>Effects of glacial isostatic adjustment on the estimate of ice mass balance over Antarctica and the uncertainties</t>
  </si>
  <si>
    <t>Glacial isostatic adjustment; Mantle viscosity; Space geodesy; Antarctica; Ice mass balance</t>
  </si>
  <si>
    <t>CLIMATE EXPERIMENT; GRAVITY RECOVERY; SEA-LEVEL; MANTLE VISCOSITY; GRACE DATA; SURFACE; EARTH; MODEL</t>
  </si>
  <si>
    <t>The effects of glacial isostatic adjustment (GIA) on monitoring ice mass balance over Antarctica are investigated using our newly-released GIA model ICE-4G+RF3L20 (beta = 0.4) and the uncertainties are evaluated by considering the effects of differences in ice load models and reference mantle viscosities. The results and the comparison with those from GRACE time-varying gravity fields and satellite altimetry data are shown as follows. It is found that the GIA has strong effects on monitoring the changes of equivalent water height (EWH) from GRACE gravity data, significant GIA effects occur at Ross Ice Shelf, Kamb Ice Stream, Ronne Ice Shelf and Antarctic Peninsula with a maximal magnitude of similar to 29.8 mm/a at Kamb Ice Stream. For the whole Antarctica, the effect of GIA on total ice mass balance is 134 +/- 28 Gt/a. The differences in ice models account for 88.4% of the variances of uncertainties while the differences in viscosity models contribute 11.6%. In some typical regions, the changes of EWH monitored by GRACE data are given before and after GIA corrections. These are similar to 32.8 mm/a and similar to 6.3 mm/a for Kamb Ice Stream, similar to-95.3 mm/a and similar to-102.5 mm/a for Amundsen Sea Embayment, similar to 13.6 mm/a and similar to 8.1 mm/a for Enderby Land. The total ice mass change of the whole Antarctica is found to be -82 +/- 29 Gt/a after GIA corrections which is quite close to that estimated from satellite altimetry data. Furthermore, the effects of GIA on the ice height changes observed from ICESat are less than 8%. The results related to our new GIA model in this paper can be utilized to precisely monitor the present ice mass balance in Antarctica from space geodetic techniques.</t>
  </si>
  <si>
    <t>[Jia Lu-Lu; Wang Han-Sheng; Xiang Long-Wei; Shi Hong-Ling] Chinese Acad Sci, Key Lab Dynam Geodesy, Inst Geodesy &amp; Geophys, Wuhan 430077, Peoples R China; [Jia Lu-Lu; Xiang Long-Wei; Shi Hong-Ling] Chinese Acad Sci, Grad Univ, Beijing 100049, Peoples R China; [Wu Patrick] Univ Calgary, Dept Geosci, Calgary, AB T2N 1N4, Canada; [Li Fei] Chinese Antarctic Ctr Surveying &amp; Mapping, Wuhan 430079, Peoples R China</t>
  </si>
  <si>
    <t>Chinese Academy of Sciences; Innovation Academy for Precision Measurement Science &amp; Technology, CAS; Chinese Academy of Sciences; University of Chinese Academy of Sciences, CAS; University of Calgary</t>
  </si>
  <si>
    <t>Jia, LL (corresponding author), Chinese Acad Sci, Key Lab Dynam Geodesy, Inst Geodesy &amp; Geophys, Wuhan 430077, Peoples R China.</t>
  </si>
  <si>
    <t>iceagejia@163.com; whs@asch.whigg.ac.cn</t>
  </si>
  <si>
    <t>SHI, HL/HHC-5506-2022; Wu, Patrick/F-4194-2010; Wu, Patrick/K-5946-2017; xiang, long/IQX-0193-2023</t>
  </si>
  <si>
    <t>SHI, HL/0000-0003-2045-7115; Wu, Patrick/0000-0001-5812-4928;</t>
  </si>
  <si>
    <t>10.3969/j.issn.0001-5733.2011.06.006</t>
  </si>
  <si>
    <t>787HJ</t>
  </si>
  <si>
    <t>WOS:000292366900006</t>
  </si>
  <si>
    <t>Purdie, H; Mackintosh, A; Lawson, W; Anderson, B; Morgenstern, U; Chinn, T; Mayewski, P</t>
  </si>
  <si>
    <t>Purdie, Heather; Mackintosh, Andrew; Lawson, Wendy; Anderson, Brian; Morgenstern, Uwe; Chinn, Trevor; Mayewski, Paul</t>
  </si>
  <si>
    <t>Interannual variability in net accumulation on Tasman Glacier and its relationship with climate</t>
  </si>
  <si>
    <t>glacier; accumulation; El Nino Southern Oscillation; Southern Annular Mode; climate change; glacier mass balance</t>
  </si>
  <si>
    <t>SOUTHERN ANNULAR MODE; FRANZ-JOSEF-GLACIER; O-HINE-HUKATERE; PENNY ICE CAP; NEW-ZEALAND; MASS-BALANCE; ATMOSPHERIC CIRCULATION; SNOW ACCUMULATION; STABLE-ISOTOPE; TRACE-ELEMENT</t>
  </si>
  <si>
    <t>Mid-latitude maritime glaciers are responding quickly and directly to climate change. This response is expected to continue, and will result in maritime glaciers making a large contribution to sea level rise over the coming decades. Maritime glaciers in the New Zealand Southern Alps provide an opportunity to learn more about climate-glacier mass balance relationships in a high precipitation setting, and how these relationships might change in the future. Ice core and direct glaciological measurements are used to construct a 24-year record of net accumulation, the longest of its type in New Zealand. We demonstrate that variations in net accumulation on Tasman Glacier are more strongly influenced by temperature than by precipitation. Further, it is temperature during the ablation season that exerts most control. Atmospheric circulation patterns, in particular the state of the El Nino Southern Oscillation (ENSO) and Southern Annular Mode (SAM), were found to influence net accumulation. When the SAM is positive and the ENSO in a La Nina phase, easterly and northerly wind anomalies are enhanced, temperatures increase in the Southern Alps region and more negative glacier mass balances result. Conversely when SAM is negative and ENSO in an El Nino phase, westerly and southerly wind anomalies occur, and temperatures decrease in the Southern Alps region. In this case, glacier mass balance is more likely to be positive. However, relationships between glacier mass balance and these atmospheric circulation modes are not simply linear, with some of the lowest net accumulation years associated with inverse polarity between the SAM and the ENSO. (C) 2011 Elsevier B.V. All rights reserved.</t>
  </si>
  <si>
    <t>[Purdie, Heather; Mackintosh, Andrew; Anderson, Brian] Victoria Univ Wellington, Antarctic Res Ctr, Wellington, New Zealand; [Purdie, Heather; Mackintosh, Andrew; Anderson, Brian] Victoria Univ Wellington, Sch Geog Environm &amp; Earth Sci, Wellington, New Zealand; [Purdie, Heather; Lawson, Wendy] Univ Canterbury, Dept Geog, Christchurch 1, New Zealand; [Morgenstern, Uwe] Lower Hutt, GNS Sci, Wellington, New Zealand; [Chinn, Trevor] Alpine &amp; Polar Proc, Lake Hawea, New Zealand; [Mayewski, Paul] Univ Maine, Climate Change Inst, Orono, ME 04469 USA</t>
  </si>
  <si>
    <t>Victoria University Wellington; Victoria University Wellington; University of Canterbury; GNS Science - New Zealand; University of Maine System; University of Maine Orono</t>
  </si>
  <si>
    <t>Purdie, H (corresponding author), Victoria Univ Wellington, Antarctic Res Ctr, POB 600, Wellington, New Zealand.</t>
  </si>
  <si>
    <t>heather.purdie@gmail.com</t>
  </si>
  <si>
    <t>Mayewski, Paul Andrew/HRD-6969-2023</t>
  </si>
  <si>
    <t>Purdie, Heather/0000-0002-2723-6908; Mackintosh, Andrew/0000-0002-6430-4711</t>
  </si>
  <si>
    <t>Victoria University</t>
  </si>
  <si>
    <t>This study was made possible by the assistance from the Victoria University PhD scholarship, the Victoria University Science Faculty &amp; School of Geography, Environment and Earth Science, the University of Canterbury Geography Department the Corner Science &amp; Education Foundation and the FRST ANZICE programme and NOAA NA060AR4310206. Thanks to Department of Conservation, Mount Cook Ski Planes. Thanks to those who assisted with laboratory procedures and to all who participated with the gathering of field data.</t>
  </si>
  <si>
    <t>10.1016/j.gloplacha.2011.04.004</t>
  </si>
  <si>
    <t>789CO</t>
  </si>
  <si>
    <t>WOS:000292491100004</t>
  </si>
  <si>
    <t>Tulloch, R; Marshall, J; Hill, C; Smith, KS</t>
  </si>
  <si>
    <t>Tulloch, Ross; Marshall, John; Hill, Chris; Smith, K. Shafer</t>
  </si>
  <si>
    <t>Scales, Growth Rates, and Spectral Fluxes of Baroclinic Instability in the Ocean</t>
  </si>
  <si>
    <t>PACIFIC SUBTROPICAL COUNTERCURRENT; MEAN FLOW; RADIATING INSTABILITY; MODEL; ATMOSPHERE; ENERGY; REPRESENTATION; VARIABILITY; GENERATION; DYNAMICS</t>
  </si>
  <si>
    <t>An observational, modeling, and theoretical study of the scales, growth rates, and spectral fluxes of baroclinic instability in the ocean is presented, permitting a discussion of the relation between the local instability scale; the first baroclinic deformation scale R-def; and the equilibrated, observed eddy scale. The geography of the large-scale, meridional quasigeostrophic potential vorticity (QGPV) gradient is mapped out using a climatological atlas, and attention is drawn to asymmetries between midlatitude eastward currents and subtropical return flows, the latter of which has westward and eastward zonal velocity shears. A linear stability analysis of the climatology, under the local approximation, yields the growth rates and scales of the fastest-growing modes. Fastest-growing modes on eastward-flowing currents, such as the Kuroshio and the Antarctic Circumpolar Current, have a scale somewhat larger (by a factor of about 2) than R-def. They are rapidly growing (e folding in 1-3 weeks) and deep reaching, and they can be characterized by an interaction between interior QGPV gradients, with a zero crossing in the QGPV gradient at depth. In contrast, fastest-growing modes in the subtropical return flows (as well as much of the gyre interiors) have a scale smaller than R-def (by a factor of between 0.5 and 1), grow more slowly (e-folding scale of several weeks), and owe their existence to the interaction of a positive surface QGPV gradient and a negative gradient beneath. These predictions of linear theory under the local approximation are then compared to observed eddy length scales and spectral fluxes using altimetric data. It is found that the scale of observed eddies is some 2-3 times larger than the instability scale, indicative of a modest growth in horizontal scale. No evidence of an inverse cascade over decades in scale is found. Outside of a tropical band, the eddy scale varies with latitude along with but somewhat less strongly than R-def. Finally, exactly the same series of calculations is carried out on fields from an idealized global eddying model, enabling study in a more controlled setting. Broadly similar conclusions are reached, thus reinforcing inferences made from the data.</t>
  </si>
  <si>
    <t>[Tulloch, Ross; Marshall, John; Hill, Chris] MIT, Dept Earth Atmospher &amp; Planetary Sci, Cambridge, MA 02139 USA; [Smith, K. Shafer] NYU, Ctr Atmosphere Ocean Sci, New York, NY USA</t>
  </si>
  <si>
    <t>Massachusetts Institute of Technology (MIT); New York University</t>
  </si>
  <si>
    <t>Tulloch, R (corresponding author), MIT, Dept Earth Atmospher &amp; Planetary Sci, 77 Massachusetts Ave, Cambridge, MA 02139 USA.</t>
  </si>
  <si>
    <t>tulloch@mit.edu</t>
  </si>
  <si>
    <t>Smith, Kendall/A-4581-2017</t>
  </si>
  <si>
    <t>Smith, Kendall/0000-0003-0740-3067</t>
  </si>
  <si>
    <t>NSF; NOAA; Direct For Computer &amp; Info Scie &amp; Enginr; Office of Advanced Cyberinfrastructure (OAC) [0904338] Funding Source: National Science Foundation; Direct For Mathematical &amp; Physical Scien; Division Of Mathematical Sciences [1025468] Funding Source: National Science Foundation; Division Of Ocean Sciences; Directorate For Geosciences [0962054] Funding Source: National Science Foundation</t>
  </si>
  <si>
    <t>NSF(National Science Foundation (NSF)); NOAA(National Oceanic Atmospheric Admin (NOAA) - USA); Direct For Computer &amp; Info Scie &amp; Enginr; Office of Advanced Cyberinfrastructure (OAC)(National Science Foundation (NSF)NSF - Directorate for Computer &amp; Information Science &amp; Engineering (CISE)); Direct For Mathematical &amp; Physical Scien; Division Of Mathematical Sciences(National Science Foundation (NSF)NSF - Directorate for Mathematical &amp; Physical Sciences (MPS)); Division Of Ocean Sciences; Directorate For Geosciences(National Science Foundation (NSF)NSF - Directorate for Geosciences (GEO))</t>
  </si>
  <si>
    <t>This study was supported by grants from NSF and NOAA.</t>
  </si>
  <si>
    <t>10.1175/2011JPO4404.1</t>
  </si>
  <si>
    <t>787VT</t>
  </si>
  <si>
    <t>WOS:000292405500002</t>
  </si>
  <si>
    <t>Kimura, S; Smyth, W; Kunze, E</t>
  </si>
  <si>
    <t>Kimura, Satoshi; Smyth, William; Kunze, Eric</t>
  </si>
  <si>
    <t>Turbulence in a Sheared, Salt-Fingering-Favorable Environment: Anisotropy and Effective Diffusivities</t>
  </si>
  <si>
    <t>OCEAN MODEL; THERMOHALINE STAIRCASE; MOMENTUM TRANSPORT; FLUX MEASUREMENTS; DOUBLE-DIFFUSION; MICROSTRUCTURE; DISSIPATION; SENSITIVITY; STABILITY</t>
  </si>
  <si>
    <t>Direct numerical simulations (DNS) of a shear layer with salt-fingering-favorable stratification have been performed for different Richardson numbers Ri and density ratios R-rho In the absence of shear (Ri = infinity), the primary instability is square planform salt fingering, alternating cells of rising and sinking fluid. In the presence of shear, salt fingering takes the form of salt sheets, planar regions of rising and sinking fluid, aligned parallel to the sheared flow. After the onset of secondary instability, the flow becomes turbulent. The continued influence of the primary instability distorts the late-stage structure and hence biases isotropic estimates of the turbulent kinetic energy dissipation rate epsilon. In contrast, thermal and saline gradients evolve to become more isotropic than velocity gradients at their dissipation scales. Thus, the standard observational methodology of estimating the turbulent kinetic energy dissipation rate E from vertical profiles of microscale gradients and assuming isotropy can underestimate its true value by a factor of 2-3, whereas estimates of thermal and saline dissipation rates using this approach are relatively accurate. Likewise, estimates of Gamma from vertical profiles overestimate the true Gamma by roughly a factor of 2. Salt sheets are ineffective at transporting momentum. Thermal and saline effective diffusivities decrease with decreasing Ri, despite the added energy source provided by background shear. After the transition to turbulence, the thermal to saline flux ratio and the effective Schmidt number remain close to the values predicted by linear theory.</t>
  </si>
  <si>
    <t>[Kimura, Satoshi; Smyth, William] Oregon State Univ, Coll Ocean &amp; Atmospher Sci, Corvallis, OR 97331 USA; [Kunze, Eric] Univ Washington, Appl Phys Lab, Seattle, WA 98105 USA</t>
  </si>
  <si>
    <t>Oregon State University; University of Washington; University of Washington Seattle</t>
  </si>
  <si>
    <t>Kimura, S (corresponding author), British Antarctic Survey, Madingley Rd, Cambridge CB3 0ET, England.</t>
  </si>
  <si>
    <t>skimura04@gmail.com</t>
  </si>
  <si>
    <t>Kimura, Satoshi/AAT-3036-2021</t>
  </si>
  <si>
    <t>Kimura, Satoshi/0000-0003-1689-1605</t>
  </si>
  <si>
    <t>National Science Foundation [0453140]; Directorate For Geosciences; Division Of Ocean Sciences [0453140] Funding Source: National Science Foundation</t>
  </si>
  <si>
    <t>National Science Foundation(National Science Foundation (NSF)); Directorate For Geosciences; Division Of Ocean Sciences(National Science Foundation (NSF)NSF - Directorate for Geosciences (GEO))</t>
  </si>
  <si>
    <t>Comments from two anonymous reviewers improved the manuscript. Computer time was provided by the National Center for Atmospheric Research (NCAR). The graphics were produced using VAPOR with help from VisLab at NCAR. The work was supported by the National Science Foundation under Grant 0453140.</t>
  </si>
  <si>
    <t>10.1175/2011JPO4543.1</t>
  </si>
  <si>
    <t>WOS:000292405500007</t>
  </si>
  <si>
    <t>Cefarelli, AO; Vernet, M; Ferrario, ME</t>
  </si>
  <si>
    <t>Cefarelli, Adrian O.; Vernet, Maria; Ferrario, Martha E.</t>
  </si>
  <si>
    <t>Phytoplankton composition and abundance in relation to free-floating Antarctic icebergs</t>
  </si>
  <si>
    <t>Antarctica; Iceberg; Meltwater; Phytoplankton; Diatoms</t>
  </si>
  <si>
    <t>WATER-COLUMN ASSEMBLAGES; SEA-ICE EDGE; WEDDELL SEA; FRAGILARIOPSIS-CYLINDRUS; EUPHAUSIA-SUPERBA; SOUTHERN-OCEAN; DIATOMS; SUMMER; ENRICHMENT; PENINSULA</t>
  </si>
  <si>
    <t>Free-drifting icebergs in the Weddell Sea are expected to affect the surrounding marine ecosystem. Sampling associated with iceberg C-18a, a large tabular, free-drifting iceberg in the NW Weddell Sea, carried out from 10 March to 7 April 2009, was designed to test the hypothesis that the iceberg's presence modified phytoplankton composition and abundance. Areas that define a gradient of possible iceberg influence were sampled for phytoplankton: stations close ( &lt; 1 km) and far (18 km) from iceberg C-18a, an area with numerous small icebergs, Iceberg Alley, and a control site 74 km away. Quantitative samples were obtained from Niskin bottles and counted with an inverted microscope for species abundance. Qualitative samples were collected with nets from the ship's seawater intake. Taxonomic determinations were performed with light and electron microscopy. Overall, diatoms dominated in the mixed layer (surface-similar to 40 m) and unidentified small flagellated and coccid cells at depth (similar to 100 m). Fragilariopsis nana, a diatom 2.4-15.5 mu m in length, dominated numerically the phytoplankton and was most abundant at the control area. The iceberg's effect on phytoplankton composition was consistent with the hypothesis that they facilitate phytoplankton communities enriched in diatoms, as found in other productive areas of Antarctica. Near the iceberg, diatoms were most abundant, principally at depth, while small flagellate concentration diminished. However, total phytoplankton abundance was lowest at Iceberg Alley in the area of highest meltwater contribution, as indicated by low mean temperature in the mixed layer, and highest at the control site. These results suggest that during austral fall, low growth or high zooplankton grazing could be counteracting the positive effect by icebergs on phytoplankton biomass, otherwise observed in summer months. (C) 2010 Elsevier Ltd. All rights reserved.</t>
  </si>
  <si>
    <t>[Cefarelli, Adrian O.; Ferrario, Martha E.] Natl Univ La Plata, Fac Ciencias Nat &amp; Museo, Dept Cient Ficol, RA-1900 La Plata, Argentina; [Vernet, Maria] Univ Calif San Diego, Scripps Inst Oceanog, Integrat Oceanog Div, La Jolla, CA 92093 USA; [Ferrario, Martha E.] Consejo Nacl Invest Cient &amp; Tecn, RA-1033 Buenos Aires, DF, Argentina</t>
  </si>
  <si>
    <t>National University of La Plata; Museo La Plata; University of California System; University of California San Diego; Scripps Institution of Oceanography; Consejo Nacional de Investigaciones Cientificas y Tecnicas (CONICET)</t>
  </si>
  <si>
    <t>Cefarelli, AO (corresponding author), Natl Univ La Plata, Fac Ciencias Nat &amp; Museo, Dept Cient Ficol, Paseo Bosque S-N, RA-1900 La Plata, Argentina.</t>
  </si>
  <si>
    <t>acefarelli@fcnym.unlp.edu.ar</t>
  </si>
  <si>
    <t>US National Science Foundation [ANT-0529815, ANT-0650034, ANT-0636730]; Universidad Nacional de La Plata, Argentina</t>
  </si>
  <si>
    <t>US National Science Foundation(National Science Foundation (NSF)); Universidad Nacional de La Plata, Argentina(National University of La Plata)</t>
  </si>
  <si>
    <t>This study was supported in part by grants from the US National Science Foundation, awards ANT-0529815, ANT-0650034 to K. Smith and ANT-0636730 to M. Vernet. A.O. Cefarelli work was supported by a fellowship of the Universidad Nacional de La Plata, Argentina. We thank P. Sarmiento for her excellent technical assistance with SEM work in EM Service at the Museo de La Plata, Argentina. We extend our deep appreciation to the officers and crew on ARIB NB Palmer and the technical support from Raytheon Polar Services during sample collection. The authors acknowledge D. Chakos and K. Sines for assistance during sampling and W. Kozlowski for help with graphics. We thank Dr. R. Echenique for help on determining cyanobacterium species, to Dr. S. Bramardi for help with statistical analyses, to F. Gadomski for technical assistance, to D. Martinez for assistance during early stages of the manuscript preparation, to H. Isbert Perlender for the map, to Dr. R. Kaufmann for zooplankton data and to Dr. C. Gle for comments on the manuscript.</t>
  </si>
  <si>
    <t>10.1016/j.dsr2.2010.11.023</t>
  </si>
  <si>
    <t>770II</t>
  </si>
  <si>
    <t>WOS:000291079800015</t>
  </si>
  <si>
    <t>Kaufmann, RS; Robison, BH; Sherlock, RE; Reisenbichler, KR; Osborn, KJ</t>
  </si>
  <si>
    <t>Kaufmann, Ronald S.; Robison, Bruce H.; Sherlock, Rob E.; Reisenbichler, Kim R.; Osborn, Karen J.</t>
  </si>
  <si>
    <t>Composition and structure of macrozooplankton and micronekton communities in the vicinity of free-drifting Antarctic icebergs</t>
  </si>
  <si>
    <t>Plankton; Nekton; Antarctica; Iceberg; MOCNESS; Pelagic</t>
  </si>
  <si>
    <t>KRILL EUPHAUSIA-SUPERBA; NW WEDDELL SEA; MARINE MAMMALS; ICE SHELVES; SCOTIA SEA; VARIABILITY; ABUNDANCE; IMPACT; GROWTH; WATERS</t>
  </si>
  <si>
    <t>Recent warming warming in the Antarctic has led to increased production of icebergs: however, the ecological effects of icebergs on pelagic communities within the Southern Ocean have not been well-studied. We used a 10 m(2) MOCNESS to collect macrozooplankton and micronekton in the upper 300 m of the water column near free-drifting icebergs in the Atlantic sector of the Southern Ocean during three seasons: December 2005 (late spring), June 2008 (late fall) and March-April 2009 (late summer). Communities were dominated in all three seasons by Antarctic krill (Euphausia superba) and salps (Salpa thompsoni), which collectively comprised 60-95% of the community wet biomass in most cases. During our spring and summer cruises, mean biomass was elevated by 3.1-4.3x at a distance of 0.37 km from large icebergs vs. 9.26 km away. These differences were not statistically significant, and no trend in biomass with distance was apparent in samples from fall 2008, when total biomass was an order of magnitude lower. Biomass levels near icebergs during Dec 2005 and Mar-Apr 2009 were comparable to values reported from marginal ice zones, suggesting that waters around icebergs support macrozooplankton and micronekton communities comparable in magnitude to those in some of the most productive areas of the Southern Ocean. Sample variance also was significantly higher within 1.85 km of icebergs during Dec 2005 and Mar-Apr 2009, reflecting increased patchiness on scales sampled by the MOCNESS (20-40 x 10(3) m(3) filtered per sample). This pattern was not significant during Jun 2008. Large predatory medusae were observed within 1.85 km of icebergs and in Iceberg Alley, an area through which icebergs pass frequently, but were virtually absent in areas remote from icebergs. Small euphausiids showed an inverse distribution, with low densities in areas populated by large medusae. A shift in community composition from a near-iceberg assemblage dominated by herbivores to a carnivore-dominated community in Iceberg Alley may reflect a transition from bottom-up to top-down control with increasing distance and time. Body sizes of dominant species varied seasonally but did not show consistent trends with distance from icebergs. Concentrations of photosynthetic pigments in the guts of E. superba and S. thompsoni corresponded broadly to patterns in surface chlorophyll a concentrations and were comparable to maximum gut pigment concentrations measured in animals collected from highly productive marginal ice zones. Our results suggest that the macrozooplankton and micronekton assemblages near free-drifting icebergs can be quantitatively and qualitatively different from those in surrounding, iceberg-free waters, perhaps due to both bottom-up and top-down processes as well as physical forcing by the passage of a large object through the upper ocean. (C) 2010 Elsevier Ltd. All rights reserved.</t>
  </si>
  <si>
    <t>[Kaufmann, Ronald S.] Univ San Diego, Marine Sci &amp; Environm Studies Dept, San Diego, CA 92110 USA; [Robison, Bruce H.; Sherlock, Rob E.; Reisenbichler, Kim R.] Monterey Bay Aquarium Res Inst, Moss Landing, CA 95039 USA; [Osborn, Karen J.] Univ Calif San Diego, Scripps Inst Oceanog, Div Marine Biol Res, La Jolla, CA 92093 USA</t>
  </si>
  <si>
    <t>University of San Diego; Monterey Bay Aquarium Research Institute; University of California System; University of California San Diego; Scripps Institution of Oceanography</t>
  </si>
  <si>
    <t>Kaufmann, RS (corresponding author), Univ San Diego, Marine Sci &amp; Environm Studies Dept, 5998 Alcala Pk, San Diego, CA 92110 USA.</t>
  </si>
  <si>
    <t>kaufmann@sandiego.edu</t>
  </si>
  <si>
    <t>Osborn, Karen J/E-9222-2011; Osborn, Karen/JCP-4942-2023</t>
  </si>
  <si>
    <t>Osborn, Karen/0000-0002-4226-9257</t>
  </si>
  <si>
    <t>NSF [OPP97-27077, ANT-0529815, ANT-0636723, ANT-0636730, ANT-0636809, ANT-0636813]; David and Lucile Packard Foundation; University of San Diego</t>
  </si>
  <si>
    <t>NSF(National Science Foundation (NSF)); David and Lucile Packard Foundation(The David &amp; Lucile Packard Foundation); University of San Diego</t>
  </si>
  <si>
    <t>We are grateful to personnel from Raytheon Polar Services and Edison Chouest Offshore, as well as the captains and crews of the ARSV Laurence M. Gould and RVIB Nathaniel B. Palmer for their support over the course of this study. Assistance in the collection and processing of trawl samples was provided by S. Bush, D. Garcia, C. Huffard, J. Kinsey, C. Koehler, L Lovell, S. Lowery and K. Noble. Special thanks to A. Townsend, L. Lovell and G. Matsumoto for their assistance with the identification and curation of specimens collected with the MOCNESS. Valuable conversations with M. Vernet, A. Murray, J. Helly and G. Stephenson improved the manuscript greatly. This research was supported by NSF grants OPP97-27077, ANT-0529815, ANT-0636723, ANT-0636730, ANT-0636809 and ANT-0636813, the David and Lucile Packard Foundation, and University of San Diego faculty research grants to R.S. Kaufmann.</t>
  </si>
  <si>
    <t>10.1016/j.dsr2.2010.11.026</t>
  </si>
  <si>
    <t>WOS:000291079800018</t>
  </si>
  <si>
    <t>Melchiorre, M; Coltorti, M; Bonadiman, C; Faccini, B; O'Reilly, SY; Pearson, NJ</t>
  </si>
  <si>
    <t>Melchiorre, Massimiliano; Coltorti, Massimo; Bonadiman, Costanza; Faccini, Barbara; O'Reilly, Suzanne Y.; Pearson, Norman J.</t>
  </si>
  <si>
    <t>The role of eclogite in the rift-related metasomatism and Cenozoic magmatism of Northern Victoria Land, Antarctica</t>
  </si>
  <si>
    <t>Mantle peridotite xenoliths; Eclogites; Lithospheric mantle; West Antarctic Rift System; Re/Os systematics</t>
  </si>
  <si>
    <t>LITHOSPHERIC MANTLE BENEATH; HF ISOTOPE GEOCHEMISTRY; RE-OS; TRANSANTARCTIC MOUNTAINS; PHASE-RELATIONS; PACIFIC MARGIN; CONSTRAINTS; XENOLITHS; EVOLUTION; SYSTEMATICS</t>
  </si>
  <si>
    <t>Sr, Nd, and isotopic analyses of separated clinopyroxenes and in situ Re Os isotopic analysis of sulphides in mantle-peridotite xenoliths from Baker Rocks (BR) and Greene Point (GP), less than 100 km apart in Northern Victoria Land (NVL), Antarctica, provide further constraints on the evolution of the sub-continental lithospheric mantle beneath NVL and suggest that eclogitic reservoirs may have played a role in the metasomatism and magmatism of the area. Most of the BR sulphides have radiogenic Os-187/Os-188 (0.1318-0.379 with Re-187/Os-188 ratios between 0.46 and 3.3), while unradiogenic Os-187/Os-188 characterizes the GP suite (0.1068-0.1279 with Re-187/Os-188 ratios from 0.0002 to 0.045). In BR silicates Sr-87/Sr-86 varies between 0.70296 and 0.70488, Nd-143/Nd-144 lies within a narrow range (0.51271-0.51296), and Hf-176/Hf-177 ranges from 0.28300 to 0.28337. Clinopyroxenes from GP have similar Sr-87/Sr-86 (0.70277 to 0.70434), Nd-143/Nd-144 between 0.51261 and 0.51347, and Hf-176/Hf-177 between 0.28332 and 0.28519. Notwithstanding the rather limited number of sulphides in the GP suite, Os model ages for BR and GP largely overlap. A histogram of TRD (Time of Rhenium Depletion) model ages shows peaks at 3.0-3.3 Ga, 2.3 Ga, 1.3 1.4 Ga, 0.9-1.1 Ga, 580-620 Ma and 120 Ma (the youngest being recorded only at BR). These ages fit reasonably well with the events that affected Antarctica during its geological evolution. The highly radiogenic Os found in the BR xenoliths can be explained through mixing with an eclogitic lithotype. Mafic magmas, now eclogite, may have been introduced into the sublithospheric NVL mantle during the Ross Orogeny (550-600 Ma) or older subduction events and reactivated during the opening of the West Antarctic Rift System. The mixing component will depend on the age of the subducted material. About 15% of recycled Archean material would be necessary in order to account for the most radiogenic Os-isotope values. Based on Hf systematics the most radiogenic Hf in the GP clinopyroxenes could also be explained by adding between 35 and 20% eclogite. However in this locality the possible presence of garnet in the peridotitic domains and successive re-equilibration in the spinet stability field, could also account for the highly radiogenic Hf in the clinopyroxene values. (C) 2010 Elsevier By. All rights reserved.</t>
  </si>
  <si>
    <t>[Melchiorre, Massimiliano; Coltorti, Massimo; Bonadiman, Costanza; Faccini, Barbara] Univ Ferrara, Dept Earth Sci, I-44123 Ferrara, Italy; [O'Reilly, Suzanne Y.; Pearson, Norman J.] Macquarie Univ, GEMOC, Dept Earth &amp; Planetary Sci, N Ryde, NSW 2109, Australia</t>
  </si>
  <si>
    <t>University of Ferrara; Macquarie University</t>
  </si>
  <si>
    <t>Melchiorre, M (corresponding author), Univ Ferrara, Dept Earth Sci, Via Saragat 1, I-44123 Ferrara, Italy.</t>
  </si>
  <si>
    <t>mlcmsm1@unife.it</t>
  </si>
  <si>
    <t>GAU, geochemist/H-1985-2016; O'Reilly, Suzanne Y/A-1315-2008</t>
  </si>
  <si>
    <t>Melchiorre, Massimiliano/0000-0002-6212-4661; Faccini, Barbara/0000-0002-3546-7159; O'Reilly, Suzanne Y/0000-0002-3883-5498</t>
  </si>
  <si>
    <t>1872-6143</t>
  </si>
  <si>
    <t>10.1016/j.lithos.2010.11.012</t>
  </si>
  <si>
    <t>778AQ</t>
  </si>
  <si>
    <t>WOS:000291669800012</t>
  </si>
  <si>
    <t>Cullather, RI; Bosilovich, MG</t>
  </si>
  <si>
    <t>Cullather, Richard I.; Bosilovich, Michael G.</t>
  </si>
  <si>
    <t>The Moisture Budget of the Polar Atmosphere in MERRA</t>
  </si>
  <si>
    <t>SURFACE MASS-BALANCE; GREENLAND ICE-SHEET; ANTARCTIC SNOW ACCUMULATION; ERA-40 REANALYSIS; SOUTHERN-OCEAN; WATER-VAPOR; CLIMATE; PRECIPITATION; VARIABILITY; SIMULATIONS</t>
  </si>
  <si>
    <t>The atmospheric moisture budget from the Modern Era Retrospective-Analysis for Research and Applications (MERRA) is evaluated in polar regions for the period 1979-2005 and compared with previous estimates, accumulation syntheses over polar ice sheets, and in situ Arctic precipitation observations. The system is based on a nonspectral background model and utilizes the incremental analysis update scheme. The annual moisture convergence from MERRA for the north polar cap is comparable to previous estimates using 40-yr European Centre for Medium-Range Weather Forecasts Re-Analysis (ERA-40) and earlier reanalyses but it is more than 50% larger than MERRA precipitation minus evaporation (P-E) computed from physics output fields. This imbalance is comparable to earlier reanalyses for the Arctic. For the south polar cap, the imbalance is 20%. The MERRA physics output fields are also found to be overly sensitive to changes in the satellite observing system, particularly over data-sparse regions of the Southern Ocean. Comparisons between MERRA and prognostic fields from two contemporary reanalyses yield a spread of values from 6% of the mean over the Antarctic Ice Sheet to 61% over a domain of the Arctic Ocean. These issues highlight continued problems associated with the representation of cold-climate physical processes in global data assimilation models. The distribution of MERRA surface fluxes over the major polar ice sheets emphasizes larger values along the coastal escarpments, which agrees more closely with recent assessments of ice sheet accumulation using regional models. Differences between these results and earlier assessments illustrate a continued ambiguity in the surface moisture flux distribution over Greenland and Antarctica. The higher spatial and temporal resolution as well as the availability of all budget components, including analysis increments in MERRA, offer prospects for an improved representation of the high-latitude water cycle in reanalyses.</t>
  </si>
  <si>
    <t>[Cullather, Richard I.] Univ Maryland, Earth Syst Sci interdisciplinary Ctr, College Pk, MD 20742 USA; [Bosilovich, Michael G.] NASA, Goddard Space Flight Ctr, Global Modeling &amp; Assimilat Off, Greenbelt, MD 20771 USA</t>
  </si>
  <si>
    <t>University System of Maryland; University of Maryland College Park; National Aeronautics &amp; Space Administration (NASA); NASA Goddard Space Flight Center</t>
  </si>
  <si>
    <t>Cullather, RI (corresponding author), Univ Maryland Coll Pk, ESSIC, C-O NASA GSFC Code 610-1,8800 Greenbelt Rd, Greenbelt, MD 20771 USA.</t>
  </si>
  <si>
    <t>richard.cullather@nasa.gov</t>
  </si>
  <si>
    <t>Bosilovich, Michael/F-8175-2012</t>
  </si>
  <si>
    <t>NASA</t>
  </si>
  <si>
    <t>NASA(National Aeronautics &amp; Space Administration (NASA))</t>
  </si>
  <si>
    <t>The ERA-I data were obtained from the Data Support Section at the National Center for Atmospheric Research. The CFSR data were obtained from the National Operational Model Archive and Distribution System (NOMADS) at the U.S. National Climatic Data Center. Output model fields from Burgess et al. (2010) were obtained from Byrd Polar Research Center, The Ohio State University, Columbus, Ohio. Dataset Arctic Ocean snow and meteorological observations from drifting stations: 1937, 1950-91, version 1.0, was obtained from the National Snow and Data Center (NSIDC), University of Colorado, Boulder. Digitized Antarctic accumulation map of Arthern et al. (2006) was obtained from British Antarctic Survey (BAS), Cambridge, United Kingdom. The Antarctic accumulation map of van de Berg et al. (2006) was obtained from Le Brocq et al. (2010). This study was funded by grants from the NASA Modeling, Analysis, and Prediction (MAP) Program and the NASA Energy and Water Cycle Study (NEWS) to the second author.</t>
  </si>
  <si>
    <t>10.1175/2010JCLI4090.1</t>
  </si>
  <si>
    <t>776AV</t>
  </si>
  <si>
    <t>WOS:000291507800016</t>
  </si>
  <si>
    <t>Kirkland, CL; Spaggiari, CV; Pawley, MJ; Wingate, MTD; Smithies, RH; Howard, HM; Tyler, IM; Belousova, EA; Poujol, M</t>
  </si>
  <si>
    <t>Kirkland, C. L.; Spaggiari, C. V.; Pawley, M. J.; Wingate, M. T. D.; Smithies, R. H.; Howard, H. M.; Tyler, I. M.; Belousova, E. A.; Poujol, M.</t>
  </si>
  <si>
    <t>On the edge: U-Pb, Lu-Hf, and Sm-Nd data suggests reworking of the Yilgarn craton margin during formation of the Albany-Fraser Orogen</t>
  </si>
  <si>
    <t>PRECAMBRIAN RESEARCH</t>
  </si>
  <si>
    <t>U-Pb; Lu-Hf; Sm-Nd; Zircon; Baddeleyite; Albany-Fraser Orogen; Biranup Zone; Fraser Zone</t>
  </si>
  <si>
    <t>WEST AUSTRALIAN CRATON; GEOCHRONOLOGICAL CONSTRAINTS; ISOTOPE HETEROGENEITY; TECTONIC EVOLUTION; SOUTHERN ALPS; ZIRCON; COMPLEX; SHRIMP; METAMORPHISM; HISTORY</t>
  </si>
  <si>
    <t>The Albany-Fraser Orogen is considered to be a response to Mesoproterozoic continent-continent collision between the combined North and West Australian Cratons and the combined East Antarctic and South Australian Cratons. However, the tectonic history of the orogen and its components remain enigmatic. Recently, the Kepa Kurl Booya Province has been defined as the crystalline basement of the orogen and divided into the Fraser, Biranup, and Nornalup Zones. New geochronology shows that the Biranup Zone includes 1710-1650 Ma granitic to gabbroic intrusions and is a substantial crustal component extending at least 1200 km along the southern and southeastern margins of the Yilgarn Craton. Previous models interpreted the Biranup Zone as an exotic terrane accreted to the Yilgarn Craton during Mesoproterozoic collision, but new data presented here indicate a strong link to the craton margin during the Paleoproterozoic. Proterozoic magmatism commenced in the Biranup Zone at 1708 +/- 15 Ma with metasyenogranite emplacement. This granite has epsilon Hf values of -10 to -8 and whole rock epsilon Nd of -15, consistent with a reworked Archean Yilgarn source. Volcaniclastic deposition in the Biranup Zone occurred at 1689 +/- 6 Ma, and was rapidly followed by granitic intrusion at 1686 +/- 8 Ma. Deformation during the Zanthus Event is constrained by 1676 +/- 6 Ma folded migmatitic leucosomes and 1679 +/- 6 Ma cross-cutting axial planar leucosomes. A younger suite of granitic and gabbroic rocks, which exhibit distinct mingling and hybridization textures, is dated at 1665 +/- 4 Ma. Magmatism in the eastern Biranup Zone displays high-K, calc-alkaline chemistry and a trend towards more juvenile compositions from 1710 to 1650 Ma. Based on the rapidly evolving tectonomagmatic history, modification of the original Yilgarn-like source by juvenile material, and the geochemical evolution of the melts, a feasible tectonic scenario for the Biranup Zone is an arc to back-arc setting on the active Yilgarn Craton margin. Such a model is supported by the 2684 +/- 11 Ma magmatic crystallization age of an isolated Archean fragment, which has clear Yilgarn affinity, within the Biranup Zone. The region was subsequently compressed and tectonically dismembered during Stages I (1345-1260 Ma) and II (1215-1140 Ma) of the Albany-Fraser Orogeny. Stage I was dominated by voluminous mafic and granitic magmatism, represented by the Fraser Zone intrusions and the Recherche Supersuite. Two granites from the Fraser Zone, dated at 1298 +/- 4 Ma, have epsilon Hf values overlapping Biranup Zone compositions, indicative of a reworked Biranup source. The Biranup Zone was dominated by granulite facies metamorphism during Stage II. Zircons from the northeastern edge of the Fraser Zone are overgrown by two generations of zircon rims. The earlier rims, at c. 1270 +/- 11 Ma, are broken and overgrown by a low-uranium fracture-filling phase at 1193 +/- 26 Ma. This indicates uplift and brittle deformation between Stages I and II. Crown Copyright (C) 2011 Published by Elsevier B.V. All rights reserved.</t>
  </si>
  <si>
    <t>[Kirkland, C. L.; Spaggiari, C. V.; Pawley, M. J.; Wingate, M. T. D.; Smithies, R. H.; Howard, H. M.; Tyler, I. M.] Geol Survey Western Australia, Perth, WA 6004, Australia; [Belousova, E. A.] Macquarie Univ, GEMOC, Sydney, NSW 2109, Australia; [Poujol, M.] Univ Rennes 1, Geosci Rennes UMR CNRS 6118, F-35042 Rennes, France</t>
  </si>
  <si>
    <t>Geological Survey of Western Australia; Macquarie University; Universite de Rennes; Centre National de la Recherche Scientifique (CNRS)</t>
  </si>
  <si>
    <t>Kirkland, CL (corresponding author), Geol Survey Western Australia, 100 Plain St, Perth, WA 6004, Australia.</t>
  </si>
  <si>
    <t>kris.kirkland@gmail.com</t>
  </si>
  <si>
    <t>Spaggiari, Catherine/R-6453-2019; Belousova, Elena/JOJ-9926-2023; Poujol, Marc/B-3155-2008; GAU, geochemist/H-1985-2016; Kirkland, Christopher/S-3305-2016</t>
  </si>
  <si>
    <t>Spaggiari, Catherine/0000-0003-1393-3275; Belousova, Elena/0000-0001-9369-4993; Tyler, Ian/0000-0003-1653-3939; Poujol, Marc/0000-0001-8682-2926; Kirkland, Christopher/0000-0003-3367-8961; Belousova, Elena/0000-0003-2315-3520; Wingate, Michael/0000-0003-2528-417X</t>
  </si>
  <si>
    <t>0301-9268</t>
  </si>
  <si>
    <t>1872-7433</t>
  </si>
  <si>
    <t>PRECAMBRIAN RES</t>
  </si>
  <si>
    <t>Precambrian Res.</t>
  </si>
  <si>
    <t>10.1016/j.precamres.2011.03.002</t>
  </si>
  <si>
    <t>776CY</t>
  </si>
  <si>
    <t>WOS:000291513300001</t>
  </si>
  <si>
    <t>White, D; Fülöp, RH; Bishop, P; Mackintosh, A; Cook, G</t>
  </si>
  <si>
    <t>White, Duanne; Fueloep, Reka-Hajnalka; Bishop, Paul; Mackintosh, Andrew; Cook, Gordon</t>
  </si>
  <si>
    <t>Can in-situ cosmogenic 14C be used to assess the influence of clast recycling on exposure dating of ice retreat in Antarctica?</t>
  </si>
  <si>
    <t>QUATERNARY GEOCHRONOLOGY</t>
  </si>
  <si>
    <t>Inheritance; Multiple isotope; Glacier; Accelerator mass spectroscopy</t>
  </si>
  <si>
    <t>PRODUCTION-RATE CALIBRATION; MARIE-BYRD-LAND; EAST ANTARCTICA; BE-10; SHEET; EROSION; AGES; EXTRACTION; RATES; THICKNESS</t>
  </si>
  <si>
    <t>Cosmogenic nuclide exposure dating of glacial clasts is becoming a common and robust method for reconstructing the history of glaciers and ice sheets. In Antarctica, however, many samples exhibit cosmogenic nuclide 'inheritance' as a result of sediment recycling and exposure to cosmic radiation during previous ice free periods. In-situ cosmogenic C-14, in combination with longer lived nuclides such as Be-10, can be used to detect inheritance because the relatively short half-life of C-14 means that in-situ C-14 acquired in exposure during previous interglacials decays away while the sample locality is covered by ice during the subsequent glacial. Measurements of in-situ C-14 in clasts from the last deglaciation of the Framnes Mountains in East Antarctica provide deglaciation ages that are concordant with existing Al-26 and Be-10 ages, suggesting that in this area, the younger population of erratics contain limited inheritance. Crown Copyright (C) 2011 Published by Elsevier B.V. All rights reserved.</t>
  </si>
  <si>
    <t>[White, Duanne] Macquarie Univ, N Ryde, NSW 2109, Australia; [Fueloep, Reka-Hajnalka; Bishop, Paul] Univ Glasgow, Sch Geog &amp; Earth Sci, Glasgow G12 8QQ, Lanark, Scotland; [Fueloep, Reka-Hajnalka; Cook, Gordon] Scottish Univ Environm Res Ctr, E Kilbride G75 0QF, Lanark, Scotland; [Mackintosh, Andrew] Victoria Univ Wellington, Antarctic Res Ctr, Wellington, New Zealand</t>
  </si>
  <si>
    <t>Macquarie University; University of Glasgow; Scottish Universities Research &amp; Reactor Center; Victoria University Wellington</t>
  </si>
  <si>
    <t>White, D (corresponding author), Macquarie Univ, N Ryde, NSW 2109, Australia.</t>
  </si>
  <si>
    <t>wombly@hotmail.com</t>
  </si>
  <si>
    <t>White, Duanne A/E-6919-2012; Cook, Gordon T/E-3056-2010</t>
  </si>
  <si>
    <t>Mackintosh, Andrew/0000-0002-6430-4711; White, Duanne/0000-0003-0740-2072; Fulop, Reka-Hajnalka/0000-0002-3237-0319</t>
  </si>
  <si>
    <t>University of Glasgow; British Geological Survey - Universities Funding Initiative (BUFI); Scottish Universities Consortium; Australian Antarctic Division [AAS1332, AAS1071]; Australian Research Council [DP0556728]; AINSE [AINGRA03048]; Australian Research Council [DP0556728] Funding Source: Australian Research Council</t>
  </si>
  <si>
    <t>University of Glasgow; British Geological Survey - Universities Funding Initiative (BUFI); Scottish Universities Consortium; Australian Antarctic Division; Australian Research Council(Australian Research Council); AINSE; Australian Research Council(Australian Research Council)</t>
  </si>
  <si>
    <t>R-HF is funded by a University of Glasgow Postgraduate Scholarship and a British Geological Survey - Universities Funding Initiative (BUFI) award. SUERC is supported by the Scottish Universities Consortium. In-situ 14C samples were analysed with the assistance of an Australian Academy of Science. Samples were collected with support from the Australian Antarctic Division (AAS1332 &amp;AAS1071) and the Australian Research Council (DP0556728). Initial sample processing was funded by AINSE (AINGRA03048). We also thank B. Wagner and two anonymous reviewers for comments on a previous version of this manuscript.</t>
  </si>
  <si>
    <t>1871-1014</t>
  </si>
  <si>
    <t>1878-0350</t>
  </si>
  <si>
    <t>QUAT GEOCHRONOL</t>
  </si>
  <si>
    <t>Quat. Geochronol.</t>
  </si>
  <si>
    <t>JUN-AUG</t>
  </si>
  <si>
    <t>10.1016/j.quageo.2011.03.004</t>
  </si>
  <si>
    <t>776YB</t>
  </si>
  <si>
    <t>WOS:000291576000001</t>
  </si>
  <si>
    <t>Bond, M; Kramarz, A; Macphee, RDE; Reguero, M</t>
  </si>
  <si>
    <t>Bond, Mariano; Kramarz, Alejandro; Macphee, Ross D. E.; Reguero, Marcelo</t>
  </si>
  <si>
    <t>A new astrapothere (Mammalia, Meridiungulata) from La Meseta Formation, Seymour (Marambio) Island, and a reassessment of previous records of Antarctic astrapotheres</t>
  </si>
  <si>
    <t>AMERICAN MUSEUM NOVITATES</t>
  </si>
  <si>
    <t>EOCENE; LITOPTERNA; PATAGONIA</t>
  </si>
  <si>
    <t>During the past quarter century, the uplifted nearshore sediments comprising the Eocene La Meseta Formation (LMF) of Seymour (Marambio) Island have produced a diverse assemblage of terrestrial mammals that closely, but not exactly, resembles late Early Eocene faunas from southern Patagonia. This assemblage includes the only astrapothere and litoptern fossils known from outside South America. The occurrence of astrapotheres in LMF was originally indicated by fragmentary dental remains tentatively referred to family Trigonostylopidae on the basis of their general resemblance to the Patagonian genus Trigonostylops Ameghino. In this contribution we describe a new astrapothere specimen from LMF; unlike specimens collected previously, this one is a complete and excellently preserved lower cheek tooth, providing a basis for a review of all previous records of Astrapotheria from this formation. This tooth (probably p4 rather than m1) is sufficiently distinct from all other known astrapothere cheek teeth to warrant assignment to a new genus and species, Antarctodon sobrali. It has a transversally elongated entoconid, resembling that observed in at least one specimen of the Mustersan genus Astraponotus, but the tooth as a whole is much lower crowned and less lophodont than in the latter. Phylogenetic analysis suggests that Antarctodon is closer to genera classified by previous authors as astrapotheriids (e.g., Albertogaudrya and Tetragonostylops) than it is to Trigonostylops. Reexamination of other LMF specimens previously referred to Trigonostylopidae reveals that some specimens are attributable to this new taxon and others either are not astrapotheres at all or lack distinctive features. Consequently, at present the record of order Astrapotheria in Antarctica should be considered as restricted to non-trigonostylopids.</t>
  </si>
  <si>
    <t>[Bond, Mariano; Reguero, Marcelo] Consejo Nacl Invest Cient &amp; Tecn, RA-1900 La Plata, Argentina; [Kramarz, Alejandro] Consejo Nacl Invest Cient &amp; Tecn, RA-1033 Buenos Aires, DF, Argentina; [Kramarz, Alejandro] Museo Argentino Ciencias Nat Bernardino Rivadavia, Secc Paleontol Vertebrados, Buenos Aires, DF, Argentina; [Macphee, Ross D. E.] Amer Museum Nat Hist, Div Vertebrate Zool Mamal, New York, NY 10024 USA; [Bond, Mariano; Reguero, Marcelo] Museo La Plata, Dept Paleontol Vertebrados, RA-1900 La Plata, Argentina</t>
  </si>
  <si>
    <t>Consejo Nacional de Investigaciones Cientificas y Tecnicas (CONICET); Consejo Nacional de Investigaciones Cientificas y Tecnicas (CONICET); Museo Argentino de Ciencias Naturales Bernardino Rivadavia (MACN); American Museum of Natural History (AMNH); National University of La Plata; Museo La Plata</t>
  </si>
  <si>
    <t>Bond, M (corresponding author), Consejo Nacl Invest Cient &amp; Tecn, Paseo del Bosque S-Nro, RA-1900 La Plata, Argentina.</t>
  </si>
  <si>
    <t>Reguero, Marcelo A./JHS-4893-2023</t>
  </si>
  <si>
    <t>PICT [0365]; NSF [OPP ANT 0636639]</t>
  </si>
  <si>
    <t>PICT(ANPCyT); NSF(National Science Foundation (NSF))</t>
  </si>
  <si>
    <t>We are pleased to acknowledge the Instituto Antartico Argentino and Fuerza Aerea Argentina for providing logistical support for our Antarctic fieldwork. We also have benefited from the collaborative efforts of Juan Jose Moly, Sergio N. Santillana, and Virginia Villamayor (prospecting and picking in the field). Part of this study was funded by PICT (Grant 0365 to M.A.R.); R.D.E.M.'s participation in this research was made possible by grant NSF OPP ANT 0636639. We thank E. Ruigomez (MPEF), J. Flynn (AMNH), and M. Tejedor (LIEB) for access to materials under their care. Drawings were made by the artist Jorge Gonzalez.</t>
  </si>
  <si>
    <t>AMER MUSEUM NATURAL HISTORY</t>
  </si>
  <si>
    <t>ATTN: LIBRARY-SCIENTIFIC PUBLICATIONS DISTRIBUTION, CENTRAL PK WEST AT 79TH ST, NEW YORK, NY 10024-5192 USA</t>
  </si>
  <si>
    <t>0003-0082</t>
  </si>
  <si>
    <t>1937-352X</t>
  </si>
  <si>
    <t>AM MUS NOVIT</t>
  </si>
  <si>
    <t>Am. Mus. Novit.</t>
  </si>
  <si>
    <t>10.1206/3718.2</t>
  </si>
  <si>
    <t>Biodiversity Conservation; Zoology</t>
  </si>
  <si>
    <t>Biodiversity &amp; Conservation; Zoology</t>
  </si>
  <si>
    <t>773QR</t>
  </si>
  <si>
    <t>Green Submitted, Green Published</t>
  </si>
  <si>
    <t>WOS:000291323700001</t>
  </si>
  <si>
    <t>Bell, TH; Yergeau, E; Martineau, C; Juck, D; Whyte, LG; Greer, CW</t>
  </si>
  <si>
    <t>Bell, Terrence H.; Yergeau, Etienne; Martineau, Christine; Juck, David; Whyte, Lyle G.; Greer, Charles W.</t>
  </si>
  <si>
    <t>Identification of Nitrogen-Incorporating Bacteria in Petroleum-Contaminated Arctic Soils by Using [15N]DNA-Based Stable Isotope Probing and Pyrosequencing</t>
  </si>
  <si>
    <t>APPLIED AND ENVIRONMENTAL MICROBIOLOGY</t>
  </si>
  <si>
    <t>HYDROCARBON DEGRADATION; CAULOBACTER-CRESCENTUS; MICROBIAL COMMUNITIES; PHYLOGENETIC ANALYSIS; LOW-TEMPERATURES; ANTARCTIC SOILS; BIOREMEDIATION; DNA; DIVERSITY; OIL</t>
  </si>
  <si>
    <t>Arctic soils are increasingly susceptible to petroleum hydrocarbon contamination, as exploration and exploitation of the Arctic increase. Bioremediation in these soils is challenging due to logistical constraints and because soil temperatures only rise above 0 degrees C for similar to 2 months each year. Nitrogen is often added to contaminated soil in situ to stimulate the existing microbial community, but little is known about how the added nutrients are used by these microorganisms. Microbes vary widely in their ability to metabolize petroleum hydrocarbons, so the question becomes: which hydrocarbon-degrading microorganisms most effectively use this added nitrogen for growth? Using [N-15] DNA-based stable isotope probing, we determined which taxonomic groups most readily incorporated nitrogen from the monoammonium phosphate added to contaminated and uncontaminated soil in Canadian Forces Station-Alert, Nunavut, Canada. Fractions from each sample were amplified with bacterial 16S rRNA and alkane monooxygenase B ( alkB) gene-specific primers and then sequenced using lage-scale parallel-pyrosequencing. Sequence data was combined with 16S rRNA and alkB gene C quantitative PCR data to measure the presence of various phylogenetic groups in fractions at different buoyant densities. Several families of Proteobacteria and Actinobacteria that are directly involved in petroleum degradation incorporated the added nitrogen in contaminated soils, but it was the DNA of Sphingomonadaceae that was most enriched in 15N. Bacterial growth in uncontaminated soils was not stimulated by nutrient amendment. Our results suggest that nitrogen uptake efficiency differs between bacterial groups in contaminated soils. A better understanding of how groups of hydrocarbon-degraders contribute to the catabolism of petroleum will facilitate the design of more targeted bioremediation treatments.</t>
  </si>
  <si>
    <t>[Bell, Terrence H.; Yergeau, Etienne; Martineau, Christine; Juck, David; Greer, Charles W.] Natl Res Council Canada, Biotechnol Res Inst, Montreal, PQ H4P 2R2, Canada; [Bell, Terrence H.; Martineau, Christine; Whyte, Lyle G.] McGill Univ, Dept Nat Resource Sci, Ste Anne De Bellevue, PQ, Canada</t>
  </si>
  <si>
    <t>National Research Council Canada; McGill University</t>
  </si>
  <si>
    <t>Greer, CW (corresponding author), Natl Res Council Canada, Biotechnol Res Inst, 6100 Royalmount Ave, Montreal, PQ H4P 2R2, Canada.</t>
  </si>
  <si>
    <t>charles.greer@cnrc-nrc.gc.ca</t>
  </si>
  <si>
    <t>Yergeau, Etienne/B-5344-2008; Bell, Terrence/B-7910-2011; Yergeau, Etienne/AAZ-6145-2020</t>
  </si>
  <si>
    <t>Yergeau, Etienne/0000-0002-7112-3425; Bell, Terrence/0000-0003-3603-7270; Martineau, Christine/0000-0003-2020-2657</t>
  </si>
  <si>
    <t>NRCan PERD Program</t>
  </si>
  <si>
    <t>This study was financially supported by the NRCan PERD Program. We thank the staff at CFS-Alert, Drew Craig, Don Kovanen, Diane Labbe, Sylvie Sanschagrin, Claude Masson, Josee Sirois, and Julie Champagne for their technical advice and support with this project.</t>
  </si>
  <si>
    <t>AMER SOC MICROBIOLOGY</t>
  </si>
  <si>
    <t>1752 N ST NW, WASHINGTON, DC 20036-2904 USA</t>
  </si>
  <si>
    <t>0099-2240</t>
  </si>
  <si>
    <t>APPL ENVIRON MICROB</t>
  </si>
  <si>
    <t>Appl. Environ. Microbiol.</t>
  </si>
  <si>
    <t>10.1128/AEM.00172-11</t>
  </si>
  <si>
    <t>773WI</t>
  </si>
  <si>
    <t>WOS:000291341800030</t>
  </si>
  <si>
    <t>Malumián, N; Náñez, C</t>
  </si>
  <si>
    <t>Malumian, Norberto; Nanez, Carolina</t>
  </si>
  <si>
    <t>The Late Cretaceous-Cenozoic transgressions in Patagonia and the Fuegian Andes: foraminifera, palaeoecology, and palaeogeography</t>
  </si>
  <si>
    <t>BIOLOGICAL JOURNAL OF THE LINNEAN SOCIETY</t>
  </si>
  <si>
    <t>Argentinean continental Platform; Austral geobioprovince; Endemism; foraminiferal turnover; Maastrichtian; Tertiary; sea level change; palaeoceanography</t>
  </si>
  <si>
    <t>TIERRA-DEL-FUEGO; CONTINENTAL-SHELF; FORE-ARC; PALEOGENE; OLIGOCENE; AUSTRALIA; ARGENTINA; NEOGENE; ISLAND</t>
  </si>
  <si>
    <t>In southernmost South America, several ephemeral Atlantic transgressions flooded the Patagonian Platform: in the Maastrichtian-Danian, late Mid-Eocene, Late Oligocene-Early Miocene, and Middle Miocene; only in the Fuegian Andes did marine conditions remain continuously from the Maastrichtian up to the Middle Miocene. In the Maastrichtian, the calcareous foraminiferal benthic assemblages contain endemic species, and most of them disappear in the Cretaceous-Palaeogene transition. The Palaeocene carries the extinct cosmopolitan Midway type assemblage with few endemic taxa such as Buliminella isabelleana, and the genera Antarcticella and Boltovskoyella. The Palaeocene/ Eocene turnover gives room to assemblages of modern and marked Austral aspect: Elphidiidae dominates in shallow environments, including genera endemic to high and mid-high southern latitudes such as Cribrorotalia. The Late Middle Eocene transgression is characterized by large nodosarids in the Fuegian area and the spreading of Elphidium saginatum. The Late Oligocene transgression is of limited extension and shallow waters, with abundant Buccella and the conspicuous genus Discorotalia. The Early Miocene transgression carries the extinct and typical Antarctic genus Ammoelphidiella and witnesses the origin of the modern Patagonian coastal assemblage, characterized by its pauperism and the dominance of the genus Buccella. The Middle Miocene transgression covers mainly northern Argentina. Considering that the late Middle Eocene and Middle Miocene transgressions are coeval with relative climatic optima, and in comparison with assemblages at similar palaeolatitudes elsewhere in the Southern Hemisphere, the absence of larger foraminifera or thermophilic forms in the Patagonian and Fuegian assemblages is outstanding. (C) 2011 The Linnean Society of London, Biological Journal of the Linnean Society, 2011, 103, 269-288.</t>
  </si>
  <si>
    <t>[Malumian, Norberto; Nanez, Carolina] CONICET SEGEMAR, Buenos Aires, DF, Argentina</t>
  </si>
  <si>
    <t>Consejo Nacional de Investigaciones Cientificas y Tecnicas (CONICET)</t>
  </si>
  <si>
    <t>Malumián, N (corresponding author), CONICET SEGEMAR, Benjamin Lavaisse 1194 C1107 BJD, Buenos Aires, DF, Argentina.</t>
  </si>
  <si>
    <t>n.malumian@yahoo.com</t>
  </si>
  <si>
    <t>0024-4066</t>
  </si>
  <si>
    <t>1095-8312</t>
  </si>
  <si>
    <t>BIOL J LINN SOC</t>
  </si>
  <si>
    <t>Biol. J. Linnean Soc.</t>
  </si>
  <si>
    <t>10.1111/j.1095-8312.2011.01649.x</t>
  </si>
  <si>
    <t>Evolutionary Biology</t>
  </si>
  <si>
    <t>771MO</t>
  </si>
  <si>
    <t>WOS:000291162800004</t>
  </si>
  <si>
    <t>Cavallotto, JL; Violante, RA; Hernández-Molina, FJ</t>
  </si>
  <si>
    <t>Luis Cavallotto, Jose; Antonio Violante, Roberto; Javier Hernandez-Molina, Francisco</t>
  </si>
  <si>
    <t>Geological aspects and evolution of the Patagonian continental margin</t>
  </si>
  <si>
    <t>Argentina; margin evolution; palaeoceanography; Patagonia; shelf; slope</t>
  </si>
  <si>
    <t>LAST GLACIAL MAXIMUM; TIERRA-DEL-FUEGO; ANTARCTIC PENINSULA; ARGENTINE BASIN; PACIFIC MARGIN; SOUTH-AMERICA; SHELF; OCEAN; CIRCULATION; CHRONOLOGY</t>
  </si>
  <si>
    <t>El Margen Continental Patagonico guarda gran parte de los registros de eventos tectonicos, sedimentarios, climaticos y oceanograficos que participaron en la evolucion de la region Patagonica y del Atlantico Suroccidental. Su conocimiento es esencial para comprender cabalmente la geologia y biodiversidad de Patagonia. Los rasgos geotectonicos y morfosedimentarios regionales se caracterizan por diferentes tipos de margenes continentales (pasivo, transcurrente y transpresivo), en cada uno los cuales sus elementos constituyentes, la plataforma, el talud y la emersion, adquieren configuraciones morfologicas y sedimentarias particulares. Las caracteristicas de las secuencias estratigraficas y sus discontinuidades documentan las distintas etapas de evolucion del margen y los procesos mayores intervinientes. Se analizan y describen los eventos tectonicos, palaeoclimaticos y palaeoceanograficos de extension regional que caracterizaron a la region desde la apertura de Gondwana hasta el Cuaternario y condicionaron sus aspectos morfosedimentarios. Se concluye que la region evoluciono en tres etapas mayores de acuerdo al predominio de diferentes factores: 1) etapa dominada por factores endogenos, ocurrida en tiempos Mesozoicos, cuando los procesos mayores fueron la tectonica de placas y la apertura oceanica; 2) etapa transicional, en el Terciario bajo, cuando el proto-Oceano Atlantico ya comenzaba a evolucionar hacia un mar abierto y los factores condicionantes climatico-oceanograficos se hicieron al menos tan importantes como los tectonicos; 3) etapa dominada por factores exogenos, ocurrida en tiempos post-Oligocenos, cuando el Oceano Atlantico ya estaba definitivamente instalado y la circulacion de las corrientes oceanicas influencio las caracteristicas de los ambientes sedimentarios; esta etapa culmino en el Cuaternario cuando las fluctuaciones glacioeustaticas le dieron a la region su configuracion actual.</t>
  </si>
  <si>
    <t>[Luis Cavallotto, Jose; Antonio Violante, Roberto] Serv Hidrog Naval, Secc Geol Marina, Div Geol &amp; Geofis Marina, Buenos Aires, DF, Argentina; [Javier Hernandez-Molina, Francisco] Univ Vigo, Fac Ciencias Mar, Vigo 36200, Spain</t>
  </si>
  <si>
    <t>Servicio de Hidrografia Naval; Universidade de Vigo</t>
  </si>
  <si>
    <t>Cavallotto, JL (corresponding author), Serv Hidrog Naval, Secc Geol Marina, Div Geol &amp; Geofis Marina, Dr Gerardo Parker Ave Montes de Oca 2124,C1270ABV, Buenos Aires, DF, Argentina.</t>
  </si>
  <si>
    <t>jlcavallotto@hidro.gov.ar</t>
  </si>
  <si>
    <t>10.1111/j.1095-8312.2011.01683.x</t>
  </si>
  <si>
    <t>WOS:000291162800009</t>
  </si>
  <si>
    <t>Zhou, BT</t>
  </si>
  <si>
    <t>Zhou BoTao</t>
  </si>
  <si>
    <t>Linkage between winter sea surface temperature east of Australia and summer precipitation in the Yangtze River valley and a possible physical mechanism</t>
  </si>
  <si>
    <t>sea surface temperature east of Australia; summer precipitation; Yangtze River valley; teleconnection; physical mechanism</t>
  </si>
  <si>
    <t>TROPICAL WESTERN PACIFIC; INTERANNUAL VARIABILITY; INDIAN-OCEAN; ANTARCTIC OSCILLATION; MONSOON RAINFALL; CIRCULATION; CHINA; ASSOCIATIONS; HEMISPHERE; RELEVANCE</t>
  </si>
  <si>
    <t>The relationship between winter sea surface temperature (SST) east of Australia and summer precipitation in the Yangtze River valley and a possibly related physical mechanism were investigated using observation data. It is found that winter SST east of Australia is correlated positively to summer precipitation in the Yangtze River valley. When the SST east of Australia becomes warmer in winter, the western Pacific subtropical high and the East Asian westerly jet tend to shift southward the following summer, concurrent with low-level southwesterly anomalies over eastern China. These conditions favor precipitation increase in the Yangtze River valley, whereas the opposite conditions favor precipitation decrease. The influence of winter SST east of Australia on East Asian summer atmospheric circulations may occur in two ways. First, by an anomalous SST signal east of Australia in winter that persists through the following summer, thus affecting East Asian atmospheric circulations via the inter-hemispheric teleconnection. Second, when the SST east of Australia is warmer in winter, higher SST appears simultaneously in the southwest Indian Ocean and subsequently develops eastward by local air-sea interaction. As a result, the SST in the Maritime Continent increases in summer, which may lead to an anomalous change in East Asian summer atmospheric circulations through its impact on convection.</t>
  </si>
  <si>
    <t>China Meteorol Adm, Natl Climate Ctr, Beijing 100081, Peoples R China</t>
  </si>
  <si>
    <t>China Meteorological Administration</t>
  </si>
  <si>
    <t>Zhou, BT (corresponding author), China Meteorol Adm, Natl Climate Ctr, Beijing 100081, Peoples R China.</t>
  </si>
  <si>
    <t>zhoubt@cma.gov.cn</t>
  </si>
  <si>
    <t>Special Fund for Public Welfare Industry (Meteorology) [GYHY200906018]; National Natural Science Foundation of China [40805029]; National Basic Research Program of China [2009CB421407, 2010CB950304]</t>
  </si>
  <si>
    <t>Special Fund for Public Welfare Industry (Meteorology); National Natural Science Foundation of China(National Natural Science Foundation of China (NSFC)); National Basic Research Program of China(National Basic Research Program of China)</t>
  </si>
  <si>
    <t>This work was supported by the Special Fund for Public Welfare Industry (Meteorology) (GYHY200906018), the National Natural Science Foundation of China (40805029) and the National Basic Research Program of China (2009CB421407 and 2010CB950304).</t>
  </si>
  <si>
    <t>10.1007/s11434-011-4497-9</t>
  </si>
  <si>
    <t>772TM</t>
  </si>
  <si>
    <t>WOS:000291259300009</t>
  </si>
  <si>
    <t>Terray, P</t>
  </si>
  <si>
    <t>Terray, Pascal</t>
  </si>
  <si>
    <t>Southern Hemisphere extra-tropical forcing: a new paradigm for El Nino-Southern Oscillation</t>
  </si>
  <si>
    <t>ENSO; Southern Hemisphere; Long-range predictability; Ocean-atmosphere interactions</t>
  </si>
  <si>
    <t>SEA-SURFACE TEMPERATURE; ANTARCTIC CIRCUMPOLAR WAVE; LOW-FREQUENCY VARIABILITY; OCEAN-ATMOSPHERE MODEL; INDIAN-OCEAN; LEVEL PRESSURE; INTERACTIVE FEEDBACK; COUPLED VARIABILITY; ENSO VARIABILITY; ATLANTIC OCEANS</t>
  </si>
  <si>
    <t>The main goal of this paper is to shed additional light on the reciprocal dynamical linkages between mid-latitude Southern Hemisphere climate and the El Nio-Southern Oscillation (ENSO) signal. While our analysis confirms that ENSO is a dominant source of interannual variability in the Southern Hemisphere, it is also suggested here that subtropical dipole variability in both the Southern Indian and Atlantic Oceans triggered by Southern Hemisphere mid-latitude variability may also provide a controlling influence on ENSO in the equatorial Pacific. This subtropical forcing operates through various coupled air-sea feedbacks involving the propagation of subtropical sea surface temperature (SST) anomalies into the deep tropics of the Atlantic and Indian Oceans from boreal winter to boreal spring and a subsequent dynamical atmospheric response to these SST anomalies linking the three tropical basins at the beginning of the boreal spring. This atmospheric response is characterized by a significant weakening of the equatorial Atlantic and Indian Inter-Tropical Convergence Zone (ITCZ). This weakened ITCZ forces an equatorial cold Kelvin wave response in the middle to upper troposphere that extends eastward from the heat sink regions into the western Pacific. By modulating the vertical temperature gradient and the stability of the atmosphere over the equatorial western Pacific Ocean, this Kelvin wave response promotes persistent zonal wind and convective anomalies over the western equatorial Pacific, which may trigger El Nio onset at the end of the boreal winter. These different processes explain why South Atlantic and Indian subtropical dipole time series indices are highly significant precursors of the Nio34 SST index several months in advance before the El Nio onset in the equatorial Pacific. This study illustrates that the atmospheric internal variability in the mid-latitudes of the Southern Hemisphere may significantly influence ENSO variability. However, this surprising relationship is observed only during recent decades, after the so-called 1976/1977 climate regime shift, suggesting a possible linkage with global warming or decadal fluctuations of the climate system.</t>
  </si>
  <si>
    <t>Univ Paris 06, LOCEAN IPSL, IRD CNRS UPMC MNHN, F-75252 Paris 05, France</t>
  </si>
  <si>
    <t>Museum National d'Histoire Naturelle (MNHN); Centre National de la Recherche Scientifique (CNRS); Sorbonne Universite</t>
  </si>
  <si>
    <t>Terray, P (corresponding author), Univ Paris 06, LOCEAN IPSL, IRD CNRS UPMC MNHN, BP100,4 Pl Jussieu, F-75252 Paris 05, France.</t>
  </si>
  <si>
    <t>terray@locean-ipsl.upmc.fr</t>
  </si>
  <si>
    <t>terray, Pascal/0000-0002-3982-6630</t>
  </si>
  <si>
    <t>Indo-French CEFIPRA project [3907/1]; French program Les Enveloppes Fluides et l'Environnement''; ENSEMBLES European project [GOCE-CT-2003-505539]</t>
  </si>
  <si>
    <t>Indo-French CEFIPRA project; French program Les Enveloppes Fluides et l'Environnement''; ENSEMBLES European project</t>
  </si>
  <si>
    <t>The comments of two anonymous reviewers and the Editor, Ben Kirtman, improved the paper. Financial support from the Indo-French CEFIPRA project (No. 3907/1), the French program Les Enveloppes Fluides et l'Environnement'' (LEFE: project MISSTERRE) and the ENSEMBLES European project (contract GOCE-CT-2003-505539) are acknowledged. The Hadley SLP and SST, NCAR/NCEP reanalysis and NOAA OLR datasets were provided by the NOAA/OAR/ESRL PSD, Boulder, Colorado, USA, from their website at URL: http://www.cdc.noaa.gov/. The OAFLUX products are obtained from the Woods Hole Oceanographic Institute through ftp://ftp.whoi.edu/pub/science/oaflux/data. Graphics have been prepared using the SAXO package of Sebastien Masson.</t>
  </si>
  <si>
    <t>10.1007/s00382-010-0825-z</t>
  </si>
  <si>
    <t>771NK</t>
  </si>
  <si>
    <t>WOS:000291165900010</t>
  </si>
  <si>
    <t>Delaygue, G; Bard, E</t>
  </si>
  <si>
    <t>Delaygue, Gilles; Bard, Edouard</t>
  </si>
  <si>
    <t>An Antarctic view of Beryllium-10 and solar activity for the past millennium</t>
  </si>
  <si>
    <t>Beryllium-10; Solar activity; Ice cores; Antarctica; Paleoclimate</t>
  </si>
  <si>
    <t>COSMIC-RAY INTENSITY; ISOTOPE COMPOSITION; VOSTOK STATION; POLAR ICE; DOME-FUJI; MODULATION; RADIOCARBON; CORE; SNOW; RECONSTRUCTION</t>
  </si>
  <si>
    <t>Beryllium-10 in ice provides a valuable proxy of solar activity. However, complex production pathways, atmospheric transport, and deposition processes impede its quantitative interpretation. Here, we examine the influence of deposition processes on two Be-10 ice core records from Central Antarctica (South Pole and Dome Fuji stations), covering the last millennium. We try to quantify how Be-10 variations in ice relate to variations in Be-10 production, and the bias associated to this relationship. An independent bias estimation is provided by comparing atmospheric radiocarbon variations reconstructed from tree rings and deduced from Be-10 variations. Both techniques suggest an uncertainty of the order of 10% in Be-10 production. This uncertainty estimate does not account for the geographical origin of Be-10, which remains a major issue. Because both Be-10 records are so similar, we propose to average them as a means to decrease the unshared (non solar) variability. This average record provides a new reconstruction of solar modulation parameter I broken vertical bar and total solar irradiance over the last similar to 1,300 years. The lowest solar activity is found during the so-called Sporer Minimum (around AD 1450). The highest activities are found during the 8th century and over the last decades: as shown in previous studies, our results suggest that the recent solar activity is not exceptionally high for the last millennium.</t>
  </si>
  <si>
    <t>[Delaygue, Gilles; Bard, Edouard] Univ Aix Marseille 3, CNRS, IRD, Coll France,CEREGE, F-13545 Aix En Provence 4, France</t>
  </si>
  <si>
    <t>Institut de Recherche pour le Developpement (IRD); Aix-Marseille Universite; Centre National de la Recherche Scientifique (CNRS); Universite PSL; College de France</t>
  </si>
  <si>
    <t>Delaygue, G (corresponding author), Univ Grenoble 1, CNRS, LGGE, 54 Rue Moliere, F-38402 St Martin Dheres, France.</t>
  </si>
  <si>
    <t>delaygue@lgge.obs.ujf-grenoble.fr</t>
  </si>
  <si>
    <t>Bard, Edouard/G-7717-2014</t>
  </si>
  <si>
    <t>Delaygue, Gilles/0000-0002-2412-9736</t>
  </si>
  <si>
    <t>Agence Nationale de la Recherche (ANR) [ANR-09-BLAN-0003-01]; Agence Nationale de la Recherche (ANR) [ANR-09-BLAN-0003] Funding Source: Agence Nationale de la Recherche (ANR)</t>
  </si>
  <si>
    <t>Agence Nationale de la Recherche (ANR)(Agence Nationale de la Recherche (ANR)); Agence Nationale de la Recherche (ANR)(Agence Nationale de la Recherche (ANR))</t>
  </si>
  <si>
    <t>We are indebted to Dr. Horiuchi for providing us the Dome Fuji 10Be data and for some comments, and to the reviewers for their constructive comments and careful language corrections. This study is a contribution to the VOLSOL project (ANR-09-BLAN-0003-01) funded by Agence Nationale de la Recherche (ANR).</t>
  </si>
  <si>
    <t>10.1007/s00382-010-0795-1</t>
  </si>
  <si>
    <t>WOS:000291165900011</t>
  </si>
  <si>
    <t>Varela, MM; van Aken, HM; Sintes, E; Reinthaler, T; Herndl, GJ</t>
  </si>
  <si>
    <t>Varela, Marta M.; van Aken, Hendrik M.; Sintes, Eva; Reinthaler, Thomas; Herndl, Gerhard J.</t>
  </si>
  <si>
    <t>Contribution of Crenarchaeota and Bacteria to autotrophy in the North Atlantic interior</t>
  </si>
  <si>
    <t>IN-SITU HYBRIDIZATION; PLANKTONIC ARCHAEA; WATERS; NITRIFICATION; ASSIMILATION; GENES; OCEAN</t>
  </si>
  <si>
    <t>Marine Crenarchaeota are among the most abundant groups of prokaryotes in the ocean and recent reports suggest that they oxidize ammonia as an energy source and inorganic carbon as carbon source, while other studies indicate that Crenarchaeota use organic carbon and hence, live heterotrophically. We used catalysed reporter deposition fluorescence in situ hybridization (CARD-FISH) to determine the crenarchaeal and bacterial contribution to total prokaryotic abundance in the (sub) tropical Atlantic. Bacteria contributed similar to 50% to total prokaryotes throughout the water column. Marine Crenarchaeota Group I (MCGI) accounted for similar to 5% of the prokaryotes in subsurface waters (100 m depth) and between 10 and 20% in the oxygen minimum layer (250-500 m depth) and deep waters (North East Atlantic Deep Water). The fraction of both MCGI and Bacteria fixing inorganic carbon, determined by combining microautoradiography with CARD-FISH (MICRO-CARD-FISH), decreased with depth, ranging from similar to 30% in the oxygen minimum zone to &lt; 10% in the intermediate waters (Mediterranean Sea Outflow Water, Antarctic Intermediate Water). In the deeper water masses, however, MCGI were not taking up inorganic carbon. Using quantitative MICRO-CARD-FISH to determine autotrophy activity on a single cell level revealed that MCGI are incorporating inorganic carbon (0.002-0.1 fmol C cell(-1) day(-1)) at a significantly lower rate than Bacteria (0.01-0.6 fmol C cell(-1) day(-1)). Hence, it appears that MCGI contribute substantially less to autotrophy than Bacteria. Taking the stoichiometry of nitrification together with our findings suggests that MCGI might not dominate the ammonia oxidation step in the mesopelagic waters of the ocean to that extent as the reported dominance of archaeal over bacterial amoA would suggest.</t>
  </si>
  <si>
    <t>[Sintes, Eva; Reinthaler, Thomas; Herndl, Gerhard J.] Univ Vienna, Fac Ctr Ecol, Dept Marine Biol, A-1090 Vienna, Austria; [Varela, Marta M.; Sintes, Eva; Reinthaler, Thomas; Herndl, Gerhard J.] Royal Netherlands Inst Sea Res NIOZ, Dept Biol Ocenog, NL-1790 AB Den Burg, Netherlands; [van Aken, Hendrik M.] Royal Netherlands Inst Sea Res NIOZ, Dept Phys Oceanog, NL-1790 AB Den Burg, Netherlands</t>
  </si>
  <si>
    <t>University of Vienna; Utrecht University; Royal Netherlands Institute for Sea Research (NIOZ); Utrecht University; Royal Netherlands Institute for Sea Research (NIOZ)</t>
  </si>
  <si>
    <t>Herndl, GJ (corresponding author), Univ Vienna, Fac Ctr Ecol, Dept Marine Biol, Althanstr 14, A-1090 Vienna, Austria.</t>
  </si>
  <si>
    <t>gerhard.herndl@univie.ac.at</t>
  </si>
  <si>
    <t>Reinthaler, Thomas/E-6563-2013; Varela, Marta M/B-2918-2019; Herndl, Gerhard J./B-1513-2013; Herndl, Gerhard J./S-3011-2019; Sintes, Eva/H-8494-2015</t>
  </si>
  <si>
    <t>Reinthaler, Thomas/0000-0003-3881-3122; Varela, Marta M/0000-0002-4412-4449; Herndl, Gerhard J./0000-0002-2223-2852; Sintes, Eva/0000-0002-7408-5647</t>
  </si>
  <si>
    <t>Spanish Ministry of Science and Technology [EX2005/0102]; European Community [MEIF-CT-2005-023729]; Earth and Life Science Division of the Dutch Science Foundation [835.20.023]; European Union</t>
  </si>
  <si>
    <t>Spanish Ministry of Science and Technology(Spanish Government); European Community; Earth and Life Science Division of the Dutch Science Foundation; European Union(European Union (EU))</t>
  </si>
  <si>
    <t>We thank the captain and crew of the R/V Pelagia for their help during work at sea. This research was supported by a postdoctoral Fellowship of the Spanish Ministry of Science and Technology (EX2005/0102) and a Marie Curie Fellowship of the European Community (MEIF-CT-2005-023729) to M.M.V. and a grant of the Earth and Life Science Division of the Dutch Science Foundation (ARCHIMEDES project, 835.20.023) to G.J.H. The work was carried out within the frame of the 'Networks of Excellence' MarBef and EurOceans supported by the 6th Framework Program of the European Union.</t>
  </si>
  <si>
    <t>10.1111/j.1462-2920.2011.02457.x</t>
  </si>
  <si>
    <t>772WN</t>
  </si>
  <si>
    <t>WOS:000291268900013</t>
  </si>
  <si>
    <t>Pautler, BG; Simpson, AJ; Simpson, MJ; Tseng, LH; Spraul, M; Dubnick, A; Sharp, MJ; Fitzsimons, SJ</t>
  </si>
  <si>
    <t>Pautler, Brent G.; Simpson, Andre J.; Simpson, Myrna J.; Tseng, Li-Hong; Spraul, Manfred; Dubnick, Ashley; Sharp, Martin J.; Fitzsimons, Sean J.</t>
  </si>
  <si>
    <t>Detection and Structural Identification of Dissolved Organic Matter in Antarctic Glacial Ice at Natural Abundance by SPR-W5-WATERGATE 1H NMR Spectroscopy</t>
  </si>
  <si>
    <t>NUCLEAR-MAGNETIC-RESONANCE; FLUORESCENCE SPECTROSCOPY; MASS-SPECTROMETRY; MICROBIAL LIFE; CARBON; COMPONENTS; OCEAN; PEPTIDOGLYCAN; DYNAMICS; BACTERIA</t>
  </si>
  <si>
    <t>Dissolved organic matter (DOM) is ubiquitous in aquatic ecosystems and is derived from various inputs that control its turnover. Glaciers and ice sheets are the second largest water reservoir in the global hydrologic cycle, but little is known about glacial DOM composition or contributions to biogeochemical cycling. Here we employ SPR-W5-WATERGATE H-1 NMR spectroscopy to elucidate and quantify the chemical structures of DOM constituents in Antarctic glacial ice as they exist in their natural state (average DOC of 8 mg/L) without isolation or preconcentration. This Antarctic glacial DOM is predominantly composed of a mixture of small recognizable molecules differing from DOM in marine, lacustrine, and other terrestrial environments. The major constituents detected in three distinct types of glacial ice include lactic and formic acid, free amino acids, and a mixture of simple sugars and amino sugars with concentrations that vary between ice types. The detection of free amino acid and amino sugar monomer components of peptidoglycan within the ice suggests that Antarctic glacial DOM likely originates from in situ microbial activity. As these constituents are normally considered to be biologically labile (fast cycling) in nonglacial environments, accelerated glacier melt and runoff may result in a flux of nutrients into adjacent ecosystems.</t>
  </si>
  <si>
    <t>[Pautler, Brent G.; Simpson, Andre J.; Simpson, Myrna J.] Univ Toronto, Environm NMR Ctr, Toronto, ON M1C 1A4, Canada; [Pautler, Brent G.; Simpson, Andre J.; Simpson, Myrna J.] Univ Toronto, Dept Chem, Toronto, ON M1C 1A4, Canada; [Tseng, Li-Hong; Spraul, Manfred] Bruker BioSpin GmbH, D-76287 Silberstreifen, Rheinstetten, Germany; [Dubnick, Ashley; Sharp, Martin J.] Univ Alberta, Dept Earth &amp; Atmospher Sci, Edmonton, AB T6G 2E3, Canada; [Fitzsimons, Sean J.] Univ Otago, Dept Geog, Dunedin, New Zealand</t>
  </si>
  <si>
    <t>University of Toronto; University of Toronto; Bruker Corporation; Bruker BioSpin GmbH; University of Alberta; University of Otago</t>
  </si>
  <si>
    <t>Simpson, AJ (corresponding author), Univ Toronto, Environm NMR Ctr, Toronto, ON M1C 1A4, Canada.</t>
  </si>
  <si>
    <t>andre.simpson@utoronto.ca; myrna.simpson@utoronto.ca</t>
  </si>
  <si>
    <t>Simpson, Myrna/0000-0002-8084-411X</t>
  </si>
  <si>
    <t>Natural Science and Engineering Research Council (NSERC) of Canada; Walter C. Sumner Memorial Fellowship; University of Toronto Centre for Global Change Science; Undergraduate Summer Research Award; Science Horizons Youth Internship program; Antarctica New Zealand</t>
  </si>
  <si>
    <t>Natural Science and Engineering Research Council (NSERC) of Canada(Natural Sciences and Engineering Research Council of Canada (NSERC)); Walter C. Sumner Memorial Fellowship; University of Toronto Centre for Global Change Science; Undergraduate Summer Research Award; Science Horizons Youth Internship program; Antarctica New Zealand</t>
  </si>
  <si>
    <t>A.J.S. and M.J.S. thank the Natural Science and Engineering Research Council (NSERC) of Canada for support via a Strategic Grant, and M.J.S. thanks NSERC for support via a Discovery Grant. BGP thanks NSERC for a Canada Graduate Scholarship, the Walter C. Sumner Memorial Fellowship program, and the University of Toronto Centre for Global Change Science for a research travel scholarship. M.S. acknowledges support from NSERC in the form of Discovery and RTI grants and an Undergraduate Summer Research Award for AD. and Environment Canada for support from the Science Horizons Youth Internship program. Fieldwork in Antarctica was supported by Antarctica New Zealand.</t>
  </si>
  <si>
    <t>10.1021/es200697c</t>
  </si>
  <si>
    <t>771AD</t>
  </si>
  <si>
    <t>WOS:000291128700010</t>
  </si>
  <si>
    <t>Onoue, T; Nakamura, T; Haranosono, T; Yasuda, C</t>
  </si>
  <si>
    <t>Onoue, Tetsuji; Nakamura, Tomoki; Haranosono, Takeshi; Yasuda, Chika</t>
  </si>
  <si>
    <t>Composition and accretion rate of fossil micrometeorites recovered in Middle Triassic deep-sea deposits</t>
  </si>
  <si>
    <t>INTERPLANETARY DUST PARTICLES; COSMIC SPHERULES; ANTARCTIC MICROMETEORITES; METEORITES; SEDIMENTS; EARTH</t>
  </si>
  <si>
    <t>Micrometeorites, which are submillimeter-sized extraterrestrial particles that survive atmospheric entry, originate from dust-producing objects such as comets and asteroids. Although ancient micrometeorites found in sedimentary rocks are of key interest as a historical record of meteoroid populations in the solar system, they are rare and prone to severe chemical weathering. Here we report the recovery of well-preserved micrometeorites, older than 240 Ma, in radiolarian chert from Japan. The collection of micrometeorites comprised 258 cosmic spherules, which are particles that totally melted during atmospheric entry, and 2 coarse-grained unmelted micrometeorites. These micrometeorites are much older than any previous micrometeorite collection in the sedimentary record. Using this collection, we calculated the accretion rate of iron-type cosmic spherules to the Earth during the Anisian Stage of the Middle Triassic. The estimated accretion rate for Anisian iron-type spherules smaller than 125 mu m is 25 +/- 8 t yr(-1). Analysis of the accretion rate for cosmic spherules also reveals high accretion rates of small spherules (similar to 8-36 mu m) for a 0.74 m.y. period in the late Anisian. However, the possible link between an enhancement in the accretion rate of small cosmic spherules in the late Anisian and variations in the flux of extraterrestrial matter to the Earth requires further scrutiny.</t>
  </si>
  <si>
    <t>[Onoue, Tetsuji; Haranosono, Takeshi] Kagoshima Univ, Dept Earth &amp; Environm Sci, Kagoshima 8900065, Japan; [Nakamura, Tomoki] Tohoku Univ, Dept Earth &amp; Planetary Mat Sci, Sendai, Miyagi 9808578, Japan; [Yasuda, Chika] INPEX Corp, Akasaka, Tokyo 1076332, Japan</t>
  </si>
  <si>
    <t>Kagoshima University; Tohoku University; Inpex Corporation</t>
  </si>
  <si>
    <t>Onoue, T (corresponding author), Kagoshima Univ, Dept Earth &amp; Environm Sci, Kagoshima 8900065, Japan.</t>
  </si>
  <si>
    <t>Nakamura, Tomoki/Y-8551-2018</t>
  </si>
  <si>
    <t>Onoue, Tetsuji/0009-0009-2437-8749</t>
  </si>
  <si>
    <t>Japan Society for the Promotion of Science; Grants-in-Aid for Scientific Research [23740378, 22224010] Funding Source: KAKEN</t>
  </si>
  <si>
    <t>We thank H. Kabayama and H. Sato for assistance in the field, K. Shimada for technical support, and KEK (High Energy Accelerator Research Organization, Tsukuba, Japan) for experiments. We are also grateful to two anonymous reviewers for helpful and thoughtful reviews. This work was supported by the Japan Society for the Promotion of Science.</t>
  </si>
  <si>
    <t>10.1130/G31866.1</t>
  </si>
  <si>
    <t>770OG</t>
  </si>
  <si>
    <t>WOS:000291096300014</t>
  </si>
  <si>
    <t>Lukianova, RY; Kruglov, AA; Frank-Kamenetskii, AV; Kotikov, AL; Berns, GB; French, VDR</t>
  </si>
  <si>
    <t>Lukianova, R. Yu; Kruglov, A. A.; Frank-Kamenetskii, A. V.; Kotikov, A. L.; Berns, G. B.; French, V. D. R.</t>
  </si>
  <si>
    <t>Relationship between the ionospheric potential and the ground-level electric field in the southern polar cap</t>
  </si>
  <si>
    <t>INTERPLANETARY MAGNETIC-FIELD; GLOBAL CIRCUIT; CONVECTION; MODEL; WEATHER</t>
  </si>
  <si>
    <t>The relationships between the average hourly values of the vertical ground-level electric field measured at the Vostok Antarctic station and the ionospheric potential above the station have been obtained. The Delta Ez and Uext parts of both parameters controlled by the solar wind were considered. Convection models (Weimer, 1995; Lukianova and Christiansen, 2006) and a model based on the SuperDARN radar system were used to determine the ionospheric potential. An analysis has been performed for isolated days and the entire sample in 1998-2000 (including 170 days of fine weather). For an isolated day, the best correlation coefficients (R) between Delta Ez and Uext obtained using the three models were 0.81, 0.80, and 0.88, respectively. The total correlation coefficient for the entire data set was R = 0.24-0.32. The R value was larger during daytime (R a parts per thousand 0.4) and smaller at night (R a parts per thousand 0.1) and slightly increased in the early morning hours. The specific features of daily variations in R apparently indicate that it is possible to adequately describe the structure of the ionospheric electric field equipotentials by using large-scale stationary convection models. The R value varies complexly, depending on the IMF orientation, but it generally tends to increase from IMF By &lt; 0 to By &gt; 0, which is explained by the asymmetric convection patterns for opposite By signs.</t>
  </si>
  <si>
    <t>[Lukianova, R. Yu; Frank-Kamenetskii, A. V.] Russian Acad Sci, Arctic &amp; Antarctic Res Inst, St Petersburg 199397, Russia; [Lukianova, R. Yu] Russian Acad Sci, Space Res Inst, Moscow 117997, Russia; [Kruglov, A. A.; Kotikov, A. L.] St Petersburg State Univ, St Petersburg, Russia; [Berns, G. B.; French, V. D. R.] Australian Arctic Div, Kingston, Tas, Australia</t>
  </si>
  <si>
    <t>Arctic &amp; Antarctic Research Institute; Russian Academy of Sciences; Russian Academy of Sciences; Space Research Institute of the Russian Academy of Sciences; Saint Petersburg State University; Australian Antarctic Division</t>
  </si>
  <si>
    <t>Lukianova, RY (corresponding author), Russian Acad Sci, Arctic &amp; Antarctic Res Inst, Ul Beringa 38, St Petersburg 199397, Russia.</t>
  </si>
  <si>
    <t>Lukianova, Renata/K-3293-2012; Франк-Каменецкий Frank-Kamenetsky Frank-Kamenetskii, Александр Alexandr Alexander/GWC-0197-2022; Kotikov, Andrey/K-3339-2012</t>
  </si>
  <si>
    <t>Lukianova, Renata/0000-0003-2343-9174; Франк-Каменецкий Frank-Kamenetsky Frank-Kamenetskii, Александр Alexandr Alexander/0000-0002-6301-8924; Kotikov, Andrey/0000-0002-5941-2216</t>
  </si>
  <si>
    <t>Australian Antarctic Scientific-Advisory Committee (AAS) [974]; Russian Foundation for Basic Research [09-05-00232]</t>
  </si>
  <si>
    <t>Australian Antarctic Scientific-Advisory Committee (AAS); Russian Foundation for Basic Research(Russian Foundation for Basic Research (RFBR)Spanish Government)</t>
  </si>
  <si>
    <t>The equipment and software of the complex for studying the atmospheric electric circuit were developed within the scope of the project approved by the Australian Antarctic Scientific-Advisory Committee (AAS, project no. 974).; This work was partially supported by the Russian Foundation for Basic Research, project no. 09-05-00232.</t>
  </si>
  <si>
    <t>10.1134/S0016793211030121</t>
  </si>
  <si>
    <t>774OC</t>
  </si>
  <si>
    <t>WOS:000291394900011</t>
  </si>
  <si>
    <t>Nesterenok, AV; Naidenov, VO</t>
  </si>
  <si>
    <t>Nesterenok, A. V.; Naidenov, V. O.</t>
  </si>
  <si>
    <t>Radiocarbon in polar ice: The mechanism by which radiocarbon is preserved in firn grains</t>
  </si>
  <si>
    <t>COSMOGENIC-NUCLIDE PRODUCTION; SITU PRODUCED C-14; CLIMATE-CHANGE; ANTARCTIC ICE; DOME ICE; GREENLAND; HOLOCENE; VOSTOK; MUONS; CORE</t>
  </si>
  <si>
    <t>This work is devoted to the problem of localizing the (14)C cosmogenic radionuclide in a firn layer covering glaciers. The data on (14)C in ice samples from the GISP2 ice core drilled on a Greenland ice dome (Summit) are analyzed. It has been indicated that experimental values of the (14)C concentration are systematically smaller than theoretically calculated values, which indicates that firn grains partially lose (14)C. Diffusion of cosmogenic (14)C in firn grains and hydration of (14)CO(2) in a disordered ice layer, which is formed on a firn grain surface and at the boundary between ice monocrystals, are considered. It has been indicated that these processes are among the main ones responsible for the level of radiocarbon concentration in firn and ice samples.</t>
  </si>
  <si>
    <t>[Nesterenok, A. V.; Naidenov, V. O.] Russian Acad Sci, AF Ioffe Phys Tech Inst, St Petersburg 194021, Russia</t>
  </si>
  <si>
    <t>Russian Academy of Sciences; St. Petersburg Scientific Centre of the Russian Academy of Sciences; Ioffe Physical Technical Institute</t>
  </si>
  <si>
    <t>Nesterenok, AV (corresponding author), Russian Acad Sci, AF Ioffe Phys Tech Inst, Politekhnicheskaya Ul 26, St Petersburg 194021, Russia.</t>
  </si>
  <si>
    <t>Nesterenok, Aleksandr/E-4890-2017</t>
  </si>
  <si>
    <t>10.1134/S0016793211020113</t>
  </si>
  <si>
    <t>WOS:000291394900016</t>
  </si>
  <si>
    <t>Sweetkind, DS; Rytuba, JJ; Langenheim, VE; Fleck, RJ</t>
  </si>
  <si>
    <t>Sweetkind, Donald S.; Rytuba, James J.; Langenheim, Victoria E.; Fleck, Robert J.</t>
  </si>
  <si>
    <t>Geology and geochemistry of volcanic centers within the eastern half of the Sonoma volcanic field, northern San Francisco Bay region, California</t>
  </si>
  <si>
    <t>MENDOCINO TRIPLE JUNCTION; MOUNTAIN MAGMA SYSTEM; COASTAL CALIFORNIA; CENOZOIC VOLCANISM; BAJA-CALIFORNIA; FAULT SYSTEM; ASTHENOSPHERIC WINDOW; ANTARCTIC PENINSULA; WESTERN CALIFORNIA; RIDGE SUBDUCTION</t>
  </si>
  <si>
    <t>Volcanic rocks in the Sonoma volcanic field in the northern California Coast Ranges contain heterogeneous assemblages of a variety of compositionally diverse volcanic rocks. We have used field mapping, new and existing age determinations, and 343 new major and trace element analyses of whole-rock samples from lavas and tuff to define for the first time volcanic source areas for many parts of the Sonoma volcanic field. Geophysical data and models have helped to define the thickness of the volcanic pile and the location of caldera structures. Volcanic rocks of the Sonoma volcanic field show a broad range in eruptive style that is spatially variable and specific to an individual eruptive center. Major, minor, and trace-element geochemical data for intra-caldera and outflow tuffs and their distal fall equivalents suggest - caldera-related sources for the Pinole and Lawlor Tuffs in southern Napa Valley and for the tuff of Franz Valley in northern Napa Valley. Stratigraphic correlations based on similarity in eruptive sequence and style coupled with geochemical data allow an estimate of 30 km of right-lateral offset across the West Napa-Carneros fault zones since similar to 5 Ma. The volcanic fields in the California Coast Ranges north of San Francisco Bay are temporally and spatially associated with the northward migration of the Mendocino triple junction and the transition from subduction and associated arc volcanism to a slab window tectonic environment. Our geochemical analyses from the Sonoma volcanic field highlight the geochemical diversity of these volcanic rocks, allowing us to clearly distinguish these volcanic rocks from those of the roughly coeval ancestral Cascades magmatic arc to the west, and also to compare rocks of the Sonoma volcanic field to rocks from other slab window settings.</t>
  </si>
  <si>
    <t>[Sweetkind, Donald S.] US Geol Survey, Denver Fed Ctr, Denver, CO 80225 USA; [Rytuba, James J.; Langenheim, Victoria E.; Fleck, Robert J.] US Geol Survey, Menlo Pk, CA 94025 USA</t>
  </si>
  <si>
    <t>United States Department of the Interior; United States Geological Survey; United States Department of the Interior; United States Geological Survey</t>
  </si>
  <si>
    <t>Sweetkind, DS (corresponding author), US Geol Survey, Denver Fed Ctr, Mail Stop 973, Denver, CO 80225 USA.</t>
  </si>
  <si>
    <t>Sweetkind, Donald/0000-0003-0892-4796</t>
  </si>
  <si>
    <t>10.1130/GES00625.1</t>
  </si>
  <si>
    <t>772CN</t>
  </si>
  <si>
    <t>WOS:000291208700003</t>
  </si>
  <si>
    <t>Zhang, PY; Liu, SH; Cong, BL; Wu, GT; Liu, CL; Lin, XZ; Shen, JH; Huang, XH</t>
  </si>
  <si>
    <t>Zhang, Pengying; Liu, Shenghao; Cong, Bailin; Wu, Guangting; Liu, Chenlin; Lin, Xuezheng; Shen, Jihong; Huang, Xiaohang</t>
  </si>
  <si>
    <t>A Novel Omega-3 Fatty Acid Desaturase Involved in Acclimation Processes of Polar Condition from Antarctic Ice Algae Chlamydomonas sp ICE-L</t>
  </si>
  <si>
    <t>MARINE BIOTECHNOLOGY</t>
  </si>
  <si>
    <t>Antarctic ice algae; Chlamydomonas sp ICE-L; Omega-3 fatty acid desaturase; Psychrophile; Stress</t>
  </si>
  <si>
    <t>MEMBRANE-FLUIDITY; LIPID-COMPOSITION; CLONING</t>
  </si>
  <si>
    <t>The ability of Antarctic ice algae, Chlamydomonas sp. ICE-L, to survive and proliferate at low temperature and high salinity implies that they have overcome key barriers inherent in Antarctic environments. A full-length complementary DNA (cDNA) sequence of omega-3 fatty acid desaturase, designated CiFAD3, was isolated via reverse transcription-polymerase chain reaction (RT-PCR) and rapid amplification of cDNA ends methods. The full-length of CiFAD3 cDNA contained an open reading frame of 1,302 bp with 5'-terminal untranslated region (UTR) of 36 bp and 3'-terminal UTR of 507 bp encoding a fatty acid desaturase protein of 434 amino acids. Sequence alignment and phylogenetic analysis showed that the gene was homologous to known chloroplastic omega-3 fatty acid desaturase. Meanwhile, CiFAD3 sequence showed typical features of membrane-bound desaturase such as three conserved histidine boxes along with four membrane spanning regions that were universally present among plant desaturases. Under different stress conditions, messenger RNA (mRNA) expression levels of CiFAD3 were measured by quantitative RT-PCR. The results showed that both temperature and salinity could motivate the upregulation of CiFAD3 expression. The mRNA accumulation of CiFAD3 increased 2.6-fold at 0A degrees C and 1.8-fold at 12A degrees C compared to the algae at 6A degrees C. Similarly, mRNA expression levels of CiFAD3 increased 3.8-fold after 62aEuro degrees NaCl treatment for 2 h. However, CiFAD3 mRNA expression levels were partially decreased after UV radiation. These data suggest that CiFAD3 is the enzyme responsible for the omega-3 fatty acid desaturation involved in ice algae Chlamydomonas sp. ICE-L acclimatizing to cold temperature and high salinity in Antarctic environment.</t>
  </si>
  <si>
    <t>[Liu, Shenghao; Cong, Bailin; Wu, Guangting; Liu, Chenlin; Lin, Xuezheng; Shen, Jihong; Huang, Xiaohang] State Ocean Adm, Inst Oceanog 1, Key Lab Marine Bioact Subst, Qingdao 266061, Shandong, Peoples R China; [Zhang, Pengying] Shandong Univ, Natl Glycoengn Res Ctr, Jinan 250100, Peoples R China; [Zhang, Pengying] Shandong Univ, Coll Life Sci, Jinan 250100, Peoples R China</t>
  </si>
  <si>
    <t>First Institute of Oceanography, Ministry of Natural Resources; Shandong University; Shandong University</t>
  </si>
  <si>
    <t>Huang, XH (corresponding author), State Ocean Adm, Inst Oceanog 1, Key Lab Marine Bioact Subst, 6 Xianxialing Rd,Hightech Pk, Qingdao 266061, Shandong, Peoples R China.</t>
  </si>
  <si>
    <t>xiaohanghuang@yahoo.ca</t>
  </si>
  <si>
    <t>Liu, Shenghao/ISU-3076-2023; liu, chen/ISV-2093-2023</t>
  </si>
  <si>
    <t>Liu, Shenghao/0000-0002-1449-3526;</t>
  </si>
  <si>
    <t>China National Natural Science Foundation [40906103, 40876106]; China Polar Strategic Research Foundation [20070223]; Basic Scientific Research Foundation of FIO [2007T11]; China 863 High-Technology Key Projects [2007AA091905]</t>
  </si>
  <si>
    <t>China National Natural Science Foundation(National Natural Science Foundation of China (NSFC)); China Polar Strategic Research Foundation; Basic Scientific Research Foundation of FIO; China 863 High-Technology Key Projects(National High Technology Research and Development Program of China)</t>
  </si>
  <si>
    <t>This work was financially supported by China National Natural Science Foundation (40906103 and 40876106), China Polar Strategic Research Foundation Project (20070223), Basic Scientific Research Foundation of FIO (2007T11), and China 863 High-Technology Key Projects (2007AA091905).</t>
  </si>
  <si>
    <t>1436-2228</t>
  </si>
  <si>
    <t>1436-2236</t>
  </si>
  <si>
    <t>MAR BIOTECHNOL</t>
  </si>
  <si>
    <t>Mar. Biotechnol.</t>
  </si>
  <si>
    <t>10.1007/s10126-010-9309-8</t>
  </si>
  <si>
    <t>Biotechnology &amp; Applied Microbiology; Marine &amp; Freshwater Biology</t>
  </si>
  <si>
    <t>771NY</t>
  </si>
  <si>
    <t>WOS:000291168500005</t>
  </si>
  <si>
    <t>Jagannadham, MV; Abou-Eladab, EF; Kulkarni, HM</t>
  </si>
  <si>
    <t>Jagannadham, M. V.; Abou-Eladab, Ehab F.; Kulkarni, Heramb M.</t>
  </si>
  <si>
    <t>Identification of Outer Membrane Proteins from an Antarctic Bacterium Pseudomonas syringae Lz4W</t>
  </si>
  <si>
    <t>MOLECULAR &amp; CELLULAR PROTEOMICS</t>
  </si>
  <si>
    <t>TANDEM MASS-SPECTROMETRY; AMINO-ACID-SEQUENCES; LINEAR ION-TRAP; ESCHERICHIA-COLI; 2-DIMENSIONAL ELECTROPHORESIS; SHOTGUN PROTEOMICS; LOW-TEMPERATURE; YEAST PROTEOME; DATABASE; PEPTIDE</t>
  </si>
  <si>
    <t>Subcellular fractionation of proteins is a preferred method of choice for detection and identification of proteins from complex mixtures such as bacterial cells. To characterize the membrane proteins of the Antarctic bacterium Pseudomonas syringae Lz4W, the membrane fractions were prepared using three different methods, namely Triton X-100 solubilization, sucrose density gradient, and carbonate extraction methods. The proteins were separated on one-dimensional polyacrylamide gels and analyzed using a combination of liquid chromatography-coupled electrospray ionization-MS. The membrane proteins that were prepared by carbonate extraction were separated on two-dimensional PAGE in different pI ranges using the detergent 2% amidosulfobetaine (ASB). The proteins were then subjected to matrix-assisted laser desorption ionization-time-of-flight/time-of-flight for analysis and identification. Because the genome sequence of P. syringae Lz4W is not known, the proteins were identified by using the relevant sequence databases of the Pseudomonas sp available at National Centre for Biotechnology Information (NCBI). The sequence identification of some tryptic peptides were validated by de novo sequencing and others by chemical modification and mass spectrometry. The peptide sequences of P. syringae Lz4W were then matched with the sequences of the peptides from different Pseudomonas sp. by similarity search of the proteins from different species using clustal W2 program. Thus by using a combination of the methods, we have been able to identify large number of proteins of this bacterial strain, which include most of the outer membrane proteins. Molecular &amp; Cellular Proteomics 10: 10.1074/mcp.M110.004549, 1-8, 2011.</t>
  </si>
  <si>
    <t>[Jagannadham, M. V.; Kulkarni, Heramb M.] CSIR, Ctr Cellular &amp; Mol Biol, Hyderabad 500007, Andhra Pradesh, India; [Abou-Eladab, Ehab F.] Mansoura Univ, Fac Specif Educ Damietta, New Damietta, Egypt</t>
  </si>
  <si>
    <t>Council of Scientific &amp; Industrial Research (CSIR) - India; CSIR - Centre for Cellular &amp; Molecular Biology (CCMB); Egyptian Knowledge Bank (EKB); Mansoura University</t>
  </si>
  <si>
    <t>Jagannadham, MV (corresponding author), CSIR, Ctr Cellular &amp; Mol Biol, Uppal Rd, Hyderabad 500007, Andhra Pradesh, India.</t>
  </si>
  <si>
    <t>jagan@ccmb.res.in</t>
  </si>
  <si>
    <t>Kulkarni, Heamb/JMC-4945-2023; aboueladab, ehab f/E-6516-2012; Jagannadham, Medicharla V. V./AAW-6773-2021</t>
  </si>
  <si>
    <t>aboueladab, ehab f/0000-0003-2884-4902;</t>
  </si>
  <si>
    <t>Department of Biotechnology, New Delhi [BT/PR7383/BRB/10/474/2006]; CSIR</t>
  </si>
  <si>
    <t>Department of Biotechnology, New Delhi(Department of Biotechnology (DBT) India); CSIR(Council of Scientific &amp; Industrial Research (CSIR) - India)</t>
  </si>
  <si>
    <t>This research work was supported by a grant from Department of Biotechnology (BT/PR7383/BRB/10/474/2006), New Delhi. Ehab Abou-Eladab worked at CCMB on a TWAS-CSIR postdoctoral fellowship.</t>
  </si>
  <si>
    <t>AMER SOC BIOCHEMISTRY MOLECULAR BIOLOGY INC</t>
  </si>
  <si>
    <t>BETHESDA</t>
  </si>
  <si>
    <t>9650 ROCKVILLE PIKE, BETHESDA, MD 20814-3996 USA</t>
  </si>
  <si>
    <t>1535-9476</t>
  </si>
  <si>
    <t>1535-9484</t>
  </si>
  <si>
    <t>MOL CELL PROTEOMICS</t>
  </si>
  <si>
    <t>Mol. Cell. Proteomics</t>
  </si>
  <si>
    <t>10.1074/mcp.M110.004549</t>
  </si>
  <si>
    <t>Biochemical Research Methods</t>
  </si>
  <si>
    <t>772BL</t>
  </si>
  <si>
    <t>WOS:000291204700007</t>
  </si>
  <si>
    <t>Wu, LX; Jing, Z; Riser, S; Visbeck, M</t>
  </si>
  <si>
    <t>Wu, Lixin; Jing, Zhao; Riser, Steve; Visbeck, Martin</t>
  </si>
  <si>
    <t>Seasonal and spatial variations of Southern Ocean diapycnal mixing from Argo profiling floats</t>
  </si>
  <si>
    <t>INTERNAL WAVES; THERMOHALINE CIRCULATION; GENERAL-CIRCULATION; DRAKE PASSAGE; WIND; DISSIPATION; ENERGY; PARAMETERIZATIONS; PROPAGATION; VARIABILITY</t>
  </si>
  <si>
    <t>The Southern Ocean is thought to be one of the most energetic regions in the world's oceans. As a result, it is a location of vigorous diapycnal mixing of heat, salt and biogeochemical properties(1-3). At the same time, the Southern Ocean is poorly sampled, not least because of its harsh climate and remote location. Yet the spatial and temporal variation of diapycnal diffusivity in this region plays an important part in the large-scale ocean circulation and climate(4-6). Here we use high-resolution hydrographic profiles from Argo floats in combination with the Iridium communications system to investigate diapycnal mixing in the Southern Ocean. We find that the spatial distribution of turbulent diapycnal mixing in the Southern Ocean at depths between 300 and 1,800m is controlled by the topography, by means of its interaction with the Antarctic Circumpolar Current. The seasonal variation of this mixing can largely be attributed to the seasonal cycle of surface wind stress and is more pronounced in the upper ocean over flat topography. We suggest that additional high-resolution profiles from Argo floats will serve to advance our understanding of mixing processes in the global ocean interior.</t>
  </si>
  <si>
    <t>[Wu, Lixin; Jing, Zhao] Ocean Univ China, Phys Oceanog Lab, Qingdao 266003, Peoples R China; [Riser, Steve] Univ Washington, Sch Oceanog, Seattle, WA 98195 USA; [Visbeck, Martin] IFM GEOMAR, D-24105 Kiel, Germany</t>
  </si>
  <si>
    <t>Ocean University of China; University of Washington; University of Washington Seattle; Helmholtz Association; GEOMAR Helmholtz Center for Ocean Research Kiel</t>
  </si>
  <si>
    <t>Wu, LX (corresponding author), Ocean Univ China, Phys Oceanog Lab, Qingdao 266003, Peoples R China.</t>
  </si>
  <si>
    <t>lxwu@ouc.edu.cn</t>
  </si>
  <si>
    <t>China National Natural Science Foundation (NSFC) [40788002]; National Key Basic Research Program [2007CB411800]; NSFC Creative Group [40921004]</t>
  </si>
  <si>
    <t>China National Natural Science Foundation (NSFC)(National Natural Science Foundation of China (NSFC)); National Key Basic Research Program(National Basic Research Program of China); NSFC Creative Group</t>
  </si>
  <si>
    <t>This work is supported by China National Natural Science Foundation (NSFC) Outstanding Young Investigator Project (40788002), National Key Basic Research Program (2007CB411800), and NSFC Creative Group Project (40921004). We thank the International Argo (Array for Real-time Geostrophic Oceanography) Observational Program for providing data through the open access (http://wo.jcommops.org/cgi-bin/WebObjects/Argo.woa/wa/ptfSearch). Finally, we thank E. Kunze for an insightful explanation about abyssal mixing inferred from lowered ADCP shear and CTD Strain profiles.</t>
  </si>
  <si>
    <t>10.1038/NGEO1156</t>
  </si>
  <si>
    <t>770LY</t>
  </si>
  <si>
    <t>WOS:000291089200013</t>
  </si>
  <si>
    <t>Stroncik, NA; Devey, CW</t>
  </si>
  <si>
    <t>Stroncik, N. A.; Devey, C. W.</t>
  </si>
  <si>
    <t>Recycled gabbro signature in hotspot magmas unveiled by plume-ridge interactions</t>
  </si>
  <si>
    <t>OCEANIC-CRUST; ISOTOPIC EVIDENCE; TRACE-ELEMENT; MANTLE PLUME; GEOCHEMISTRY; CONSTRAINTS; MIGRATION</t>
  </si>
  <si>
    <t>Lavas erupted within plate interiors above upwelling mantle plumes have chemical signatures that are distinct from midocean ridge lavas. When a plume interacts with a mid-ocean ridge, the compositions of both their lavas changes, but there is no consensus as to how this interaction occurs(1-3). For the past 15 Myr, the Pacific-Antarctic mid-ocean ridge has been approaching the Foundation hotspot(4) and erupted lavas have formed seamounts. Here we analyse the noble gas isotope and trace element signature of lava samples collected from the seamounts. We find that both intraplate and on-axis lavas have noble gas isotope signatures consistent with the contribution from a primitive plume source. In contrast, near-axis lavas show no primitive noble gas isotope signatures, but are enriched in strontium and lead, indicative of subducted former oceanic lower crust melting within the plume source(5-7). We propose that, in a near-ridge setting, primitive, plume-sourced magmas formed deep in the plume are preferentially channelled to and erupted at the ridge-axis. The remaining residue continues to rise and melt, forming the near-axis seamounts. With the deep melts removed, the geochemical signature of subduction contained within the residue becomes apparent. Lavas with strontium and lead enrichments are found worldwide where plumes meet mid-ocean ridges(6-8), suggesting that subducted lower crust is an important but previously unrecognised plume component.</t>
  </si>
  <si>
    <t>[Stroncik, N. A.] GFZ Helmholtz Ctr Potsdam, D-14473 Potsdam, Germany; [Stroncik, N. A.] Texas A&amp;M Univ, Integrated Ocean Drilling Program, College Stn, TX 77845 USA; [Devey, C. W.] Leibniz Inst Meereswissensch, D-24148 Kiel, Germany</t>
  </si>
  <si>
    <t>Helmholtz Association; Helmholtz-Center Potsdam GFZ German Research Center for Geosciences; Texas A&amp;M University System; Texas A&amp;M University College Station; Helmholtz Association; GEOMAR Helmholtz Center for Ocean Research Kiel</t>
  </si>
  <si>
    <t>Stroncik, NA (corresponding author), GFZ Helmholtz Ctr Potsdam, D-14473 Potsdam, Germany.</t>
  </si>
  <si>
    <t>nicole@gfz-potsdam.de</t>
  </si>
  <si>
    <t>Stroncik, Nicole A/N-7108-2014; Devey, Colin/I-3898-2016</t>
  </si>
  <si>
    <t>Devey, Colin/0000-0002-0930-7274; Stroncik, Nicole/0000-0003-4647-5928</t>
  </si>
  <si>
    <t>German Ministry of Science and Technology (BMBF)</t>
  </si>
  <si>
    <t>German Ministry of Science and Technology (BMBF)(Federal Ministry of Education &amp; Research (BMBF))</t>
  </si>
  <si>
    <t>We thank D. Ackermand, B. Mader and D. Garbe-Schnberg (Institut fur Geowissenschaften, University of Kiel) for help with the major and trace element analyses; S. Niedermann (GFZ Potsdam) provided extensive support for the noble gas analyses. B. Holtzman, B. White, D. Geist provided constructive comments on earlier versions of the manuscript which helped to improve this paper greatly. Sampling was carried out from research vessel Sonne financed by the German Ministry of Science and Technology (BMBF).</t>
  </si>
  <si>
    <t>10.1038/NGEO1121</t>
  </si>
  <si>
    <t>WOS:000291089200020</t>
  </si>
  <si>
    <t>Marino, M; Maiorano, P; Flower, BP</t>
  </si>
  <si>
    <t>Marino, Maria; Maiorano, Patrizia; Flower, Benjamin P.</t>
  </si>
  <si>
    <t>Calcareous nannofossil changes during the Mid-Pleistocene Revolution: Paleoecologic and paleoceanographic evidence from North Atlantic Site 980/981</t>
  </si>
  <si>
    <t>Calcareous nannofossils; North Atlantic ODP Site 980/981; Mid-Pleistocene Revolution; Paleoecology; Paleoceanography</t>
  </si>
  <si>
    <t>MIDDLE PLEISTOCENE TRANSITION; ANTARCTIC INTERMEDIATE WATER; NORWEGIAN GREENLAND SEA; DEEP-OCEAN CIRCULATION; HEMISPHERE ICE SHEETS; COCCOLITHUS-PELAGICUS; SOUTHERN-OCEAN; THERMOHALINE CIRCULATION; CALCIDISCUS-LEPTOPORUS; LIVING COMMUNITIES</t>
  </si>
  <si>
    <t>New quantitative data on calcareous nannofossil assemblages through 583-1138 thousand years ago (kyr) have been acquired in high sample resolution (2-3 ky) at northern Atlantic ODP (Ocean Drilling Program) Site 980/981. Assemblage composition reflects a temperate paleobioprovince suggesting significant influx of warm North Atlantic Current at the site location during the mid-Pleistocene transition, between Marine Isotope Stage (MIS) 35 and 15. Three intervals have been described based on changes in nannofossil composition and abundance fluctuations of taxa. Reticulofenestrids are abundant just in the first interval (MIS 35-22), which is also characterised by the absence of Gephyrocapsa (&gt;4 mu m) and C pelagicus s.l., the latter occurring in upper MIS 24 only. The second interval corresponds to the expanded warm MIS 21 that is accompanied by high carbonate content, absence of both nannofossil reworking and ice rafted debris (IRD), higher abundance of C. leptoporus (5-8 pm) and H. carteri, and absence of C. pelagicus s.l. and medium gephyrocapsids. The third interval (MIS 20-15) records the occurrence of C. pelagicus s.l. and medium Gephyrocapsa, generally higher abundance and higher amplitude fluctuations of helicoliths, and absence of reticulofenestrids. The major changes in nannofossil assemblages seem to be the result of combined paleoenvironmental factors related to sea surface water features (temperature and nutrient availability, sea-ice cover) and possibly to deep and intermediate water production of both Northern and Southern Hemisphere origin during glacial and interglacial phases. Complex inter-relationships between environmental parameters and evolutionary/ecological factors are inferred to explain the patterns of Coccolithus pelagicus subspecies, whose distribution and abundance fluctuations are compared with the available patterns of Turborotalia quinqueloba and Neogloboquadrina pachyderma (left coiled) at Site 980 and with the C. pelagicus subspecies patterns from North Atlantic DSDP (Deep Sea Drilling Project) Site 607 and South Atlantic ODP Site 1090. Data collected provide additional information on stratigraphic distribution of selected taxa; the First Occurrence (FO) of Gephyrocapsa omega is confirmed as a diachronous event, even in the Atlantic Ocean, while the First and Last Common Occurrence (FCO, LCO) of R. asanoi appear as diachronous and synchronous events, respectively, on a global scale. (C) 2011 Elsevier BM. All rights reserved.</t>
  </si>
  <si>
    <t>[Marino, Maria; Maiorano, Patrizia] Univ Bari Aldo Moro, Dept Geol &amp; Geophys, Bari, Italy; [Flower, Benjamin P.] Univ S Florida, Coll Marine Sci, St Petersburg, FL 33701 USA</t>
  </si>
  <si>
    <t>Universita degli Studi di Bari Aldo Moro; State University System of Florida; University of South Florida</t>
  </si>
  <si>
    <t>Marino, M (corresponding author), Univ Bari Aldo Moro, Dept Geol &amp; Geophys, E Orabona 4, Bari, Italy.</t>
  </si>
  <si>
    <t>marino@geo.uniba.it</t>
  </si>
  <si>
    <t>Marino, Maria/J-6868-2014</t>
  </si>
  <si>
    <t>Marino, Maria/0000-0001-6239-0786; Maiorano, Patrizia/0000-0003-4917-1786</t>
  </si>
  <si>
    <t>Fondi di Ateneo, Universita di Bari, R. La Perna</t>
  </si>
  <si>
    <t>The authors wish to thank the Ocean Drilling Program for providing samples of the investigated site. The valuable suggestions and critical reviews of A. Incarbona (University of Palermo) and an anonymous reviewer are greatly acknowledged. This research was financially supported by Fondi di Ateneo, Universita di Bari, R. La Perna, 2008.</t>
  </si>
  <si>
    <t>10.1016/j.palaeo.2011.03.028</t>
  </si>
  <si>
    <t>773UK</t>
  </si>
  <si>
    <t>WOS:000291336400005</t>
  </si>
  <si>
    <t>Zitterbart, DP; Wienecke, B; Butler, JP; Fabry, B</t>
  </si>
  <si>
    <t>Zitterbart, Daniel P.; Wienecke, Barbara; Butler, James P.; Fabry, Ben</t>
  </si>
  <si>
    <t>Coordinated Movements Prevent Jamming in an Emperor Penguin Huddle</t>
  </si>
  <si>
    <t>COLLECTIVE BEHAVIOR; TRANSITION; PARTICLES; DYNAMICS</t>
  </si>
  <si>
    <t>For Emperor penguins (Aptenodytes forsteri), huddling is the key to survival during the Antarctic winter. Penguins in a huddle are packed so tightly that individual movements become impossible, reminiscent of a jamming transition in compacted colloids. It is crucial, however, that the huddle structure is continuously reorganized to give each penguin a chance to spend sufficient time inside the huddle, compared with time spent on the periphery. Here we show that Emperor penguins move collectively in a highly coordinated manner to ensure mobility while at the same time keeping the huddle packed. Every 30-60 seconds, all penguins make small steps that travel as a wave through the entire huddle. Over time, these small movements lead to large-scale reorganization of the huddle. Our data show that the dynamics of penguin huddling is governed by intermittency and approach to kinetic arrest in striking analogy with inert non-equilibrium systems, including soft glasses and colloids.</t>
  </si>
  <si>
    <t>[Zitterbart, Daniel P.; Fabry, Ben] Univ Erlangen Nurnberg, Dept Phys, Erlangen, Germany; [Zitterbart, Daniel P.] Alfred Wegener Inst Polar &amp; Marine Res AWI, Bremerhaven, Germany; [Wienecke, Barbara] Australian Antarctic Div, Kingston, Tas, Australia; [Butler, James P.] Harvard Univ, Sch Publ Hlth, Mol Integrat Physiol Sci Program, Boston, MA 02115 USA; [Butler, James P.] Harvard Univ, Sch Med, Dept Med, Div Sleep Med, Boston, MA USA; [Butler, James P.] Brigham &amp; Womens Hosp, Boston, MA 02115 USA</t>
  </si>
  <si>
    <t>University of Erlangen Nuremberg; Helmholtz Association; Alfred Wegener Institute, Helmholtz Centre for Polar &amp; Marine Research; Australian Antarctic Division; Harvard University; Harvard T.H. Chan School of Public Health; Harvard University; Harvard Medical School; Harvard University; Brigham &amp; Women's Hospital</t>
  </si>
  <si>
    <t>Zitterbart, DP (corresponding author), Univ Erlangen Nurnberg, Dept Phys, Erlangen, Germany.</t>
  </si>
  <si>
    <t>daniel.p.zitterbart@physik.uni-erlangen.de</t>
  </si>
  <si>
    <t>Fabry, Ben/C-5496-2013; Zitterbart, Daniel P/N-7489-2013</t>
  </si>
  <si>
    <t>Fabry, Ben/0000-0003-1737-0465; Zitterbart, Daniel/0000-0001-9429-4350</t>
  </si>
  <si>
    <t>e20260</t>
  </si>
  <si>
    <t>10.1371/journal.pone.0020260</t>
  </si>
  <si>
    <t>773LX</t>
  </si>
  <si>
    <t>WOS:000291309900008</t>
  </si>
  <si>
    <t>Monien, P; Schnetger, B; Brumsack, HJ; Hass, HC; Kuhn, G</t>
  </si>
  <si>
    <t>Monien, Patrick; Schnetger, Bernhard; Brumsack, Hans-Juergen; Hass, H. Christian; Kuhn, Gerhard</t>
  </si>
  <si>
    <t>A geochemical record of late Holocene palaeoenvironmental changes at King George Island (maritime Antarctica)</t>
  </si>
  <si>
    <t>early diagenesis; geochemistry; glacier retreat; Little Ice Age; sediments; western Antarctic Peninsula</t>
  </si>
  <si>
    <t>SOUTH SHETLAND ISLANDS; GLACIOMARINE SEDIMENTATION; WEST ANTARCTICA; BIOGENIC SILICA; VOLCANIC-ROCKS; MAXWELL BAY; ICE-CAP; PENINSULA; FLUCTUATIONS; DEPOSITION</t>
  </si>
  <si>
    <t>During RV Polarstern cruise ANT-XXIII/4 in 2006, a gravity core (PS 69/335-2) and a giant box core (PS 69/335-1) were retrieved from Maxwell Bay off King George Island (KGI). Comprehensive geochemical (bulk parameters, quantitative XRF, Inductively Coupled Plasma Mass Spectrometry) and radiometric dating analyses (C-14, Pb-210) were performed on both cores. A comparison with geochemical data from local bedrock demonstrates a mostly detrital origin for the sediments, but also points to an overprint from changing bioproductivity in the overlying water column in addition to early diagenetic processes. Furthermore, ten tephra layers that were most probably derived from volcanic activity on Deception Island were identified. Variations in the vertical distribution of selected elements in Maxwell Bay sediments further indicate a shift in source rock provenance as a result of changing glacier extents during the past c. 1750 years that may be linked to the Little Ice Age and the Medieval Warm Period. Whereas no evidence for a significant increase in chemical weathering rates was found, Pb-210 data revealed that mass accumulation rates in Maxwell Bay have almost tripled since the 1940s (0.66 g cm(-2) yr(-1) in AD 2006), which is probably linked to rapid glacier retreat in this region due to recent warming.</t>
  </si>
  <si>
    <t>[Monien, Patrick; Schnetger, Bernhard; Brumsack, Hans-Juergen] Inst Chem &amp; Biol Marine Environm ICBM, D-26111 Oldenburg, Germany; [Hass, H. Christian] Alfred Wegener Inst Polar &amp; Marine Res, Wadden Sea Res Stn, D-25992 List Auf Sylt, Germany; [Kuhn, Gerhard] Alfred Wegener Inst Polar &amp; Marine Res, D-27568 Bremerhaven, Germany</t>
  </si>
  <si>
    <t>Helmholtz Association; Alfred Wegener Institute, Helmholtz Centre for Polar &amp; Marine Research; Helmholtz Association; Alfred Wegener Institute, Helmholtz Centre for Polar &amp; Marine Research</t>
  </si>
  <si>
    <t>Monien, P (corresponding author), Inst Chem &amp; Biol Marine Environm ICBM, POB 2503, D-26111 Oldenburg, Germany.</t>
  </si>
  <si>
    <t>monien@icbm.de</t>
  </si>
  <si>
    <t>Hass, H. Christian/O-7229-2017; Brumsack, Hans-Juergen/O-7942-2016; Monien, Patrick/K-8338-2017</t>
  </si>
  <si>
    <t>Hass, H. Christian/0000-0003-2649-6828; Brumsack, Hans-Juergen/0000-0002-5549-5018; Monien, Patrick/0000-0002-4000-5362; Kuhn, Gerhard/0000-0001-6069-7485; Schnetger, Bernhard/0000-0003-1638-3977</t>
  </si>
  <si>
    <t>10.1017/S095410201100006X</t>
  </si>
  <si>
    <t>WOS:000291050900006</t>
  </si>
  <si>
    <t>Elliot, DH; Grimes, CG</t>
  </si>
  <si>
    <t>Elliot, David H.; Grimes, Craig G.</t>
  </si>
  <si>
    <t>Triassic and Jurassic strata at Coombs Hills, south Victoria Land: stratigraphy, petrology and cross-cutting breccia pipes</t>
  </si>
  <si>
    <t>Antarctica; Lashly Formation; phreatic explosion</t>
  </si>
  <si>
    <t>LARGE IGNEOUS PROVINCE; ALLAN-HILLS; BEACON SUPERGROUP; CARAPACE-NUNATAK; ANTARCTICA; EVOLUTION; ERUPTION; BASIN</t>
  </si>
  <si>
    <t>The Triassic Lashly Formation occurs to the east of Mount Brooke at Coombs Hills. Previously established informal members B, C, and D of the Lashly Formation are now identified at Coombs Hills. Lashly Formation member D passes up into a poorly exposed interval of silicic shard-bearing fine-grained sandstone and tuff, which is correlated with the Jurassic Shafer Peak Formation of north Victoria Land and Hanson Formation of the Beardmore Glacier region. Lashly Formation members C and D are intruded by three phreatic explosion pipes, resulting from emplacement of Ferrar Dolerite intrusions at depth and associated explosive steam generation. These pipes, ranging up to 180m in horizontal dimension, comprise sedimentary clasts in a sand matrix, most of which was locally derived. Pipe margins are mainly ill defined and adjacent country rock is commonly disaggregated or shattered, although retaining stratigraphic order. Locally, thin basalt intrusions have interacted with coal beds.</t>
  </si>
  <si>
    <t>[Elliot, David H.] Ohio State Univ, Byrd Polar Res Ctr, Columbus, OH 43210 USA; Ohio State Univ, Sch Earth Sci, Columbus, OH 43210 USA</t>
  </si>
  <si>
    <t>University System of Ohio; Ohio State University; University System of Ohio; Ohio State University</t>
  </si>
  <si>
    <t>Elliot, DH (corresponding author), Ohio State Univ, Byrd Polar Res Ctr, Columbus, OH 43210 USA.</t>
  </si>
  <si>
    <t>elliot.1@osu.edu</t>
  </si>
  <si>
    <t>Office of Polar Programs, National Science Foundation [OPP 0087919]</t>
  </si>
  <si>
    <t>Office of Polar Programs, National Science Foundation(National Science Foundation (NSF))</t>
  </si>
  <si>
    <t>This research was supported by the Office of Polar Programs, National Science Foundation grant OPP 0087919. Discussion of the stratigraphy with James Collinson and comments by James White on the breccia pipes and other features attributed to Ferrar magmatism are also greatly appreciated. Reviews by Teal Riley and Greg Retallack improved the manuscript.</t>
  </si>
  <si>
    <t>10.1017/S0954102010000994</t>
  </si>
  <si>
    <t>WOS:000291050900007</t>
  </si>
  <si>
    <t>Airoldi, G; Muirhead, JD; White, JDL; Rowland, J</t>
  </si>
  <si>
    <t>Airoldi, Giulia; Muirhead, James D.; White, James D. L.; Rowland, Julie</t>
  </si>
  <si>
    <t>Emplacement of magma at shallow depth: insights from field relationships at Allan Hills, south Victoria Land, East Antarctica</t>
  </si>
  <si>
    <t>basalt; dykes; Ferrar LIP; intrusion mechanics; transgressive sills</t>
  </si>
  <si>
    <t>LARGE IGNEOUS PROVINCE; SAUCER-SHAPED INTRUSIONS; DYKE SWARMS; FERRAR; PROPAGATION; SILLS; TRANSPORT; BREAKUP; ZONES; KAROO</t>
  </si>
  <si>
    <t>Allan Hills nunatak, south Victoria Land, Antarctica, exposes an exceptional example of a shallow depth (&lt; 500 m) intrusive complex formed during the evolution of the Ferrar large igneous province (LIP). Dyke distribution, geometries and relationships allow reconstruction of its history and mechanics of intrusion. Sills interconnect across host sedimentary layers, and a swarm of parallel inclined dolerite sheets is intersected by a radiating dyke-array associated with remnants of a phreatomagmatic vent, where the dolerite is locally quenched and mixed to form peperite. Intrusion geometries, and lack of dominant rift-related structures in the country rock indicate that magma overpressure, local stresses between mutually interacting dykes and vertical variations of host rock mechanical properties controlled the intrusive process throughout the thick and otherwise undeformed pile of sedimentary rocks (Victoria Group). Dolerite sills connected to one another by inclined sheets are inferred to record the preferred mode of propagation for magma-carrying cracks that represent the shallow portions of the Ferrar LIP plumbing system.</t>
  </si>
  <si>
    <t>[Airoldi, Giulia; White, James D. L.] Univ Otago, Dept Geol, Dunedin 9054, New Zealand; [Muirhead, James D.; Rowland, Julie] Univ Auckland, Sch Environm, Auckland 1, New Zealand</t>
  </si>
  <si>
    <t>University of Otago; University of Auckland</t>
  </si>
  <si>
    <t>Airoldi, G (corresponding author), Univ Otago, Dept Geol, Leith St,POB 56, Dunedin 9054, New Zealand.</t>
  </si>
  <si>
    <t>g.airoldi.a@gmail.com</t>
  </si>
  <si>
    <t>; White, James Daniel Lee/D-7751-2013</t>
  </si>
  <si>
    <t>Airoldi, Giulia Maria/0000-0001-6775-0090; White, James Daniel Lee/0000-0002-2970-711X; Muirhead, James/0000-0002-9386-817X</t>
  </si>
  <si>
    <t>University of Otago; New Zealand Division of Science; Antarctic Science</t>
  </si>
  <si>
    <t>We acknowledge the University of Otago and the New Zealand Division of Science for postgraduate funding to G. Airoldi, Antarctica NZ and Helicopters NZ for support of field activities, and Antarctic Science for funding attendance to the XXVII IAVCEI General Assembly (Iceland, August 2008). I. Schipper, C. Timms and V. Toy are thanked for help reviewing drafts of the manuscript. D. H. Elliot and an anonymous reviewer are thanked for helpful comments on a previous version of the manuscript. O. Galland and T. Menand are thanked for constructive reviews.</t>
  </si>
  <si>
    <t>10.1017/S0954102011000095</t>
  </si>
  <si>
    <t>WOS:000291050900008</t>
  </si>
  <si>
    <t>Mortimer, N; Palin, JM; Dunlap, WJ; Hauff, F</t>
  </si>
  <si>
    <t>Mortimer, N.; Palin, J. M.; Dunlap, W. J.; Hauff, F.</t>
  </si>
  <si>
    <t>Extent of the Ross Orogen in Antarctica: new data from DSDP 270 and Iselin Bank</t>
  </si>
  <si>
    <t>geochemistry; geochronology; igneous rocks; Lachlan Orogen; metamorphic rocks; tectonics</t>
  </si>
  <si>
    <t>NORTHERN VICTORIA LAND; MARIE-BYRD LAND; ZIRCON AGES; GLACIER AREA; NEW-ZEALAND; MARGIN; GONDWANA; GRANITE; GEOCHRONOLOGY; GEOCHEMISTRY</t>
  </si>
  <si>
    <t>The Ross Sea is bordered by the Late Precambrian-Cambrian Ross-Delamerian Orogen of East Antarctica and the more Pacific-ward Ordovician-Silurian Lachlan-Tuhua-Robertson Bay-Swanson Orogen. A calcsilicate gneiss from Deep Sea Drilling Project 270 drill hole in the central Ross Sea, Antarctica, gives a U-Pb titanite age of 437 +/- 6Ma (2 sigma). This age of high-grade metamorphism is too young for typical Ross Orogen. Based on this age, and on lithology, we propose a provisional correlation with the Early Palaeozoic Lachlan-Tuhua-Robertson Bay-Swanson Orogen, and possibly the Bowers Terrane of northern Victoria Land. A metamorphosed porphyritic rhyolite dredged from the Iselin Bank, northern Ross Sea, gives a U-Pb zircon age of 545 +/- 32Ma (2 sigma). The U-Pb age, petrochemistry, Ar-Ar K-feldspar dating, and Sr and Nd isotopic ratios indicate a correlation with Late Proterozoic-Cambrian igneous protoliths of the Ross Orogen. If the Iselin Bank rhyolite is not ice-rafted debris, then it represents a further intriguing occurrence of Ross basement found outside the main Ross-Delamerian Orogen.</t>
  </si>
  <si>
    <t>[Mortimer, N.] GNS Sci, Dunedin, New Zealand; [Palin, J. M.] Univ Otago, Dept Geol, Dunedin, New Zealand; [Dunlap, W. J.] Univ Minnesota, Dept Geol &amp; Geophys, Minneapolis, MN 55455 USA; [Hauff, F.] IFM GEOMAR Leibniz Inst Marine Sci, D-24148 Kiel, Germany</t>
  </si>
  <si>
    <t>GNS Science - New Zealand; University of Otago; University of Minnesota System; University of Minnesota Twin Cities; Helmholtz Association; GEOMAR Helmholtz Center for Ocean Research Kiel</t>
  </si>
  <si>
    <t>Mortimer, N (corresponding author), GNS Sci, Private Bag 1930, Dunedin, New Zealand.</t>
  </si>
  <si>
    <t>n.mortimer@gns.cri.nz</t>
  </si>
  <si>
    <t>Hauff, Folkmar/AAG-3630-2021; Mortimer, Nick/D-5791-2011</t>
  </si>
  <si>
    <t>Hauff, Folkmar/0000-0001-9503-9714; Mortimer, Nick/0000-0002-6812-3379</t>
  </si>
  <si>
    <t>New Zealand Foundation for Research, Science and Technology</t>
  </si>
  <si>
    <t>We thank the International Ocean Drilling Program Gulf Coast Repository for providing material from DSDP 270, and John Simes and Belinda Smith Lyttle for rock crushing and mineral separation. Earlier versions of the manuscript were improved by comments from Andy Tulloch, Ian Turnbull, Anna Fioretti, Michael Flowerdew, Teal Riley, Ed Stump, Alan Vaughan and Richard Jongens. Funded by the New Zealand Foundation for Research, Science and Technology.</t>
  </si>
  <si>
    <t>10.1017/S0954102010000969</t>
  </si>
  <si>
    <t>WOS:000291050900009</t>
  </si>
  <si>
    <t>Wagner, B; Ortlepp, S; Doran, PT; Kenig, F; Melles, M; Burkemper, A</t>
  </si>
  <si>
    <t>Wagner, Bernd; Ortlepp, Sabrina; Doran, Peter T.; Kenig, Fabien; Melles, Martin; Burkemper, Andy</t>
  </si>
  <si>
    <t>The Holocene environmental history of Lake Hoare, Taylor Valley, Antarctica, reconstructed from sediment cores</t>
  </si>
  <si>
    <t>lake level fluctuations; late Quaternary; McMurdo Dry Valleys; palaeolimnology</t>
  </si>
  <si>
    <t>MCMURDO DRY VALLEYS; GROUNDED ICE-SHEET; ROSS SEA; GLACIAL HISTORY; CLIMATE-CHANGE; FRYXELL BASIN; VICTORIA LAND; CHRONOLOGY; DEPOSITION; EMBAYMENT</t>
  </si>
  <si>
    <t>Up to 2.3m long sediment sequences were recovered from the deepest part of Lake Hoare in Taylor Valley, southern Victoria Land, Antarctica. Sedimentological, biogeochemical, and mineralogical analyses revealed a high spatial variability of these parameters in Lake Hoare. Five distinct lithological units were recognized. Radiocarbon dating of bulk organic carbon samples from the sediment sequences yielded apparently too old ages and significant age reversals, which prevented the establishment of reliable age-depth models. However, cross correlation of the sedimentary characteristics with those of sediment records from neighbouring Lake Fryxell indicates that the lowermost two units of the Lake Hoare sediment sequences were probably deposited during the final phase of proglacial Lake Washburn, which occupied Taylor Valley during the late Pleistocene and early Holocene. High amounts of angular gravel and the absence of fine-grained material imply a complete desiccation with subaerial conditions in the Lake Hoare basin in the middle of the Holocene. The late Holocene (&lt; c. 3300 calendar yr BP) is characterized by the establishment of environmental conditions similar to those existing today. A late Holocene desiccation event, such as proposed in former studies, is not indicated in the sediment sequences recovered.</t>
  </si>
  <si>
    <t>[Wagner, Bernd; Ortlepp, Sabrina; Melles, Martin] Univ Cologne, Inst Geol &amp; Mineral, D-50674 Cologne, Germany; [Doran, Peter T.; Kenig, Fabien; Burkemper, Andy] Univ Illinois, Chicago, IL 60607 USA</t>
  </si>
  <si>
    <t>University of Cologne; University of Illinois System; University of Illinois Chicago; University of Illinois Chicago Hospital</t>
  </si>
  <si>
    <t>Wagner, B (corresponding author), Univ Cologne, Inst Geol &amp; Mineral, Zuelpicher Str 49A, D-50674 Cologne, Germany.</t>
  </si>
  <si>
    <t>wagnerb@uni-koeln.de</t>
  </si>
  <si>
    <t>Wagner, Bernd/J-4682-2012; Melles, Martin/J-4070-2012; Kenig, Fabien/A-4961-2008</t>
  </si>
  <si>
    <t>Wagner, Bernd/0000-0002-1369-7893; Melles, Martin/0000-0003-0977-9463; Kenig, Fabien/0000-0003-4868-5232</t>
  </si>
  <si>
    <t>German Research Foundation (DFG) [ME 1169/11]; National Science Foundation [OPP 0096250, 0126270]</t>
  </si>
  <si>
    <t>German Research Foundation (DFG)(German Research Foundation (DFG)); National Science Foundation(National Science Foundation (NSF))</t>
  </si>
  <si>
    <t>This project was funded by the German Research Foundation (DFG, grant no. ME 1169/11) and by the National Science Foundation (OPP 0096250, 0126270). Peter Glenday, Jennifer Lawson Knoepfle, and David Mazzucchi are thanked for their assistance in the field. Special thanks are due to Holger Cremer for the determination of diatoms. Claus-Dieter Hillenbrand, John Gibson and Alan Vaughan provided valuable comments and suggestions to improve the manuscript.</t>
  </si>
  <si>
    <t>10.1017/S0954102011000125</t>
  </si>
  <si>
    <t>WOS:000291050900010</t>
  </si>
  <si>
    <t>Nel, AJM; Tuffin, IM; Sewell, BT; Cowan, DA</t>
  </si>
  <si>
    <t>Nel, A. J. M.; Tuffin, I. M.; Sewell, B. T.; Cowan, D. A.</t>
  </si>
  <si>
    <t>Unique Aliphatic Amidase from a Psychrotrophic and Haloalkaliphilic Nesterenkonia Isolate</t>
  </si>
  <si>
    <t>RIBOSOMAL-RNA GENES; SP NOV.; HELICOBACTER-PYLORI; CRYSTAL-STRUCTURE; ESCHERICHIA-COLI; SOILS; ACTINOBACTERIA; AMPLIFICATION; FORMAMIDASE; REVEALS</t>
  </si>
  <si>
    <t>Nesterenkonia strain AN1 was isolated from a screening program for nitrile-and amide-hydrolyzing microorganisms in Antarctic desert soil samples. Strain AN1 showed significant 16S rRNA sequence identity to known members of the genus. Like known Nesterenkonia species, strain AN1 was obligately alkaliphilic (optimum environmental pH, 9 to 10) and halotolerant (optimum environmental Na+ content, 0 to 15% [wt/vol]) but was also shown to be an obligate psychrophile with optimum growth at approximately 21 degrees C. The partially sequenced genome of AN1 revealed an open reading frame (ORF) encoding a putative protein member of the nitrilase superfamily, referred to as NitN (264 amino acids). The protein crystallized readily as a dimer and the atomic structure of all but 10 amino acids of the protein was determined, confirming that the enzyme had an active site and a fold characteristic of the nitrilase superfamily. The protein was screened for activity against a variety of nitrile, carbamoyl, and amide substrates and was found to have only amidase activity. It had highest affinity for propionamide but demonstrated a low catalytic rate. NitN had maximal activity at 30 degrees C and between pH 6.5 and 7.5, conditions which are outside the optimum growth range for the organism.</t>
  </si>
  <si>
    <t>[Cowan, D. A.] Univ Western Cape, Inst Microbial Biotechnol &amp; Metagenom, Dept Biotechnol, ZA-7535 Bellville, Cape Town, South Africa; [Nel, A. J. M.; Sewell, B. T.] Univ Cape Town, Div Med Biochem, Inst Infect Dis &amp; Mol Med, ZA-7925 Cape Town, South Africa</t>
  </si>
  <si>
    <t>University of the Western Cape; University of Cape Town</t>
  </si>
  <si>
    <t>Cowan, DA (corresponding author), Univ Western Cape, Inst Microbial Biotechnol &amp; Metagenom, Dept Biotechnol, Private Bag X17, ZA-7535 Bellville, Cape Town, South Africa.</t>
  </si>
  <si>
    <t>dcowan@uwc.ac.za</t>
  </si>
  <si>
    <t>Cowan, Donald A/E-3991-2012; Trindade, Marla/AAU-9730-2020</t>
  </si>
  <si>
    <t>Cowan, Donald A/0000-0001-8059-861X; Trindade, Marla/0000-0002-2478-0270; Sewell, Bryan Trevor/0000-0002-6701-2394</t>
  </si>
  <si>
    <t>National Research Foundation (NRF), South Africa</t>
  </si>
  <si>
    <t>National Research Foundation (NRF), South Africa(National Research Foundation - South Africa)</t>
  </si>
  <si>
    <t>The National Research Foundation (NRF), South Africa, supported this work in the form of a grant.</t>
  </si>
  <si>
    <t>1098-5336</t>
  </si>
  <si>
    <t>10.1128/AEM.02726-10</t>
  </si>
  <si>
    <t>767HY</t>
  </si>
  <si>
    <t>WOS:000290847800018</t>
  </si>
  <si>
    <t>Piette, F; D'Amico, S; Mazzucchelli, G; Danchin, A; Leprince, P; Feller, G</t>
  </si>
  <si>
    <t>Piette, Florence; D'Amico, Salvino; Mazzucchelli, Gabriel; Danchin, Antoine; Leprince, Pierre; Feller, Georges</t>
  </si>
  <si>
    <t>Life in the Cold: a Proteomic Study of Cold-Repressed Proteins in the Antarctic Bacterium Pseudoalteromonas haloplanktis TAC125</t>
  </si>
  <si>
    <t>TRIGGER FACTOR; LOW-TEMPERATURES; GENOME SEQUENCE; ADAPTATION; SHOCK</t>
  </si>
  <si>
    <t>The proteomes expressed at 4 degrees C and 18 degrees C by the psychrophilic Antarctic bacterium Pseudoalteromonas haloplanktis were compared using two-dimensional differential in-gel electrophoresis with special reference to proteins repressed by low temperatures. Remarkably, the major cold-repressed proteins, almost undetectable at 4 degrees C, were heat shock proteins involved in folding assistance.</t>
  </si>
  <si>
    <t>[Feller, Georges] Univ Liege, Inst Chem B6A, Biochem Lab, Ctr Prot Engn, B-4000 Liege, Belgium; [Mazzucchelli, Gabriel] Univ Liege, Mass Spectrometry Lab, B-4000 Liege, Belgium; [Danchin, Antoine] AMAbiot SAS, Evry, France; [Leprince, Pierre] Univ Liege, GIGA Neurosci, B-4000 Liege, Belgium</t>
  </si>
  <si>
    <t>University of Liege; University of Liege; University of Liege</t>
  </si>
  <si>
    <t>Feller, G (corresponding author), Univ Liege, Inst Chem B6A, Biochem Lab, Ctr Prot Engn, B-4000 Liege, Belgium.</t>
  </si>
  <si>
    <t>Danchin, Antoine/F-3745-2018</t>
  </si>
  <si>
    <t>Danchin, Antoine/0000-0002-6350-5001; Leprince, pierre/0000-0002-7233-6553; Mazzucchelli, Gabriel/0000-0002-8757-8133</t>
  </si>
  <si>
    <t>F.R.S.-FNRS (National Fund for Scientific Research), Belgium</t>
  </si>
  <si>
    <t>F.R.S.-FNRS (National Fund for Scientific Research), Belgium(Fonds de la Recherche Scientifique - FNRS)</t>
  </si>
  <si>
    <t>This work was supported by F.R.S.-FNRS (National Fund for Scientific Research), Belgium (FRFC grants to G. F., an FRSM grant to P. L., and a Credits aux Chercheurs grant to S. D. and G. F.). F. P. was a FRIA research fellow and S. D. was an F.R.S.-FNRS postdoctoral researcher during this work. G. M. is an F.R.S.-FNRS logistics collaborator, and P. L. is an F.R.S.-FNRS research associate. F. P. was supported by the European Space Agency (Exanam-Prodex Experiment Arrangement).</t>
  </si>
  <si>
    <t>10.1128/AEM.02757-10</t>
  </si>
  <si>
    <t>WOS:000290847800041</t>
  </si>
  <si>
    <t>Stuart, KM; Long, DG</t>
  </si>
  <si>
    <t>Stuart, K. M.; Long, D. G.</t>
  </si>
  <si>
    <t>Tracking large tabular icebergs using the SeaWinds Ku-band microwave scatterometer</t>
  </si>
  <si>
    <t>SeaWinds; Scatterometer; Resolution enhancement; Icebergs; Sea ice; NSF Antarctic cruise</t>
  </si>
  <si>
    <t>Knowledge of iceberg locations is important for safety reasons as well as for understanding many geophysical and biological processes. Originally designed to measure wind speed and direction over the ocean, SeaWinds is a microwave scatterometer that operates at 13.4 GHz (Ku-band) on the QuikSCAT satellite. Radar measurements from SeaWinds are collected and processed on a daily basis using resolution-enhancement techniques to produce daily radar images. Because icebergs scatter microwave energy more than sea ice and sea water, icebergs are detected as high-backscatter targets surrounded by lower-backscatter regions in daily SeaWinds images. As a result, iceberg positions are determined in real-time and a time-series of iceberg positions is maintained in an Antarctic iceberg database by Brigham Young University's Microwave Earth Remote Sensing (MERS) laboratory. Since SeaWinds operates independent of both solar illumination and cloud cover and has a large daily spatial coverage, this paper demonstrates that SeaWinds is an excellent platform to detect and track large tabular icebergs. These icebergs are generally larger than 5 km and are typically characterized as a rough ice plateau above the surrounding sea water or sea ice. The number of icebergs tracked in the MERS Antarctic iceberg database is found to be generally greater than the number of icebergs tracked by the National Ice Center. The movement patterns of all icebergs detected by SeaWinds are also analyzed and 90% of icebergs are found to travel a counter-clockwise path around Antarctica and accumulate in the Weddell and Scotia Seas. Iceberg detection and tracking is demonstrated via multiple case studies that highlight icebergs C-19a and A-22a using the MERS database and through real-time operational support of the 2005, 2008, and 2009 NSF Antarctic cruises. Iceberg positions are validated by using collocated high-resolution satellite imagery and by navigating the NSF ships to physically intercept several large tabular icebergs in the Weddell and Scotia Seas. (C) 2010 Elsevier Ltd. All rights reserved.</t>
  </si>
  <si>
    <t>[Stuart, K. M.; Long, D. G.] Brigham Young Univ, Microwave Earth Remote Sensing Lab, Provo, UT 84602 USA</t>
  </si>
  <si>
    <t>Brigham Young University</t>
  </si>
  <si>
    <t>Stuart, KM (corresponding author), Brigham Young Univ, Microwave Earth Remote Sensing Lab, 459 CB, Provo, UT 84602 USA.</t>
  </si>
  <si>
    <t>stuart@mers.byu.edu; long@ee.byu.edu</t>
  </si>
  <si>
    <t>Long, David G./K-4908-2015</t>
  </si>
  <si>
    <t>Long, David G./0000-0002-1852-3972</t>
  </si>
  <si>
    <t>National Science Foundation [ANT-0636440]</t>
  </si>
  <si>
    <t>We thank the National Science Foundation for their support of the 2005, 2008, and 2009 Antarctic cruises. We also thank the officers, crew, and scientists aboard the first cruise ARSV L.M. Gould cruise LMG05-014A and the second and third cruises RVIB N.B. Palmer, NBP08-06 and NBP09-02, for their hard work at sea. This research was funded in part by the National Science Foundation under contract ANT-0636440. We also thank the NIC for providing high-resolution imagery of icebergs in the Southern Ocean.</t>
  </si>
  <si>
    <t>10.1016/j.dsr2.2010.11.004</t>
  </si>
  <si>
    <t>WOS:000291079800002</t>
  </si>
  <si>
    <t>Hobson, BW; Sherman, AD; McGill, PR</t>
  </si>
  <si>
    <t>Hobson, Brett W.; Sherman, Alana D.; McGill, Paul R.</t>
  </si>
  <si>
    <t>Imaging and sampling beneath free-drifting icebergs with a remotely operated vehicle</t>
  </si>
  <si>
    <t>Icebergs; Weddell Sea; Remotely operated vehicle</t>
  </si>
  <si>
    <t>ICE; OCEAN; IRON</t>
  </si>
  <si>
    <t>A commercially available, small (less than 100-kg), remotely operated vehicle (ROV) was modified to image and sample the marine ecosystem surrounding free-drifting icebergs east of the Antarctic Peninsula during three field expeditions in 2005, 2008 and 2009. Modifications included fitting the vehicle with an accessory tool sled, additional thrusters, flotation and significant changes to internal wiring to support a wide array of sensors and samplers. The ROV was re-configured aboard the R/V Nathaniel B. Palmer to perform either general exploration and biological sampling (Bio dives) or water sampling (Chemistry dives). In-situ sensors and a suction sampler were used for Bio dives while a suction pump and hose were fastened along the full length of the ROV tether to enable continuous water sampling adjacent to each iceberg during Chemistry-dives. Details of the ROV system are presented along with a discussion of the 18 dives that explored the sides and bottoms of six different icebergs during the 2009 field expedition. (C) 2010 Elsevier Ltd. All rights reserved.</t>
  </si>
  <si>
    <t>[Hobson, Brett W.; Sherman, Alana D.; McGill, Paul R.] Monterey Bay Aquarium Res Inst, Moss Landing, CA 95039 USA</t>
  </si>
  <si>
    <t>Monterey Bay Aquarium Research Institute</t>
  </si>
  <si>
    <t>Hobson, BW (corresponding author), Monterey Bay Aquarium Res Inst, Moss Landing, CA 95039 USA.</t>
  </si>
  <si>
    <t>hobson@mbari.org</t>
  </si>
  <si>
    <t>National Science Foundation [ANT-0529815, ANT-0636813]; David and Lucile Packard Foundation</t>
  </si>
  <si>
    <t>National Science Foundation(National Science Foundation (NSF)); David and Lucile Packard Foundation(The David &amp; Lucile Packard Foundation)</t>
  </si>
  <si>
    <t>We thank K.L. Smith Jr. for organizing this study that allowed us to explore the beautiful and technically challenging environment surrounding free-drifting icebergs. We also thank our collaborators and the Raytheon Polar Services support group, the shipboard scientific personnel and crew of the R/VIB Nathaniel B. Palmer. Dr. Carol Stoker from NASA Ames gratiously provided the first Phantom used during the first two cruises and Lance Horn from UNCW, who contributed an actuators and a sampler. T. Craig Dawe expertly piloted the ROV during the 2009 cruise. This work was funded by National Science Foundation grants to K.L. Smith Jr. (ANT-0529815), K.L. Smith Jr. and B. Robison (ANT-0636813) and The David and Lucile Packard Foundation.</t>
  </si>
  <si>
    <t>10.1016/j.dsr2.2010.11.006</t>
  </si>
  <si>
    <t>WOS:000291079800004</t>
  </si>
  <si>
    <t>Stephenson, GR; Sprintall, J; Gille, ST; Vernet, M; Helly, JJ; Kaufmann, RS</t>
  </si>
  <si>
    <t>Stephenson, Gordon R., Jr.; Sprintall, Janet; Gille, Sarah T.; Vernet, Maria; Helly, John J.; Kaufmann, Ronald S.</t>
  </si>
  <si>
    <t>Subsurface melting of a free-floating Antarctic iceberg</t>
  </si>
  <si>
    <t>Icebergs; Melting; Cryosphere; Southern Ocean; Weddell Sea; Antarctica</t>
  </si>
  <si>
    <t>WEDDELL SEA; ICE; WATER; MODEL</t>
  </si>
  <si>
    <t>Observations near a large tabular iceberg in the Weddell Sea in March and April 2009 show evidence that water from ice melting below the surface is dispersed in two distinct ways. Warm, salty anomalies in T-S diagrams suggest that water from the permanent thermocline is transported vertically as a result of turbulent entrainment of meltwater at the iceberg's base. Stepped profiles of temperature, salinity, and density in the seasonal thermocline are more characteristic of double-diffusive processes that transfer meltwater horizontally away from the vertical ice face. These processes contribute comparable amounts of meltwater-O(0.1 m(3)) to the upper 200 m of a 1 m(2) water column-but only basal melting results in significant upwelling of water from below the Winter Water layer into the seasonal thermocline, suggesting that these two processes may have different effects on vertical nutrient transport near an iceberg. (C) 2010 Elsevier Ltd. All rights reserved.</t>
  </si>
  <si>
    <t>[Stephenson, Gordon R., Jr.; Sprintall, Janet; Gille, Sarah T.; Vernet, Maria] Univ Calif San Diego, Scripps Inst Oceanog, La Jolla, CA 92093 USA; [Helly, John J.] Univ Calif San Diego, San Diego Supercomp Ctr, La Jolla, CA 92093 USA; [Kaufmann, Ronald S.] Univ San Diego, Marine Sci &amp; Environm Studies Dept, San Diego, CA 92110 USA</t>
  </si>
  <si>
    <t>University of California System; University of California San Diego; Scripps Institution of Oceanography; University of California System; University of California San Diego; University of San Diego</t>
  </si>
  <si>
    <t>Stephenson, GR (corresponding author), Univ Calif San Diego, Scripps Inst Oceanog, 9500 Gilman Dr,Mail Code 0230, La Jolla, CA 92093 USA.</t>
  </si>
  <si>
    <t>grstephe@ucsd.edu; jsprintall@ucsd.edu; sgille@ucsd.edu; mvernet@ucsd.edu; hellyj@ucsd.edu; kaufmann@sandiego.edu</t>
  </si>
  <si>
    <t>Gille, Sarah T./B-3171-2012</t>
  </si>
  <si>
    <t>Gille, Sarah/0000-0001-9144-4368</t>
  </si>
  <si>
    <t>NSF [ANT-0636730, NSF ARRA OCE0850350]; NASA; Division Of Ocean Sciences; Directorate For Geosciences [0850350] Funding Source: National Science Foundation</t>
  </si>
  <si>
    <t>NSF(National Science Foundation (NSF)); NASA(National Aeronautics &amp; Space Administration (NASA)); Division Of Ocean Sciences; Directorate For Geosciences(National Science Foundation (NSF)NSF - Directorate for Geosciences (GEO))</t>
  </si>
  <si>
    <t>We are grateful to the staff from Raytheon Polar Services and the captain and crew of the RV/IB Nathaniel B. Palmer for their support in the field. We would also like to thank Yvonne Firing for her feedback during the manuscript preparation. The field component of this research was funded by a NSF award to M. Vernet (ANT-0636730). Data analysis was funded by a NSF award to S. Gille and J. Sprintall (NSF ARRA OCE0850350) and a NASA Earth and Space Science Fellowship to G. Stephenson.</t>
  </si>
  <si>
    <t>10.1016/j.dsr2.2010.11.009</t>
  </si>
  <si>
    <t>WOS:000291079800007</t>
  </si>
  <si>
    <t>Shaw, TJ; Raiswell, R; Hexel, CR; Vu, HP; Moore, WS; Dudgeon, R; Smith, KL</t>
  </si>
  <si>
    <t>Shaw, T. J.; Raiswell, R.; Hexel, C. R.; Vu, H. P.; Moore, W. S.; Dudgeon, R.; Smith, K. L., Jr.</t>
  </si>
  <si>
    <t>Input, composition, and potential impact of terrigenous material from free-drifting icebergs in the Weddell Sea</t>
  </si>
  <si>
    <t>Ice rafted detritus; Southern Ocean Fe fertilization; Bioavailable Fe; Ra-224; CO2 draw down; Glaciogenic detritus</t>
  </si>
  <si>
    <t>ANTARCTIC ICE-SHEET; PINE ISLAND BAY; SOUTHERN-OCEAN; COLLOIDAL IRON; SECTOR; DUST; PROVENANCE; SEDIMENT; DYNAMICS; POLAR</t>
  </si>
  <si>
    <t>The hypothesis that Fe fertilization of the Southern Ocean could account for at least part of the glacial-interglacial difference in atmospheric CO2 has lead to a search for the Fe source. Iron fertilization in the open ocean can occur naturally through increased dust input, cross-shelf export, upwelling of Fe replete deep water, and release of terrigenous Fe from icebergs. However, the relative importance of these mechanisms, in terms of the flux and bioavailability of the Fe, is the source of much interest and debate. An unambiguous tracer of terrigenous material, excess Ra-224, was used to show that free-drifting icebergs are a significant Fe source to surface waters in the Southern Ocean. Activity of Ra-224 (half-life 3.7 days) was measured in the Weddell Sea in surface waters surrounding three free-drifting icebergs and in Iceberg Alley. Inventories of excess Ra-224 indicate a local terrigenous input 1-3 orders of magnitude greater than estimates of aeolian dust fluxes to the Southern Ocean. Burdens of fine terrigenous material associated with current rates of iceberg ejection are estimated to be on the order of 90 x 10(6) tons per year for Antarctica, yielding a total Fe input of similar to 3 x 10(6) tons per year. Chemical and mineralogical composition of the terrigenous material confirms that 0.04-0.4% exists as labile Fe in ferrihydrite that is potentially bioavailable (on the order of 4-40 x 10(4) tons of per year). These results suggest that free-drifting icebergs can contribute significantly to atmospheric CO2 drawdown though Fe fertilization in the Southern Ocean. (C) 2010 Elsevier Ltd. All rights reserved.</t>
  </si>
  <si>
    <t>[Shaw, T. J.; Hexel, C. R.; Dudgeon, R.] Univ S Carolina, Dept Chem &amp; Biochem, Columbia, SC 29208 USA; [Raiswell, R.; Vu, H. P.] Univ Leeds, Sch Earth &amp; Environm, Leeds LS2 9JT, W Yorkshire, England; [Moore, W. S.] Univ S Carolina, Dept Earth &amp; Ocean Sci, Columbia, SC 29208 USA; [Smith, K. L., Jr.] Monterey Bay Aquarium Res Inst, Moss Landing, CA 95039 USA</t>
  </si>
  <si>
    <t>University of South Carolina System; University of South Carolina Columbia; University of Leeds; University of South Carolina System; University of South Carolina Columbia; Monterey Bay Aquarium Research Institute</t>
  </si>
  <si>
    <t>Shaw, TJ (corresponding author), Univ S Carolina, Dept Chem &amp; Biochem, Columbia, SC 29208 USA.</t>
  </si>
  <si>
    <t>shaw@mail.chem.sc.edu</t>
  </si>
  <si>
    <t>Moore, Willard S/B-6096-2016; Hexel, Cole/N-3245-2016; Vu, Hong Phuc/G-3654-2012</t>
  </si>
  <si>
    <t>Moore, Willard S/0000-0001-5930-5325; Hexel, Cole/0000-0001-8101-2422; Shaw, Timothy/0000-0002-0032-457X; Vu, Hong Phuc/0000-0002-7898-1924</t>
  </si>
  <si>
    <t>NSF [OPP-0636319]</t>
  </si>
  <si>
    <t>We thank the captains and crews of the ARV LM. Gould and the IBRV N.B. Palmer for making sampling around icebergs a reality even under the most difficult conditions. We also thank all the shipboard scientific personnel on ARV LM. Gould cruise LMG05-14A and the IBRV N.B. Palmer cruise NBP-0209 for their support in sampling and insightful discussion both on and off the ships. The Raytheon Polar Services support group provided excellent support for sample collection and shipboard analysis. Dr. Hans Brumsack, Dr. Bernard Schnetger, and one anonymous reviewer provided many helpful comments and suggestions for the improvement of this manuscript. This research was supported by NSF OPP-0636319. Iron oxyhydroxide minerals were characterized at the Leeds Electron Microscopy and Spectroscopy Centre.</t>
  </si>
  <si>
    <t>10.1016/j.dsr2.2010.11.012</t>
  </si>
  <si>
    <t>WOS:000291079800010</t>
  </si>
  <si>
    <t>Murray, AE; Peng, V; Tyler, C; Wagh, P</t>
  </si>
  <si>
    <t>Murray, Alison E.; Peng, Vivian; Tyler, Charlotte; Wagh, Protima</t>
  </si>
  <si>
    <t>Marine bacterioplankton biomass, activity and community structure in the vicinity of Antarctic icebergs</t>
  </si>
  <si>
    <t>Bacterioplankton; Production; Heterotrophy; LH-PCR; Weddell Sea; Icebergs</t>
  </si>
  <si>
    <t>RIBOSOMAL-RNA GENES; SOUTHERN-OCEAN; PHYTOPLANKTON BLOOM; PLANKTONIC BACTERIA; IRON FERTILIZATION; SPATIAL-PATTERNS; ORGANIC-MATTER; ROSS SEA; DIVERSITY; CARBON</t>
  </si>
  <si>
    <t>We studied marine bacterioplankton in the Scotia Sea in June 2008 and in the northwest Weddell Sea in March to mid April 2009 in waters proximal to three free-drifting icebergs (SS-1, A-43k, and C-18a), in a region with a high density of smaller icebergs (iceberg alley), and at stations that were upstream of the iceberg trajectories designated as far-field reference sites that were between 16-75 km away. Hydrographic parameters were used to define water masses in which comparisons between bacterioplankton-associated characteristics (abundance, leucine incorporation into protein, aminopeptidase activities and community structure) within and between water masses could be made. Early winter Scotia Sea bacterioplankton had low levels of cells and low heterotrophic production rates in the upper 50 m. Influences of the icebergs on bacterioplankton at this time of year were minimal, if not deleterious, as we found lower levels of heterotrophic production near A-43k in comparison to stations &gt; 16 km away. Additionally, the results point to small but significant differences in cell abundance, heterotrophic production, and community structure between the two icebergs studied. These icebergs differed greatly in size and the findings suggest that the larger iceberg had a greater effect. In the NW Weddell Sea in March-mid April bacterioplankton were twice as abundant and had heterotrophic productions rates that were 8-fold higher than what we determined in the Scotia Sea, though levels were still quite low, which is typical for autumn. We did not detect direct iceberg-related influences on the bacterioplankton characteristics studied here. Clues to understanding bacterioplankton responses may lie in the details of community structure, as there were some significant differences in community structure in the winter water and underlying upper circumpolar deep-water masses between stations occupied close to C-18a and at stations 18 km away (i.e. Polaribacter and Pelagibacter-related 16S rRNA gene fragments were at low levels at the 18 km stations), though higher resolution, high throughput profiling tools will be needed to pinpoint specific organisms and ecological types. Likewise, a better understanding of local to regional scale structure of bacterioplankton communities is necessary. The relationship between bacterioplankton abundance and heterotrophic production suggested bottom up processes were controlling bacterioplankton during March - mid-April in the NW Weddell Sea, and that variation in temperature may play a role in substrate utilization. Trophic linkages seen between phytoplankton and zooplankton were mirrored by tight coupling between primary production and heterotrophic production in the waters immediately surrounding C-18a and in iceberg alley (but not at stations 18 and 75 km away), suggesting that indirect effects on bacterioplankton may also be important. Overall, the results show that bacterioplankton, dominated by Rhodobacteracae Pelagibacter, and uncultivated Gammaproteobacteria groups were minimally influenced by icebergs in the regions and seasons studied here - at least directly - though further work addressing different scales, sizes of icebergs, and seasons is needed to better understand bacterioplankton-associated ecological processes and carbon cycling in regions of high iceberg production. (C) 2010 Elsevier Ltd. All rights reserved.</t>
  </si>
  <si>
    <t>[Murray, Alison E.; Peng, Vivian; Tyler, Charlotte; Wagh, Protima] Desert Res Inst, Reno, NV 89512 USA</t>
  </si>
  <si>
    <t>Nevada System of Higher Education (NSHE); Desert Research Institute NSHE</t>
  </si>
  <si>
    <t>Murray, AE (corresponding author), Desert Res Inst, 2215 Reggio Pkwy, Reno, NV 89512 USA.</t>
  </si>
  <si>
    <t>Alison.Murray@dri.edu</t>
  </si>
  <si>
    <t>NSF [ANT-0636543]</t>
  </si>
  <si>
    <t>We sincerely appreciate the efforts of A.E. Kelley and N. Middaugh in sample collection and processing. This research was part of a much larger study, and we acknowledge the group as a whole led by K. Smith in the execution of this research program. In particular, we thank M. Vernet, R. Kaufmann, and R. Sherlock for countless, stimulating discussions and assistance with statistical analyses. We are grateful to three anonymous reviewers, C. Fritsen and M. Vernet for providing comments on this manuscript. The J.J. Mac Isaac Facility for Aquatic Cytometry, Bigelow Laboratory for Ocean Sciences is acknowledged for flow cytometry analysis. The assistance of Raytheon Polar Services is gratefully acknowledged for support in field logistics and planning, as are the Captain and crew of the A.S.V. Nathaniel B. Palmer. This research was supported by NSF award ANT-0636543 to AEM.</t>
  </si>
  <si>
    <t>10.1016/j.dsr2.2010.11.021</t>
  </si>
  <si>
    <t>WOS:000291079800013</t>
  </si>
  <si>
    <t>Vernet, M; Sines, K; Chakos, D; Cefarelli, AO; Ekern, L</t>
  </si>
  <si>
    <t>Vernet, M.; Sines, K.; Chakos, D.; Cefarelli, A. O.; Ekern, L.</t>
  </si>
  <si>
    <t>Impacts on phytoplankton dynamics by free-drifting icebergs in the NW Weddell Sea</t>
  </si>
  <si>
    <t>Phytoplankton; Icebergs; Primary production; Biomass; Size-Fractionated Chlorophyll</t>
  </si>
  <si>
    <t>MARGINAL ICE-ZONE; BIOGENIC FIXED NITROGEN; SOUTHERN-OCEAN; ANTARCTIC PHYTOPLANKTON; SPATIAL-DISTRIBUTION; BRANSFIELD STRAIT; ATLANTIC SECTOR; WATER-COLUMN; ALGAL BLOOMS; BIOMASS</t>
  </si>
  <si>
    <t>Glacier ice released to the oceans through iceberg formation has a complex effect on the surrounding ocean waters. We hypothesized that phytoplankton communities would differ in abundance, composition and production around or close to an iceberg. This paper tests the influence of individual icebergs on scales of meters to kilometers, observed through shipboard oceanographic sampling on March-April 2009. Surface waters (integrated 0-100 m depth, within the euphotic zone) sampled close to the iceberg C-18a ( &lt;1 km) were characterized by lower temperatures, more dissolved nitrate, less total chlorophyll a (chla) concentration, less picoplankton ( &lt;3 mu m) cell abundance, and higher transparency than surface conditions 18 km upstream. However, enrichment of large cells, identified as diatoms, was the basis of an active food chain. Upward velocity of meltwater and dissolved Fe concentrations in excess of 1-2 nM are expected to facilitate diatom specific growth. The presence of diatoms close to the iceberg C-18a and the higher variable fluorescence (Fv/Fm) indicated healthy cells, consistent with Antarctic waters rich in micronutrients. Furthermore, chla increased significantly 2 km around the iceberg and 10 days after the iceberg's passage. We hypothesize that the lower biomass next to the iceberg was due to high loss rates. Underwater melting is expected to dilute phytoplankton near the iceberg by entraining deep water or by introducing meltwater. In addition, high zooplankton biomass within 2 km of the iceberg, mainly Antarctic krill Euphausia superba and salps Salpa thompsonii, are expected to exert heavy grazing pressure on phytoplankton, the krill on large cells &gt;10 mu m and the salps on smaller cells, 3-10 mu m. The iceberg's main influence in the austral fall is measured not so much by phytoplankton accumulation but by reactivation of the classic Antarctic food chain, facilitating diatom growth and sustaining high Antarctic krill populations. (C) 2011 Elsevier Ltd. All rights reserved.</t>
  </si>
  <si>
    <t>[Vernet, M.; Chakos, D.] Scripps Inst Oceanog, La Jolla, CA 92037 USA; [Sines, K.] Univ Georgia, Athens, GA 30605 USA; [Cefarelli, A. O.] Natl Univ La Plata, Fac Ciencias Nat &amp; Museo, Dept Cient Ficol, RA-1900 La Plata, Argentina; [Ekern, L.] Raytheon Polar Serv, Centennial, CO 80112 USA</t>
  </si>
  <si>
    <t>University of California System; University of California San Diego; Scripps Institution of Oceanography; University System of Georgia; University of Georgia; National University of La Plata; Museo La Plata</t>
  </si>
  <si>
    <t>Vernet, M (corresponding author), Scripps Inst Oceanog, 8615 Discovery Way, La Jolla, CA 92037 USA.</t>
  </si>
  <si>
    <t>mvernet@ucsd.edu; kariesines@att.net; acefarelli@fcnym.unlp.edu.ar; lindsey.ekem@gmail.com</t>
  </si>
  <si>
    <t>NSF [ANT-0636730]</t>
  </si>
  <si>
    <t>The authors thank Wendy Kozlowski and Lynn Yarmey for invaluable contributions in data analysis and manuscript preparation; to Dr. Ronald Kaufmann for MOCNESS data; Mr. Mattias Cape and Dr. Corine Gle for figure preparation and revising the manuscript; J.J. Maclsaac Facility for Aquatic Cytometry at Bigelow Laboratory for Ocean Sciences for flow cytometer analysis; co-Principal investigators and collaborators in this project in particular Drs. John Helly, Ronald Kaufmann, Alison Murray and Mr. Gordon Stephenson for invaluable discussions. The authors gratefully acknowledge the support of Raytheon Polar Services for logistical support in the field and to the Captain and crew of the A.S.V. Nathaniel B. Palmer. Fig. 1 was made using Ocean Data View (R. Schlitzer, http://odv/awi.de, 2010). This project was funded by NSF award ANT-0636730 to M. Vernet and the NSF support is gratefully acknowledged.</t>
  </si>
  <si>
    <t>10.1016/j.dsr2.2010.11.022</t>
  </si>
  <si>
    <t>WOS:000291079800014</t>
  </si>
  <si>
    <t>Robison, BH; Vernet, M; Smith, KL</t>
  </si>
  <si>
    <t>Robison, Bruce H.; Vernet, Maria; Smith, Kenneth L., Jr.</t>
  </si>
  <si>
    <t>Algal communities attached to free-drifting, Antarctic icebergs</t>
  </si>
  <si>
    <t>Antarctica; Weddell Sea; Icebergs; Algae communities; ROV</t>
  </si>
  <si>
    <t>SEA-ICE; SOUTHERN-OCEAN; ROSS SEA; PENINSULA; WATERS</t>
  </si>
  <si>
    <t>Disintegration of the Antarctic Peninsula's eastern ice shelves has increased the population of icebergs traversing the Weddell Sea, but until recently little was known about their ecological impact on the pelagic environment. Here we describe a class of algal communities that occur on the submerged flanks of large, free-drifting, glacially-derived tabular icebergs. We used remotely operated vehicles to examine these icebergs directly for the first time, to survey the algal communities and collect material for shipboard laboratory studies. The communities, principally diatoms, were associated with a characteristic cupped configuration of the ice surface, and they served as feeding sites for aggregations of Antarctic krill. Production rate measurements indicate that these communities are providing a substantial contribution to regional primary production in summer. As the number of icebergs grows, the number of algae communities may also be increasing, along with their cumulative contribution to organic carbon flux. (C) 2010 Elsevier Ltd. All rights reserved.</t>
  </si>
  <si>
    <t>[Robison, Bruce H.; Smith, Kenneth L., Jr.] Monterey Bay Aquarium Res Inst, Moss Landing, CA 95039 USA; [Vernet, Maria] Univ Calif San Diego, Scripps Inst Oceanog, La Jolla, CA 92093 USA</t>
  </si>
  <si>
    <t>Monterey Bay Aquarium Research Institute; University of California System; University of California San Diego; Scripps Institution of Oceanography</t>
  </si>
  <si>
    <t>Robison, BH (corresponding author), Monterey Bay Aquarium Res Inst, 7700 Sandholdt Rd, Moss Landing, CA 95039 USA.</t>
  </si>
  <si>
    <t>robr@mbari.org</t>
  </si>
  <si>
    <t>NSF [ANT-0529815, ANT-0650034]; David and Lucile Packard Foundation</t>
  </si>
  <si>
    <t>NSF(National Science Foundation (NSF)); David and Lucile Packard Foundation(The David &amp; Lucile Packard Foundation)</t>
  </si>
  <si>
    <t>We thank C. Dawe, K. Reisenbichler, R. Sherlock and K. Osborn for their skills as ROV pilot/technicians and for their support in all phases of this research. We also thank the shipboard science teams on ARSV L. M. Gould cruise LMG05-14A and RVIB N. B. Palmer cruise NBP09-02 for their support, especially R. Wilson, H. Ruhl, J. Ellena, S. Bush, M. Vardaro, D. Chakos, K. Sines, J. Derry, L. Ekern, J. Kinsey, C. Koehler, and K. Noble. Captain R. Verret and his crew on the Gould made ROV operations around icebergs possible even under the most difficult conditions, while Captain M. Watson and his crew aboard the Palmer provided excellent support on an even larger scale. The Raytheon Polar Services support groups led by S. Suhr-Sliester in 2005 and by S. Alesandrini in 2009 provided excellent deck and laboratory support. We are grateful to MBARI engineers A. Sherman and P. McGill for their invaluable expertise. We also thank M. Ferrario and A. Cefarelli for diatom identifications and W. Kozlowski for technical assistance. This research was supported by NSF Grants ANT-0529815 and ANT-0650034, and by the David and Lucile Packard Foundation. We thank C. Stoker of NASA/AMES for loaning us the ROV we used in 2005.</t>
  </si>
  <si>
    <t>10.1016/j.dsr2.2010.11.024</t>
  </si>
  <si>
    <t>WOS:000291079800016</t>
  </si>
  <si>
    <t>Sherlock, RE; Reisenbichler, KR; Bush, SL; Osborn, KJ; Robinson, BH</t>
  </si>
  <si>
    <t>Sherlock, R. E.; Reisenbichler, K. R.; Bush, S. L.; Osborn, K. J.; Robinson, B. H.</t>
  </si>
  <si>
    <t>Near-field zooplankton, ice-face biota and proximal hydrography of free-drifting Antarctic icebergs</t>
  </si>
  <si>
    <t>Southern Ocean; Weddell Sea; Iceberg; Ice; Plankton; ROV</t>
  </si>
  <si>
    <t>SOUTHERN-OCEAN; WEDDELL SEA; SHELF; WATER; IRON</t>
  </si>
  <si>
    <t>A small ROV was used to collect plankton, make video surveys and take hydrographic measurements in close proximity to six free-drifting, Antarctic icebergs. The icebergs studied ranged in size from &lt;0.5 to &gt; 32 km in length. Large icebergs have a greater scale of influence than do smaller ones and iceberg-mediated differences in the hydrographic characteristics of their surrounding water depend on the scale sampled. Irrespective of size, temperature generally decreased in close proximity to an iceberg while salinity increased. Chlorophyll a was often lower in the surface waters near the iceberg, relative to the surface waters further away. Tabular icebergs typically had 3 distinct underwater features: shelf, side and bottom. Ablation pockets were a common feature of subsurface ice. The ice itself is a dynamic and seemingly harsh environment with relatively few macrofauna living on it. Those that do inhabit the ice face are either highly specialized or highly mobile. Species composition of zooplankton within 40 m of an iceberg did not change relative to distance. However, biomass was generally greater within 5 m of an iceberg than it was 15 to 40 m distant. (C) 2010 Elsevier Ltd. All rights reserved.</t>
  </si>
  <si>
    <t>[Sherlock, R. E.; Reisenbichler, K. R.; Bush, S. L.; Robinson, B. H.] Monterey Bay Aquarium Res Inst, Moss Landing, CA 95039 USA; [Bush, S. L.] Univ Rhode Isl, Dept Biol Sci, Coll Environm &amp; Life Sci, Kingston, RI 02881 USA; [Osborn, K. J.] Scripps Inst Oceanog, La Jolla, CA 92037 USA</t>
  </si>
  <si>
    <t>Monterey Bay Aquarium Research Institute; University of Rhode Island; University of California System; University of California San Diego; Scripps Institution of Oceanography</t>
  </si>
  <si>
    <t>Sherlock, RE (corresponding author), Monterey Bay Aquarium Res Inst, 7700 Sandholdt Rd, Moss Landing, CA 95039 USA.</t>
  </si>
  <si>
    <t>robs@mbari.org</t>
  </si>
  <si>
    <t>Osborn, Karen/0000-0002-4226-9257; Bush, Stephanie/0000-0001-5169-7686</t>
  </si>
  <si>
    <t>National Science Foundation [ANT-0636813]; David and Lucile Packard Foundation</t>
  </si>
  <si>
    <t>This research was funded by a National Science Foundation grant (ANT-0636813) to K. Smith and B. Robison and by the David and Lucile Packard Foundation. We thank L Bird, B. Hobson, P. McGill, and A. Sherman for herculean efforts to modify and maintain the ROV. Craig Dawe skillfully piloted the ROV to an equal number of launches and recoveries. Shipboard support and tether management was provided by the aforementioned as well as K. Smith, J. Ellena, C. Hexel, A. Kahn, D. Nail-Meyer and the very capable Raytheon Polar Services support group. Without the coordination of Captain M. Watson and all crew on the RVIB N.B. Palmer, as well as Captain R. Verret and the crew on the ARSV L.M Gould, the ROV work would not have been possible. K. Walz identified and sorted many plankton and assisted with figures. B. Schlining helped with hydrography. This ms benefitted from the critique of 3 reviewers and we thank them. R. Wilson taught something to everyone, not the least of which was how to sharpen a knife on a coffee cup.</t>
  </si>
  <si>
    <t>10.1016/j.dsr2.2010.11.025</t>
  </si>
  <si>
    <t>WOS:000291079800017</t>
  </si>
  <si>
    <t>Beltcheva, M; Metcheva, R; Peneva, V; Marinova, M; Yankov, Y; Chikova, V</t>
  </si>
  <si>
    <t>Beltcheva, Michaela; Metcheva, Roumiana; Peneva, Vesela; Marinova, Margarita; Yankov, Yordan; Chikova, Vania</t>
  </si>
  <si>
    <t>Heavy Metals in Antarctic Notothenioid Fish from South Bay, Livingston Island, South Shetlands (Antarctica)</t>
  </si>
  <si>
    <t>BIOLOGICAL TRACE ELEMENT RESEARCH</t>
  </si>
  <si>
    <t>Notothenia coriiceps; Heavy metals; Antarctica</t>
  </si>
  <si>
    <t>TERRA-NOVA BAY; TRACE-METALS; POTTER COVE; ELEMENTS; CORIICEPS; CADMIUM; MERCURY; AGE</t>
  </si>
  <si>
    <t>The Pb, Cd, Cu, Zn, and Mn contents of the liver, spleen, muscle, bones, scales, gills, and the whole body of 3- to 7-year-old notothenioid Antarctic cod (Notothenia coriiceps, Richardson, 1844) were measured. The highest heavy metal concentrations obtained are as follows: Cd in liver, the mean value was 1.36 +/- A 0.19 mg/kg dry weight (wt); Pb and Zn in spleen, the mean values were 3.33 +/- A 0.86 and 143.97 +/- A 16.17 mg/kg dry wt, respectively; Cu in gills, 3.76 +/- A 1.16 mg/kg dry wt; and Mn in scales, 14.80 +/- A 4.77 mg/kg dry wt. The comparison with the data reported up to now shows that the metal concentrations varied within relative wide ranges. These first data obtained could be used as a baseline to investigate further relationships among metal contents in fish, their diet, and habitat.</t>
  </si>
  <si>
    <t>[Beltcheva, Michaela; Metcheva, Roumiana] Bulgarian Acad Sci, Inst Zool, Sofia 1000, Bulgaria; [Peneva, Vesela; Marinova, Margarita; Chikova, Vania] Natl Diagnost &amp; Res Vet Inst, Sofia 1606, Bulgaria; [Yankov, Yordan] Bulgarian Antarctic Inst, Sofia 1000, Bulgaria</t>
  </si>
  <si>
    <t>Bulgarian Academy of Sciences</t>
  </si>
  <si>
    <t>Beltcheva, M (corresponding author), Bulgarian Acad Sci, Inst Zool, Tzar Osvoboditel 1 Blvd, Sofia 1000, Bulgaria.</t>
  </si>
  <si>
    <t>michaelanedialkova@yahoo.com</t>
  </si>
  <si>
    <t>Metcheva, Roumiana/0000-0002-8146-6106; Beltcheva, Mihaela/0000-0003-0107-6130</t>
  </si>
  <si>
    <t>Bulgarian National Science Fund [B 16-15/2006]</t>
  </si>
  <si>
    <t>Bulgarian National Science Fund(National Science Fund of Bulgaria)</t>
  </si>
  <si>
    <t>This work was funded by grant B 16-15/2006 of the Bulgarian National Science Fund.</t>
  </si>
  <si>
    <t>HUMANA PRESS INC</t>
  </si>
  <si>
    <t>TOTOWA</t>
  </si>
  <si>
    <t>999 RIVERVIEW DRIVE SUITE 208, TOTOWA, NJ 07512 USA</t>
  </si>
  <si>
    <t>0163-4984</t>
  </si>
  <si>
    <t>1559-0720</t>
  </si>
  <si>
    <t>BIOL TRACE ELEM RES</t>
  </si>
  <si>
    <t>Biol. Trace Elem. Res.</t>
  </si>
  <si>
    <t>1-3</t>
  </si>
  <si>
    <t>10.1007/s12011-010-8739-5</t>
  </si>
  <si>
    <t>Biochemistry &amp; Molecular Biology; Endocrinology &amp; Metabolism</t>
  </si>
  <si>
    <t>765SB</t>
  </si>
  <si>
    <t>WOS:000290727800016</t>
  </si>
  <si>
    <t>Mojib, N; Andersen, DT; Bej, AK</t>
  </si>
  <si>
    <t>Mojib, Nazia; Andersen, Dale T.; Bej, Asim K.</t>
  </si>
  <si>
    <t>Structure and function of a cold shock domain fold protein, CspD, in Janthinobacterium sp Ant5-2 from East Antarctica</t>
  </si>
  <si>
    <t>cold shock protein; cold adaptation; Betaproteobacteria; UV radiation; psychrotolerant</t>
  </si>
  <si>
    <t>SOLUTION NMR STRUCTURE; CRYSTAL-STRUCTURE; ESCHERICHIA-COLI; BINDING; FAMILY; DNA; RESOLUTION; STABILITY; DYNAMICS; GROWTH</t>
  </si>
  <si>
    <t>A cold shock domain (CSD)-containing protein, CspD, of molecular mass similar to 7.28 kDa in a psychrotolerant Antarctic Janthinobacterium sp. Ant5-2 (ATCC BAA-2154) exhibited constitutive expression at 37, 22, 15, 4 and -1 degrees C. The cspD gene encoding the CspD protein of Ant5-2 was cloned, sequenced and analyzed. The deduced protein sequence was highly similar to the conserved domains of the cold shock proteins (Csps) from bacteria belonging to the class Betaproteobacteria. Its expression was both time- and growth phase-dependent and increased when exposed to 37 degrees C and UV radiation (UVC, dose: 1.8 and 2.8 mJ cm-2). The results from the electrophoretic mobility shift and subcellular localization study confirmed its single-stranded DNA-binding property. In silico analysis of the deduced tertiary structure of CspD from Ant5-2 showed a highly stable domain-swapped dimer, forming two similar monomeric Csp folds. This study established an overall framework of the structure, function and phylogenetic analysis of CspD from an Antarctic Janthinobacterium sp. Ant5-2, which may facilitate and stimulate the study of CSD fold proteins in the class Betaproteobacteria.</t>
  </si>
  <si>
    <t>[Mojib, Nazia; Bej, Asim K.] Univ Alabama Birmingham, Dept Biol, Birmingham, AL 35294 USA; [Andersen, Dale T.] SETI Inst, Mountain View, CA USA</t>
  </si>
  <si>
    <t>University of Alabama System; University of Alabama Birmingham</t>
  </si>
  <si>
    <t>Bej, AK (corresponding author), Univ Alabama Birmingham, Dept Biol, 1300 Univ Blvd,CH464, Birmingham, AL 35294 USA.</t>
  </si>
  <si>
    <t>abej@uab.edu</t>
  </si>
  <si>
    <t>Andersen, Dale T/B-4816-2013</t>
  </si>
  <si>
    <t>Andersen, Dale T/0000-0001-8827-1259; MOJIB, NAZIA/0000-0003-4924-5538; /0000-0003-3060-1088</t>
  </si>
  <si>
    <t>Tawani Foundation (Chicago); NASA</t>
  </si>
  <si>
    <t>Tawani Foundation (Chicago); NASA(National Aeronautics &amp; Space Administration (NASA))</t>
  </si>
  <si>
    <t>We thank Col. (IL) J. N. Pritzker ARNG (Retired), Tawani Foundation (Chicago), for supporting the Tawani 2008 International Antarctic Scientific Expedition; Marty Kress, VCSI, Inc./NASA); NASA's Astrobiology program, Art Mortvedt, Selby Wilderness, Alaska; Dr Rasik Ravindra, Director, NCAOR; 2008-2009 Maitri and Novolazarevskaya Station staffs; Maitri Cdrs. A. Chaturvedi, and Dr P. Malhotra; geologist A. Swain; personnel at and Dr R. Fischer, Biology, UAB for the support. Thanks to R. B. Hoover (MSFC, NASA) for helping us with the identification of the strain.</t>
  </si>
  <si>
    <t>10.1111/j.1574-6968.2011.02269.x</t>
  </si>
  <si>
    <t>765FC</t>
  </si>
  <si>
    <t>WOS:000290687800002</t>
  </si>
  <si>
    <t>López, E</t>
  </si>
  <si>
    <t>Lopez, Eduardo</t>
  </si>
  <si>
    <t>A new species of Laonice (Spionidae, Polychaeta, Annelida) from Bellingshausen Sea (West Antarctica)</t>
  </si>
  <si>
    <t>HELGOLAND MARINE RESEARCH</t>
  </si>
  <si>
    <t>Antarctica; Polychaetes; Spionidae; Benthic species; New species</t>
  </si>
  <si>
    <t>During the Antarctic summers of 2002-2003 and of 2005-2006, the Spanish BENTART cruises were conducted to the Bellingshausen Sea (Western Antarctica), aiming to study its benthic communities, from depths ranging from 100 to 2,000 m. To achieve it, 30 stations were selected; each one was surveyed in such a way that the infaunal, epifaunal and suprabenthic components of the communities were sufficiently characterized. As a part of the study, some spionid individuals were identified as belonging to a new species of the genus Laonice Malmgren, 1867. The new species belongs to a group within the genus that is characterized by the presence of more than two rows of very numerous capillary chaetae in both noto- and neuropodial fascicles of anterior part of the body. However, it can be readily distinguished from the rest of species within the group by the posterior position in which neuropodial pouches appear (chaetiger 16 or 17) and by the caruncle reaching posteriorly chaetiger 19. In addition, other remarkable features of the new species are the short and triangular occipital tentacle, the rudimentary eyes, the hooded neuropodial hooks first appearing in chaetigers 34-37 and the sabre neurochaetae first occurring in chaetigers 20-27.</t>
  </si>
  <si>
    <t>Univ Autonoma Madrid, Fac Ciencias, Dept Biol Zool, Lab Biol Marina, E-28049 Madrid, Spain</t>
  </si>
  <si>
    <t>Autonomous University of Madrid</t>
  </si>
  <si>
    <t>López, E (corresponding author), Univ Autonoma Madrid, Fac Ciencias, Dept Biol Zool, Lab Biol Marina, E-28049 Madrid, Spain.</t>
  </si>
  <si>
    <t>eduardo.lopez@uam.es</t>
  </si>
  <si>
    <t>López, Eduardo/L-2489-2013</t>
  </si>
  <si>
    <t>López, Eduardo/0000-0002-1816-8528</t>
  </si>
  <si>
    <t>Spanish Ministerio de Ciencia y Tecnologia [REN2001-1074/ANT]; Estudio integrado de la biodiversidad bentonica del mar de Bellingshausen y peninsula Antartica. Segunda campana de muestreo a bordo del B/O Hesperides [CGL2004/01856]</t>
  </si>
  <si>
    <t>Spanish Ministerio de Ciencia y Tecnologia(Spanish Government); Estudio integrado de la biodiversidad bentonica del mar de Bellingshausen y peninsula Antartica. Segunda campana de muestreo a bordo del B/O Hesperides</t>
  </si>
  <si>
    <t>The present study was financially supported by the Spanish Ministerio de Ciencia y Tecnologia through the research projects Estudio integrado de la biodiversidad bentonica del Mar de Bellinghausen y peninsula Antartica (Antartida del Oeste). Primera campana de muestreo a bordo del B/O Hesperides. REN2001-1074/ANT and Estudio integrado de la biodiversidad bentonica del mar de Bellingshausen y peninsula Antartica. Segunda campana de muestreo a bordo del B/O Hesperides. CGL2004/01856. The author wishes to express his gratitude to the crew of B/O Hesperides as well as to the research staff of the project, especially to Dr. Ana Ramos and Dr. Julio Parapar, for their collaboration both aboard the ship and on land. Javier Sanchez, Francisco Yague and Patricia Alvarez from Museo Nacional de Ciencias Naturales in Madrid are gratefully obliged for the loan and management of the studied material. The very valuable comments of two anonymous referees, which greatly improved the quality of the present work, are sincerely acknowledged.</t>
  </si>
  <si>
    <t>BMC</t>
  </si>
  <si>
    <t>CAMPUS, 4 CRINAN ST, LONDON N1 9XW, ENGLAND</t>
  </si>
  <si>
    <t>1438-387X</t>
  </si>
  <si>
    <t>1438-3888</t>
  </si>
  <si>
    <t>HELGOLAND MAR RES</t>
  </si>
  <si>
    <t>Helgoland Mar. Res.</t>
  </si>
  <si>
    <t>10.1007/s10152-011-0248-1</t>
  </si>
  <si>
    <t>765BC</t>
  </si>
  <si>
    <t>WOS:000290677400016</t>
  </si>
  <si>
    <t>Prabhakar, A; Bishop, AH</t>
  </si>
  <si>
    <t>Prabhakar, A.; Bishop, A. H.</t>
  </si>
  <si>
    <t>Invertebrate pathogenicity and toxin-producing potential of strains of Bacillus thuringiensis endemic to Antarctica</t>
  </si>
  <si>
    <t>JOURNAL OF INVERTEBRATE PATHOLOGY</t>
  </si>
  <si>
    <t>Bacillus thuringiensis; delta-Endotoxin; Springtails; Pathogenicity; Antarctica</t>
  </si>
  <si>
    <t>NORTHERN VICTORIA LAND; DELTA-ENDOTOXIN; CEREUS GROUP; MOLECULAR-CLONING; CRYSTAL PROTEIN; HEMOLYSIN BL; GENE; LARVAE; BACTERIA; SEQUENCE</t>
  </si>
  <si>
    <t>Several strains of Bacillus thuringiensis were previously isolated from soil in Antarctica and appeared to have physiological adaptations to this cold, nutrient-poor environment. In spite of this they could produce abnormally large, parasporal crystals under laboratory conditions. Here, they have been further characterised for toxin genes and invertebrate pathogenicity. All of the strains were positive in PCR assays for the cry1Aa and cry2 genes. This was confirmed by sequence analysis and the parasporal crystals of all strains contained polypeptides of about 130 kDa. This potential for lepidopteran toxicity was borne out in bioassays of purified delta-endotoxins against larvae of Pieris brassicae: the LD50 values of B2408 (288 mu g) were comparable to that of the reference strain, HD-12 (201 mu g). There was no activity against the nematode Caenorhabditis elegans in spite of the fact that all strains appeared to possess the cry6 gene. PCR screening for genes encoding other nematode-toxic classes of toxins (Cry5, 4 and 21) was negative. B. thuringiensis has never previously been shown to be toxic to Collembola (springtails) but the purified delta-endotoxins of one of the Antarctic strains showed some activity against Folsomia candida and Seira domestica (224 mu g and 238 mu g, respectively). It seems unlikely that the level of toxicity demonstrated against springtails would support a pathogenic life-style in nature. All of the strains were positive for genes encoding Bacillus cereus-type enterotoxins. In the absence of higher insects and mammals the ecological value of retaining the toxic capability demonstrated here is uncertain. (C) 2011 Elsevier Inc. All rights reserved.</t>
  </si>
  <si>
    <t>[Bishop, A. H.] Dstl, Salisbury SP4 0JQ, Wilts, England; [Prabhakar, A.] Univ Greenwich, Sch Sci, Chatham ME4 4TB, Kent, England</t>
  </si>
  <si>
    <t>Defence Science &amp; Technology Laboratory; University of Greenwich</t>
  </si>
  <si>
    <t>Bishop, AH (corresponding author), Dstl, Salisbury SP4 0JQ, Wilts, England.</t>
  </si>
  <si>
    <t>AHBishop@dstl.gov.uk</t>
  </si>
  <si>
    <t>0022-2011</t>
  </si>
  <si>
    <t>1096-0805</t>
  </si>
  <si>
    <t>J INVERTEBR PATHOL</t>
  </si>
  <si>
    <t>J. Invertebr. Pathol.</t>
  </si>
  <si>
    <t>10.1016/j.jip.2011.03.008</t>
  </si>
  <si>
    <t>768GO</t>
  </si>
  <si>
    <t>WOS:000290922100006</t>
  </si>
  <si>
    <t>Agersted, MD; Nielsen, TG; Munk, P; Vismann, B; Arendt, KE</t>
  </si>
  <si>
    <t>Agersted, Mette Dalgaard; Nielsen, Torkel Gissel; Munk, Peter; Vismann, Bent; Arendt, Kristine Engel</t>
  </si>
  <si>
    <t>The functional biology and trophic role of krill (Thysanoessa raschii) in a Greenlandic fjord</t>
  </si>
  <si>
    <t>EUPHAUSIA-SUPERBA DANA; MARGINAL ICE-ZONE; COPEPOD ACARTIA-TONSA; ANTARCTIC KRILL; FEEDING-BEHAVIOR; BODY-SIZE; MEGANYCTIPHANES-NORVEGICA; VERTICAL-DISTRIBUTION; COASTAL WATERS; FECAL MATERIAL</t>
  </si>
  <si>
    <t>Despite being a key zooplankton group, knowledge on krill biology from the Arctic is inadequate. The present study examine the functional biology and evaluate the trophic role of krill in the GodthAyenbsfjord (64 degrees N, 51 degrees W) SW Greenland, through a combination of fieldwork and laboratory experiments. Krill biomass was highest in the middle fjord and inner fjord, whereas no krill was found offshore. The dominating species Thysanoessa raschii revealed a type III functional response when fed with the diatom Thalassiosira weissflogii. At food saturation, T. raschii exhibited a daily ration of 1% body C d(-1). Furthermore, T. raschii was capable of exploiting plankton cells from 5 to 400 mu m, covering several trophic levels of the pelagic food web. The calculated grazing impact by T. raschii on the fjord plankton community was negligible. However, the schooling and migratory behaviour of krill will concentrate and elevate the grazing in specific areas of the euphotic zone.</t>
  </si>
  <si>
    <t>[Agersted, Mette Dalgaard; Nielsen, Torkel Gissel; Munk, Peter] DTU Aqua, Natl Inst Aquat Resources, Sect Ocean Ecol &amp; Climate, DK-2920 Charlottenlund, Denmark; [Agersted, Mette Dalgaard; Vismann, Bent] Univ Copenhagen, Inst Biol, Marine Biol Lab, DK-3000 Helsingor, Denmark; [Arendt, Kristine Engel] Greenland Inst Nat Resources, Greenland Climate Res Ctr, Nuuk 3900, Greenland</t>
  </si>
  <si>
    <t>Technical University of Denmark; University of Copenhagen; Greenland Institute of Natural Resources</t>
  </si>
  <si>
    <t>Nielsen, TG (corresponding author), DTU Aqua, Natl Inst Aquat Resources, Sect Ocean Ecol &amp; Climate, Jaegersborg 1, DK-2920 Charlottenlund, Denmark.</t>
  </si>
  <si>
    <t>tgin@aqua.dtu.dk</t>
  </si>
  <si>
    <t>Nielsen, Torkel Gissel/HLQ-4981-2023; Agersted, Mette Dalgaard/AFW-0709-2022; Vismann, Bent/L-2731-2014</t>
  </si>
  <si>
    <t>Vismann, Bent/0000-0002-3613-6511; Nielsen, Torkel Gissel/0000-0003-1057-158X; Munk, Peter/0000-0002-0968-6083</t>
  </si>
  <si>
    <t>Commission for Scientific Research in Greenland (KVUG); Danish Natural Sciences Research Council</t>
  </si>
  <si>
    <t>Commission for Scientific Research in Greenland (KVUG); Danish Natural Sciences Research Council(Danish Natural Science Research Council)</t>
  </si>
  <si>
    <t>This study (ECOGREEN) was funded by a grant from the Commission for Scientific Research in Greenland (KVUG), the Danish Natural Sciences Research Council, and is a contribution of the Greenland Climate Research Centre. Greenland Institute of Natural Resources is thanked for excellent laboratory facilities and logistical support. Also, we would like to thank Anja Retzel (GINR) for collecting krill biomass data, Prof. Thomas Kiorboe and Dr. Steffen Oppel for statistical advice, and Dr. Kam W. Tang for providing various data on mesozooplankton biomass.</t>
  </si>
  <si>
    <t>10.1007/s00227-011-1657-z</t>
  </si>
  <si>
    <t>766SJ</t>
  </si>
  <si>
    <t>WOS:000290806500019</t>
  </si>
  <si>
    <t>Wall, DH; Lyons, WB; Chown, SL; Convey, P; Howard-Williams, C; Quesada, A; Vincent, WF</t>
  </si>
  <si>
    <t>Wall, Diana H.; Lyons, W. Berry; Chown, Steven L.; Convey, Peter; Howard-Williams, Clive; Quesada, Antonio; Vincent, Warwick F.</t>
  </si>
  <si>
    <t>Long-term ecosystem networks to record change: an international imperative</t>
  </si>
  <si>
    <t>Vincent, Warwick/AAH-6152-2019; Chown, Steven/ABD-7646-2021; Convey, Peter/AAV-5728-2020; Wall, Diana H/F-5491-2011; Chown, Steven/H-3347-2011; Quesada, Antonio/L-2430-2013</t>
  </si>
  <si>
    <t>Vincent, Warwick/0000-0001-9055-1938; Convey, Peter/0000-0001-8497-9903; Chown, Steven/0000-0001-6069-5105; Quesada, Antonio/0000-0002-8913-5993; Howard-Williams, Clive/0000-0002-8323-6806</t>
  </si>
  <si>
    <t>10.1017/S0954102011000319</t>
  </si>
  <si>
    <t>WOS:000291050900001</t>
  </si>
  <si>
    <t>Grobler, GC; Bastos, ADS; Treasure, AM; Chown, SL</t>
  </si>
  <si>
    <t>Grobler, G. C.; Bastos, A. D. S.; Treasure, A. M.; Chown, S. L.</t>
  </si>
  <si>
    <t>Cryptic species, biogeographic complexity and the evolutionary history of the Ectemnorhinus group in the sub-Antarctic, including a description of Bothrometopus huntleyi, n. sp.</t>
  </si>
  <si>
    <t>Coleoptera; Curculionidae; dispersal; evolution; phylogeny; Southern Ocean islands; speciation</t>
  </si>
  <si>
    <t>OCEAN BARRIERS; COLEOPTERA; CURCULIONIDAE; PATTERNS; GLACIATION; DISPERSAL; RADIATION</t>
  </si>
  <si>
    <t>The biogeography of the South Indian Ocean Province (SIP) biotas has long been controversial. Much of the discussion has been based on interpretation of species distributions, based on morphological or anatomical delimitations. However, molecular phylogenetic approaches elsewhere have recently shown that interpretations based solely on morphological data may be misleading. Nonetheless, few studies have employed molecular phylogenetic approaches to understand the biogeography of the SIP biotas. We do so here for the Ectemnorhinus group of genera, a monophyletic unit of weevils endemic to the region. We use mitochondrial cytochrome oxidase I DNA sequence data to reconstruct relationships among 13 species and 22 populations in the genera Palirhoeus, Bothrometopus and Ectemnorhinus. On the basis of this analysis we find little support for separating the genus Palirhoeus from Bothrometopus, and little support for the morphologically-based species groups currently recognized within Bothrometopus. Using a molecular clock we show that dispersal among islands probably took place against the prevailing wind direction. These data also support a previous hypothesis of radiation of the epilithic genera Bothrometopus and Palirhoeus during the Pliocene/early Pleistocene, but reject the hypothesis that the genus Ectemnorhinus radiated following the last glacial maximum. We show that Bothrometopus parvulus (C.O. Waterhouse) on the Prince Edward Islands comprises two species that are not sister taxa. We name the second species Bothrometopus huntleyi n. sp. and provide a description thereof.</t>
  </si>
  <si>
    <t>[Treasure, A. M.; Chown, S. L.] Univ Stellenbosch, Dept Bot &amp; Zool, Ctr Invas Biol, ZA-7602 Matieland, South Africa; [Grobler, G. C.; Bastos, A. D. S.] Univ Pretoria, Dept Zool &amp; Entomol, ZA-0001 Pretoria, South Africa</t>
  </si>
  <si>
    <t>Stellenbosch University; University of Pretoria</t>
  </si>
  <si>
    <t>Chown, SL (corresponding author), Univ Stellenbosch, Dept Bot &amp; Zool, Ctr Invas Biol, Private Bag X1, ZA-7602 Matieland, South Africa.</t>
  </si>
  <si>
    <t>slchown@sun.ac.za</t>
  </si>
  <si>
    <t>Chown, Steven/ABD-7646-2021; Bastos, Armanda/B-6357-2009; Chown, Steven/H-3347-2011</t>
  </si>
  <si>
    <t>Bastos, Armanda/0000-0002-9223-4204; Chown, Steven/0000-0001-6069-5105; Grobler, Gert/0000-0003-3560-953X; Treasure, Anne/0000-0002-8345-4811</t>
  </si>
  <si>
    <t>South African National Antarctic Programme; Australian Antarctic Division; French Polar Institute (IPEV)</t>
  </si>
  <si>
    <t>Two referees provided useful comments on a previous version of the manuscript. We thank the South African National Antarctic Programme and the Australian Antarctic Division for supporting our work at the Prince Edward Islands and Heard Island, respectively. Lewis Davies provided access to material from Possession Island via the donation of several specimens to SLC, whilst material from Iles Kerguelen was collected by Jacques Deere during a Scientific Committee on Antarctic Research (SCAR) exchange activity supported by the French Polar Institute (IPEV) and specifically Yves Frenot. We are indebted to Chris Lyal of the Natural History Museum, London for providing light micrographs of the B. parvulus holotype and to Helene Brettschneider for sample sorting and SEM photography of specimens. This work forms part of the SCAR Evolution and Biodiversity in Antarctica programme.</t>
  </si>
  <si>
    <t>10.1017/S0954102011000101</t>
  </si>
  <si>
    <t>WOS:000291050900002</t>
  </si>
  <si>
    <t>Grobler, GC; Bastos, ADS; Chimimba, CT; Chown, SL</t>
  </si>
  <si>
    <t>Grobler, G. C.; Bastos, A. D. S.; Chimimba, C. T.; Chown, S. L.</t>
  </si>
  <si>
    <t>Inter-island dispersal of flightless Bothrometopus huntleyi (Coleoptera: Curculionidae) from the sub-Antarctic Prince Edward Island archipelago</t>
  </si>
  <si>
    <t>COI gene; conservation biogeography; invasion biology; mtDNA; phylogeography</t>
  </si>
  <si>
    <t>MOLECULAR CLOCK; DNA-SEQUENCES; PHYLOGENIES; INFERENCE; SITES</t>
  </si>
  <si>
    <t>Bothrometopus huntleyi is a flightless weevil endemic to the volcanically-formed sub-Antarctic Prince Edward Islands archipelago that arose approximately 0.5 million years ago (m.y.a.). Since emergence, a series of volcanic and glaciation events have occurred on Marion Island, whilst Prince Edward Island, the second island constituting the archipelago, has remained largely unaffected by glaciation. Cytochrome oxidase I gene analyses indicate that major historical dispersal events in this species are linked to the geologically discrete histories of these islands and underlie the high haplotype diversity (0.995) recovered for the Prince Edward Islands archipelago. The estimated time to haplotype coalescence of similar to 0.723 m.y.a. is in keeping with estimated dates of island emergence, and the majority of individuals appear to have descended from a relict, high-altitude population that is still present on Marion Island. The first major inter-island dispersal event occurred similar to 0.507 m.y.a., coinciding with the oldest dated rocks on Marion Island. Apart from this early inter-island colonization, only one other between-island dispersal event was detected. The genetically discrete B. huntleyi complexes on each of the islands of the Prince Edward Islands archipelago together with the low levels of inter-island gene flow reaffirm the need to control alien invasive mice, which are restricted to Marion Island, and which prey on this weevil species.</t>
  </si>
  <si>
    <t>[Grobler, G. C.; Bastos, A. D. S.; Chimimba, C. T.] Univ Pretoria, Dept Zool &amp; Entomol, ZA-0002 Pretoria, South Africa; [Bastos, A. D. S.] Univ Cyprus, Dept Biol Sci, Nicosia, Cyprus; [Chimimba, C. T.; Chown, S. L.] Univ Stellenbosch, Dept Bot &amp; Zool, Ctr Invas Biol, ZA-7602 Matieland, South Africa</t>
  </si>
  <si>
    <t>University of Pretoria; University of Cyprus; Stellenbosch University</t>
  </si>
  <si>
    <t>Grobler, GC (corresponding author), Univ Pretoria, Dept Zool &amp; Entomol, ZA-0002 Pretoria, South Africa.</t>
  </si>
  <si>
    <t>gcgrobler@gmail.com</t>
  </si>
  <si>
    <t>Chimimba, Christian/AAX-4146-2020; Chown, Steven/ABD-7646-2021; Bastos, Armanda/B-6357-2009; Chown, Steven/H-3347-2011</t>
  </si>
  <si>
    <t>Bastos, Armanda/0000-0002-9223-4204; Chown, Steven/0000-0001-6069-5105; Grobler, Gert/0000-0003-3560-953X</t>
  </si>
  <si>
    <t>NRF [GUN2068301]</t>
  </si>
  <si>
    <t>NRF</t>
  </si>
  <si>
    <t>The authors thank I. McDougall and the Geological Magazine for the permission to use Fig. 1, taken from McDougall et al. (2001), and the referees for their helpful comments on a previous version of the ms. The Directorate Antarctica and Islands of the South African Department of Environmental Affairs and Tourism provided logistic support at Marion Island via the South African National Antarctic Programme (SANAP). This work was funded by a SANAP NRF grant (GUN2068301).</t>
  </si>
  <si>
    <t>10.1017/S0954102011000113</t>
  </si>
  <si>
    <t>WOS:000291050900003</t>
  </si>
  <si>
    <t>Hawes, I; Safi, K; Webster-Brown, J; Sorrell, B; Arscott, D</t>
  </si>
  <si>
    <t>Hawes, Ian; Safi, Karl; Webster-Brown, Jenny; Sorrell, Brian; Arscott, David</t>
  </si>
  <si>
    <t>Summer-winter transitions in Antarctic ponds II: Biological responses</t>
  </si>
  <si>
    <t>dissolved oxygen; freezing; nutrients; photosynthesis; respiration</t>
  </si>
  <si>
    <t>MCMURDO ICE SHELF; MELTWATER PONDS; MICROBIAL MAT; BRATINA ISLAND; FREEZE-THAW; STRATIFICATION; PHOTOSYNTHESIS; LAKE; GEOCHEMISTRY; CHEMISTRY</t>
  </si>
  <si>
    <t>We observed ice formation and water column attributes in four shallow Antarctic ponds between January and 7 April 2008. During that time ponds went from ice-free to &gt; 80 cm thick ice, near-freshwater to hypersaline, well-lit to near darkness and temperatures fell to below zero. Here we examine shifts in biological activity that accompanied these changes. During February, freeze-concentration and ongoing photosynthesis increased dissolved oxygen concentration to up to 100 mg l(-1), with a near-equivalent decrease in dissolved inorganic carbon and a pH rise. Benthic photosynthesis was responsible for 99% of estimated biological oxygen production. Net oxygen accumulation ceased in late February, pH began to fall and inorganic carbon to increase, but the pool of dissolved oxygen was depleted only slowly. Anoxia had been attained in only one pond by April and there was little accumulation of indicators of anaerobic activity. The nitrogen and phosphorus balances of the ponds were dominated by organic forms, which, like DOC and CDOM, behaved conservatively. Conversely, inorganic nitrogen and phosphorus uptake was evident throughout the study period, at a molar ratio of 16N:1P in two of three ponds, consistent with uptake into biological material. We found no coupling between N and P uptake and photosynthesis.</t>
  </si>
  <si>
    <t>Webster-Brown, Jenny/0000-0001-9665-871X; Sorrell, Brian/0000-0002-2460-8438; Hawes, Ian/0000-0003-2471-6903; Safi, Karl/0000-0002-7785-1909</t>
  </si>
  <si>
    <t>This research was funded by the New Zealand Foundation for Research, Science and Technology (Contracts C01X0708 and C01X0306) to the National Institute of Water and Atmospheric Research (NIWA). Antarctica New Zealand provided logistic support, in collaboration with the US National Science Foundation. Nat Wilson was an integral part of the field team and we are grateful to Dr Kevin Brown and Briar Wait for their contribution to the analysis of chloride. We are grateful to NIWA Christchurch for laboratory, technical and infrastructural support, particularly to Dr Clive Howard-Williams, and to two anonymous reviewers and the editor for critical comments that much improved the manuscript.</t>
  </si>
  <si>
    <t>10.1017/S0954102011000058</t>
  </si>
  <si>
    <t>WOS:000291050900005</t>
  </si>
  <si>
    <t>Leane, E; Nicol, S</t>
  </si>
  <si>
    <t>Leane, Elizabeth; Nicol, Steve</t>
  </si>
  <si>
    <t>Charismatic Krill? Size and Conservation in the Ocean</t>
  </si>
  <si>
    <t>ANTHROZOOS</t>
  </si>
  <si>
    <t>Antarctica; charisma; conservation; krill; marine biology; size</t>
  </si>
  <si>
    <t>EUPHAUSIA-SUPERBA; ECOSYSTEM; MANAGEMENT; ZOOPLANKTON; FISHERIES; BEHAVIOR</t>
  </si>
  <si>
    <t>The open ocean is an alien place for human beings and for most of history it has been studied using very indirect means. A great deal of what we know about animals that live on land, from ants to elephants, is based on centuries of direct natural history observations of animals alive and in situ. There is no such body of observation of marine animals. Most of what we know about animals in the ocean comes from studying dead animals, collected in nets towed through ocean depths that we can rarely observe. Marine biological knowledge is flavored by the material we have to work with and this, in turn, is affected by the terminology that early scientists used in an attempt to describe the strange world that their nets revealed. Despite the recent development of more sophisticated ways of investigating the ocean, many marine scientists continue to adopt nineteenth-century terminology and approaches (such as the use of the term zooplankton and the use of plankton nets), and this colors interpretation of the results of oceanographic studies. Using Antarctic krill Euphausia superba as an example, we suggest that the perception amongst both scientists and the general public of krill's small size, passivity, and lack of individuality has led to their being treated less like animals themselves than as background habitat for other animals. Because krill have such a central role in the Antarctic ecosystem and are the subject of a large fishery, these assumptions may have serious consequences for krill themselves and the conservation of the Antarctic region as a whole.</t>
  </si>
  <si>
    <t>[Leane, Elizabeth] Univ Tasmania, Sch English Journalism &amp; European Languages, Hobart, Tas 7001, Australia; [Nicol, Steve] Australian Antarctic Div, Dept Sustainabil Environm Water Populat &amp; Communi, Hobart, Tas, Australia; [Nicol, Steve] Univ Tasmania, Antarctic Climate &amp; Ecosyst Cooperat Res Ctr, Hobart, Tas 7001, Australia</t>
  </si>
  <si>
    <t>University of Tasmania; Australian Antarctic Division; University of Tasmania; Antarctic Climate &amp; Ecosystems Cooperative Research Centre (ACE CRC)</t>
  </si>
  <si>
    <t>Leane, E (corresponding author), Univ Tasmania, Sch English Journalism &amp; European Languages, Private Bag 82, Hobart, Tas 7001, Australia.</t>
  </si>
  <si>
    <t>elizabeth.leane@utas.edu.au</t>
  </si>
  <si>
    <t>Leane, Elizabeth M/J-7138-2014</t>
  </si>
  <si>
    <t>Leane, Elizabeth/0000-0002-7954-6529</t>
  </si>
  <si>
    <t>We would like to acknowledge the Australian Research Council for its support of this research, undertaken as part of a Discovery Project entitled Creatures of the Ice: A Cultural Analysis of Human Animal Relations in Antarctica.</t>
  </si>
  <si>
    <t>ROUTLEDGE JOURNALS, TAYLOR &amp; FRANCIS LTD</t>
  </si>
  <si>
    <t>2-4 PARK SQUARE, MILTON PARK, ABINGDON OX14 4RN, OXON, ENGLAND</t>
  </si>
  <si>
    <t>0892-7936</t>
  </si>
  <si>
    <t>1753-0377</t>
  </si>
  <si>
    <t>Anthrozoos</t>
  </si>
  <si>
    <t>10.2752/175303711X12998632257549</t>
  </si>
  <si>
    <t>Anthropology; Environmental Studies; Sociology; Veterinary Sciences</t>
  </si>
  <si>
    <t>Anthropology; Environmental Sciences &amp; Ecology; Sociology; Veterinary Sciences</t>
  </si>
  <si>
    <t>000II</t>
  </si>
  <si>
    <t>WOS:000308379500002</t>
  </si>
  <si>
    <t>Edgar, GJ</t>
  </si>
  <si>
    <t>Edgar, Graham J.</t>
  </si>
  <si>
    <t>Does the global network of marine protected areas provide an adequate safety net for marine biodiversity?</t>
  </si>
  <si>
    <t>AQUATIC CONSERVATION-MARINE AND FRESHWATER ECOSYSTEMS</t>
  </si>
  <si>
    <t>RESERVES; CONSERVATION; MANAGEMENT; BENEFITS; REEF; AGE</t>
  </si>
  <si>
    <t>Univ Tasmania, Inst Marine &amp; Antarctic Studies, Hobart, Tas 7001, Australia</t>
  </si>
  <si>
    <t>Edgar, GJ (corresponding author), Univ Tasmania, Inst Marine &amp; Antarctic Studies, Hobart, Tas 7001, Australia.</t>
  </si>
  <si>
    <t>g.edgar@utas.edu.au</t>
  </si>
  <si>
    <t>Edgar, Graham/C-8341-2013; Edgar, Graham/AAY-3797-2020</t>
  </si>
  <si>
    <t>Edgar, Graham/0000-0003-0833-9001; Edgar, Graham/0000-0003-0833-9001</t>
  </si>
  <si>
    <t>1052-7613</t>
  </si>
  <si>
    <t>1099-0755</t>
  </si>
  <si>
    <t>AQUAT CONSERV</t>
  </si>
  <si>
    <t>Aquat. Conserv.-Mar. Freshw. Ecosyst.</t>
  </si>
  <si>
    <t>10.1002/aqc.1187</t>
  </si>
  <si>
    <t>Environmental Sciences; Marine &amp; Freshwater Biology; Water Resources</t>
  </si>
  <si>
    <t>811CT</t>
  </si>
  <si>
    <t>WOS:000294180300001</t>
  </si>
  <si>
    <t>Einoder, LD; Page, B; Goldsworthy, SD; De Little, SC; Bradshaw, CJA</t>
  </si>
  <si>
    <t>Einoder, L. D.; Page, B.; Goldsworthy, S. D.; De Little, S. C.; Bradshaw, C. J. A.</t>
  </si>
  <si>
    <t>Exploitation of distant Antarctic waters and close neritic waters by short-tailed shearwaters breeding in South Australia</t>
  </si>
  <si>
    <t>AUSTRAL ECOLOGY</t>
  </si>
  <si>
    <t>area-restricted search; first-passage time; foraging; habitat associations; neritic; scale; search effort; tracking</t>
  </si>
  <si>
    <t>AREA-RESTRICTED SEARCH; SPATIAL-DISTRIBUTION; ENGRAULIS-AUSTRALIS; FORAGING BEHAVIOR; 1ST-PASSAGE TIME; MARINE PREDATOR; HABITAT USE; SCALE; MOVEMENT; ALBATROSSES</t>
  </si>
  <si>
    <t>Identifying the primary foraging grounds of abundant top predators is of importance in marine management to identify areas of high biological significance, and to assess the extent of competition with fisheries. We studied the search effort and habitat selection of the highly abundant short-tailed shearwater Puffinus tenuirostris to assess the search strategies employed by this wide-ranging seabird. During the chick-rearing period 52 individuals were tracked performing 39 short foraging trips (1-2 days), and 13 long trips (11-32 days). First-passage time analysis revealed that 46% of birds performing short trips employed area-restricted searches, concentrating search effort at an average scale of 14 +/- 5 km. Foraging searches were more continuous for the other 54%, who travelled faster to cover greater distances, with little evidence of area-restricted searches. The prey returned indicated that continuous searchers consumed similar prey mass, but greater prey diversity than area-restricted search birds. On long trips 23% of birds travelled 500-1000 km to neritic (continental shelf) habitats, showing weak evidence of preference for areas of higher chlorophyll a concentration, and foraged at a similar spatial scale to short trips. The other 76% performed rapid outbound flights of 1000-3600 km across oceanic habitats commuting to regions with higher chlorophyll a. The spatial scale of search effort in oceanic habitat varied widely with some performing broad-scale searches (260-560 km) followed by finer-scale nested searches (16-170 km). This study demonstrates that a range of search strategies are employed when exploiting prey across ocean basins. The trade-offs between different search strategies are discussed to identify the value of these contrasting behaviours to wide-ranging seabirds.</t>
  </si>
  <si>
    <t>[Einoder, L. D.; De Little, S. C.; Bradshaw, C. J. A.] Univ Adelaide, Sch Earth &amp; Environm Sci, Adelaide, SA 5000, Australia; [Einoder, L. D.; Page, B.; Goldsworthy, S. D.; Bradshaw, C. J. A.] S Australian Res &amp; Dev Inst Aquat Sci, Henley Beach, SA 5022, Australia; [Einoder, L. D.] Australian Antarctic Div, Dept Environm &amp; Heritage, Kingston, Tas 7050, Australia</t>
  </si>
  <si>
    <t>University of Adelaide; Australian Antarctic Division</t>
  </si>
  <si>
    <t>Einoder, LD (corresponding author), Univ Adelaide, Sch Earth &amp; Environm Sci, Adelaide, SA 5000, Australia.</t>
  </si>
  <si>
    <t>lukeeinoder@gmail.com</t>
  </si>
  <si>
    <t>Bradshaw, Corey J. A./A-1311-2008; de Little, Siobhan/B-7379-2014</t>
  </si>
  <si>
    <t>Bradshaw, Corey J. A./0000-0002-5328-7741; de Little, Siobhan/0000-0003-3742-6331; Einoder, Luke/0000-0002-9122-7053; Goldsworthy, Simon/0000-0003-4988-9085</t>
  </si>
  <si>
    <t>Australian Fisheries Research and Development Corporation [PN2005/031]; AWARE; Australian Bird Environment Foundation; Holdsworth Wildlife Research Fund; Sea World Research and Rescue Foundation Inc.; Nature Foundation of South Australia; Australian Geographic Society; Norman Wettenhall Foundation; Wildlife Conservation Fund of South Australia</t>
  </si>
  <si>
    <t>Australian Fisheries Research and Development Corporation; AWARE; Australian Bird Environment Foundation; Holdsworth Wildlife Research Fund; Sea World Research and Rescue Foundation Inc.; Nature Foundation of South Australia; Australian Geographic Society; Norman Wettenhall Foundation; Wildlife Conservation Fund of South Australia</t>
  </si>
  <si>
    <t>Thank you to the many volunteers, regional staff and contractors who assisted in data collection. Friends of the Althorpes provided much enthusiasm and encouragement. Thanks to D. Paton for advice and editorial assistance. We thank C. Teixeira for access to oceanographic data. This research was funded by the Australian Fisheries Research and Development Corporation (PN2005/031), PADI-Project AWARE, Australian Bird Environment Foundation, Holdsworth Wildlife Research Fund, Sea World Research and Rescue Foundation Inc., Nature Foundation of South Australia, Australian Geographic Society, Norman Wettenhall Foundation and Wildlife Conservation Fund of South Australia. T. Ward helped in securing some funding. LDE received an Australian Postgraduate Award.</t>
  </si>
  <si>
    <t>1442-9985</t>
  </si>
  <si>
    <t>1442-9993</t>
  </si>
  <si>
    <t>AUSTRAL ECOL</t>
  </si>
  <si>
    <t>Austral Ecol.</t>
  </si>
  <si>
    <t>10.1111/j.1442-9993.2010.02176.x</t>
  </si>
  <si>
    <t>769YY</t>
  </si>
  <si>
    <t>WOS:000291055400012</t>
  </si>
  <si>
    <t>Sklenár, P; Dusková, E; Balslev, H</t>
  </si>
  <si>
    <t>Sklenar, Petr; Duskova, Eva; Balslev, Henrik</t>
  </si>
  <si>
    <t>Tropical and Temperate: Evolutionary History of Paramo Flora</t>
  </si>
  <si>
    <t>BOTANICAL REVIEW</t>
  </si>
  <si>
    <t>Andes; Austral-Antarctic; Biogeography; Diversity; Holarctic; Plant migration; Tropical alpine</t>
  </si>
  <si>
    <t>PHYLOGENETIC-RELATIONSHIPS; MOLECULAR PHYLOGENETICS; HYPOCHAERIS ASTERACEAE; TRNL-F; VALERIANACEAE DIPSACALES; DNA-SEQUENCES; NEW-ZEALAND; GENUS; BIOGEOGRAPHY; CHLOROPLAST</t>
  </si>
  <si>
    <t>Biogeography of the tropical alpine flora of South and Central America, the paramo flora, has been studied by dividing genera into tropical, temperate, and cosmopolitan chorological flora elements. Published molecular phylogenies of paramo genera are reviewed to summarize knowledge about evolutionary history of the paramo flora and to assess congruence between chorological and phylogenetic approaches. Molecular phylogenies suggest that both the tropical and temperate regions have been important source areas for evolution of the paramo flora. Conclusions derived from chorological patterns regarding origin of genera in paramo are mostly supported by phylogenetic data. Nevertheless, in Chuquiraga, Halenia, Huperzia, and Perezia the chorological scenario is rejected, and in Chusquea-Neurolepis, Elaphoglossum, Gunnera, Halenia, Jamesonia-Eriosorus, and Lasiocephalus independent colonization events from one or several source areas are suggested. Tropical and temperate genera contributed equally to modern species richness of the paramo flora. Among temperate genera, the northern hemisphere genera gave rise to more species in paramo than did genera from the southern hemisphere. So far, no unequivocal evidence has been provided for migration of paramo genera to the temperate zones.</t>
  </si>
  <si>
    <t>[Sklenar, Petr; Duskova, Eva] Charles Univ Prague, Dept Bot, Prague 12801, Czech Republic; [Balslev, Henrik] Univ Aarhus, Dept Biol, DK-8000 Aarhus C, Denmark</t>
  </si>
  <si>
    <t>Charles University Prague; Aarhus University</t>
  </si>
  <si>
    <t>Sklenár, P (corresponding author), Charles Univ Prague, Dept Bot, Benatska 2, Prague 12801, Czech Republic.</t>
  </si>
  <si>
    <t>petr@natur.cuni.cz</t>
  </si>
  <si>
    <t>Sklenář, Petr/IYS-5753-2023; Balslev, Hendrik/AAE-4071-2020; Balslev, Henrik/J-9191-2013</t>
  </si>
  <si>
    <t>Sklenář, Petr/0000-0003-0429-2621; Balslev, Henrik/0000-0002-7101-7120</t>
  </si>
  <si>
    <t>Czech Science Foundation [206/07/0273]; Grant Agency of the Academy of Sciences of the Czech Republic [KJB601110710]; Ministry of Education, Youth and Sports of the Czech Republic [MSMT 0021620828]; University of Aarhus [220945-0057]</t>
  </si>
  <si>
    <t>Czech Science Foundation(Grant Agency of the Czech Republic); Grant Agency of the Academy of Sciences of the Czech Republic(Czech Academy of SciencesGrant Agency of the Czech Republic); Ministry of Education, Youth and Sports of the Czech Republic(Ministry of Education, Youth &amp; Sports - Czech Republic); University of Aarhus</t>
  </si>
  <si>
    <t>Work was supported by the Czech Science Foundation (project no. 206/07/0273), Grant Agency of the Academy of Sciences of the Czech Republic (project no. KJB601110710), and partly by Ministry of Education, Youth and Sports of the Czech Republic (project no. MSMT 0021620828). The University of Aarhus supported Petr Sklenar's research visit during which an early draft of the manuscript was prepared (Grant no. 220945-0057 to H. Balslev). Jim Luteyn and an anonymous reviewer are thanked for valuable comments on an earlier draft of the manuscript, Jim Luteyn also kindly revised the English.</t>
  </si>
  <si>
    <t>0006-8101</t>
  </si>
  <si>
    <t>1874-9372</t>
  </si>
  <si>
    <t>BOT REV</t>
  </si>
  <si>
    <t>Bot. Rev.</t>
  </si>
  <si>
    <t>10.1007/s12229-010-9061-9</t>
  </si>
  <si>
    <t>766SC</t>
  </si>
  <si>
    <t>WOS:000290805800001</t>
  </si>
  <si>
    <t>Achberger, C; Ackerman, SA; Ahlstrom, A; Alfaro, EJ; Allan, RJ; Alves, L; Amador, JA; Amelie, V; Andrianjafinirina, S; Antonov, J; Arndt, DS; Ashik, I; Atheru, Z; Attaher, SM; Baez, J; Banzon, V; Baringer, MO; Barreira, S; Barriopedro, D; Barthia, PK; Beal, LM; Becker, A; Behrenfeld, MJ; Bell, GD; Belward, AS; Benedetti, A; Berrisford, P; Berry, DI; Beszczynska-Moeller, A; Bhatt, US; Bidegain, M; Bindoff, NL; Bissolli, P; Blake, ES; Blunden, J; Booneeady, P; Bosilovich, MG; Boudet, DR; Box, JE; Boyer, TP; Bromwich, DH; Brown, R; Bryden, HL; Bulygina, ON; Burrows, J; Butler, J; Cais, P; Calderon, B; Callaghan, TV; Camargo, SJ; Cappelen, J; Carmack, E; Chambers, DP; Chelliah, M; Chidichimo, MP; Christiansen, H; Christy, J; Coelho, CAS; Colwell, S; Comiso, JC; Compo, GP; Crouch, J; Cunningham, SA; Cutié, VC; Dai, AG; Davydova-Belitskaya, V; de Jeu, R; Decker, D; Dee, D; Demircan, M; Derksen, C; Diamond, HJ; Dlugokencky, EJ; Dohan, K; Dolman, AJ; Dorigo, W; Drozdov, DS; Durack, PJ; Dutton, GS; Easterling, D; Ebita, A; Eischeid, J; Elkins, JW; Epstein, HE; Euscátegui, C; Faijka-Williams, E; Famiglietti, JS; Faniriantsoa, R; Feely, RA; Fekete, BM; Fenimore, C; Fettweis, X; Fields, E; Fioletov, VE; Fogarty, VE; Fogt, RL; Forbes, BC; Foster, MJ; Frajka-Williams, E; Free, M; Frolov, I; Ganesan, AL; Ganter, C; Gibney, EJ; Gill, S; Gill, M; Gitau, W; Gleason, KL; Gobron, N; Goldenberg, SB; Goni, GJ; González, IG; Good, SA; Gottschalck, J; Gould, WA; Gouveia, CM; Griffiths, GM; Guard, C; Guevara, VV; Haas, C; Hall, BD; Halpert, MS; Heidinger, AK; Heil, A; Heim, RR; Hennon, PA; Henry, GHR; Hidalgo, HG; Hilburn, K; Hirschi, JJM; Ho, SP; Hobgood, JS; Hoerling, M; Holgate, S; Hook, S; Hugony, S; Hurst, D; Ishihara, H; Itoh, M; Jaimes, E; Jeffries, M; Jia, GJ; Jin, XZ; Johns, WE; Johnson, B; Johnson, GC; Jones, PD; Jumaux, G; Kabidi, K; Kaiser, JW; Kanzow, TO; Kaplan, A; Kearns, EJ; Keller, LM; Kennedy, JJ; Khatiwala, S; Kholodov, A; Khoshkam, M; Kikuchi, T; Kimberlain, TB; Knaff, JA; Kobayashi, S; Kokelj, SV; Korshunova, NN; Kratz, DP; Krishfield, R; Kruger, A; Kruk, MC; Kumar, A; Lammers, RB; Lander, MA; Landsea, CW; Lantuit, H; Lantz, TC; Lapinel, BP; Lareef, Z; Lazzara, MA; León, AL; León, G; Leuliette, E; Levitus, S; Levy, JM; L'Heureux, M; Lin, II; Liu, HX; Liu, YJ; Liu, Y; Loeb, NG; Long, CS; Lorrey, AM; Lumpkin, R; Luo, JJ; Lyman, JM; Macdonald, AM; Maddux, BC; Maier, F; Malkova, G; Marchenko, S; Marengo, JA; Maritorena, S; Marotzke, J; Güingla, RM; Maslanik, J; Masson, RA; McBride, C; McGree, S; McLaughlin, F; McPeters, R; McVicar, TR; Mears, CA; Medany, MA; Meier, W; Meinen, CS; Merrifield, MA; Miller, L; Mitchum, GT; Montzka, S; Morcrette, JJ; Mote, T; Mühle, J; Mullan, AB; Murray, D; Nash, ER; Nerem, SR; Newman, PA; Nishino, S; Njau, L; Noetzli, J; Oberbauer, SF; Oberman, N; Obregón, A; Ogallo, L; Oludhe, C; O'Malley, RT; Overland, J; Park, GH; Parker, DE; Pasch, RJ; Pegion, P; Peltier, A; Pelto, MS; Penalba, OC; Pérez, RS; Perlwitz, J; Perovich, D; Peterson, D; Pezza, AB; Phillips, D; Pinzon, JE; Pitts, MC; Proshutinsky, A; Quegan, S; Quintana, J; Quintero, A; Rabe, B; Rahimzadeh, F; Rajeevan, M; Rayner, D; Rayner, NA; Raynolds, MK; Razuvaev, VN; Reagan, JR; Reid, P; Renwick, JA; Revadekar, J; Reynolds, RW; Richter-Menge, J; Rignot, E; Robinson, DA; Rodell, M; Rogers, M; Romanovsky, V; Romero-Cruz, F; Ronchail, J; Rosenlof, K; Rossi, S; Rutledge, G; Saatchi, S; Sabine, CL; Saha, S; Sánchez-Lugo, A; Santee, ML; Sato, H; Sawaengphokhai, P; Sayouri, A; Scambos, TA; Schauer, U; Schemm, J; Schmid, C; Schneider, P; Schueller, D; Sensoy, S; Sharp, M; Shaver, GR; Shiklomanov, AI; Shiklomanov, N; Shimada, K; Siegel, DA; Simmons, A; Skansi, M; Smith, A; Smith, C; Smith, S; Smith, TM; Sokolov, V; Spence, JM; Srivastava, AK; Stackhouse, PW; Stammerjohn, S; Steele, M; Steinbrecht, W; Stephenson, TS; Stolarski, RS; Tahani, L; Takahashi, T; Taylor, MA; Thépaut, JN; Thiaw, WM; Thorne, PW; Timmermans, ML; Tobin, S; Toole, J; Trewin, BC; Trigo, RM; Tucker, CJ; Tweedie, CE; van As, D; van de Wal, RSW; van der A, RJ; van der Werf, GR; Vautard, R; Vieira, G; Vincent, LA; Vinther, LA; Vinther, B; Vose, R; Wagner, W; Wahr, J; Walker, DA; Walsh, J; Wang, CZ; Wang, JH; Wang, L; Wang, MY; Wang, SH; Wanninkhof, R; Weaver, S; Webber, PJ; Weber, M; Weller, RA; Weyman, J; Whitewood, R; Wijffels, SE; Wilber, AC; Willett, KM; Williams, W; Willis, JK; Wolken, G; Wong, TM; Woodgate, R; Woodworth, P; Wovrosh, AJ; Xue, Y; Yamamoto-Kawai, M; Yin, XG; Yu, LS; Zhang, LY; Zhang, PQ; Zhao, L; Zhou, XJ; Zimmermann, S</t>
  </si>
  <si>
    <t>Achberger, Christine; Ackerman, Steven A.; Ahlstrom, A.; Alfaro, Eric J.; Allan, Robert J.; Alves, Robert J.; Amador, Jorge A.; Amelie, Vincent; Andrianjafinirina, Solonomenjanahary; Antonov, John; Arndt, Derek S.; Ashik, Igor; Atheru, Zachary; Attaher, Samar M.; Baez, Julian; Banzon, Viva; Baringer, Molly O.; Barreira, Sandra; Barriopedro, David; Barthia, Pawan K.; Beal, Lisa M.; Becker, Andreas; Behrenfeld, Michael J.; Bell, Gerald D.; Belward, Alan S.; Benedetti, Angela; Berrisford, Paul; Berry, David I.; Beszczynska-Moeller, Agnieszka; Bhatt, Uma S.; Bidegain, Mario; Bindoff, Nathaniel L.; Bissolli, Peter; Blake, Eric S.; Blunden, Jessica; Booneeady, Prithiviraj; Bosilovich, Michael G.; Boudet, Dagne R.; Box, Jason E.; Boyer, Timothy P.; Bromwich, David H.; Brown, Ross; Bryden, Harry L.; Bulygina, Olga N.; Burrows, John; Butler, J.; Cais, Philippe; Calderon, Blanca; Callaghan, T. V.; Camargo, Suzana J.; Cappelen, John; Carmack, Eddy; Chambers, Don P.; Chelliah, Muthuvel; Chidichimo, Maria P.; Christiansen, H.; Christy, John; Coehlo, Caio A. S.; Colwell, Steve; Comiso, Josefino C.; Compo, Gilber P.; Crouch, Jake; Cunningham, Stuart A.; Cutie, Virgen C.; Dai, Aiguo; Davydova-Belitskaya, Valentina; de Jeu, Richard; Decker, David; Dee, Dick; Demircan, M.; Derksen, Chris; Diamond, Howard J.; Dlugokencky, Howard; Dohan, Kathleen; Dolman, A. Johannes; Dorigo, Wouter; Drozdov, Dmitry S.; Durack, Paul J.; Dutton, Geoffrey S.; Easterling, David; Ebita, Ayataka; Eischeid, Jon; Elkins, James W.; Epstein, Howard E.; Euscategui, Christian; Faijka-Williams, Eleanor; Famiglietti, James S.; Faniriantsoa, Rija; Feely, Richard A.; Fekete, Balazs M.; Fenimore, Chris; Fettweis, Xavier; Field, Eric; Fioletov, Vitali E.; Fogarty, Vitali E.; Fogt, Ryan L.; Forbes, B. C.; Foster, Michael J.; Frajka-Williams, E.; Free, Melissa; Frolov, Ivan; Ganesan, A. L.; Ganter, Catherine; Gibney, Ethan J.; Gill, Stephen; Gill, M.; Gitau, Wilson; Gleason, Karin L.; Gobron, Nadine; Goldenberg, Stanley B.; Goni, Gustavo J.; Gonzalez, Idelmis G.; Good, Simon A.; Gottschalck, Jonathan; Gould, William A.; Gouveia, Celia M.; Griffiths, Georgina M.; Guard, Chip; Guevara, Vladimir V.; Haas, C.; Hall, Bradley D.; Halpert, Michael S.; Heidinger, Andrew K.; Heil, A.; Heim, Richard R., Jr.; Hennon, Paula A.; Henry, Greg H. R.; Hidalgo, Hugo G.; Hilburn, Kyle; Hirschi, Joel J. M.; Ho, Shu-peng; Hobgood, Jay S.; Hoerling, Martin; Holgate, Simon; Hook, Simon J.; Hugony, Sebastien; Hurst, D.; Ishihara, Hiroshi; Itoh, M.; Jaimes, Ena; Jeffries, Martin; Jia, Gensu J.; Jin, Xiangze; John, William E.; Johnson, Bryan; Johnson, Gregory C.; Jones, Philip D.; Jumaux, Guillaume; Kabidi, Khadija; Kaiser, Johannes W.; Kanzow, Torsten O.; Kaplan, Alexey; Kearns, Edward J.; Keller, Linda M.; Kennedy, John J.; Khatiwala, Samar; Kholodov, Alexander; Khoshkam, Mahbobeh; Kikuchi, T.; Kimberlain, Todd B.; Knaff, John A.; Kobayashi, Shinya; Kokelj, Steve V.; Korshunova, Natalia N.; Kratz, David P.; Krishfield, Richard; Kruger, Andries; Kruk, Michael C.; Kumar Arun; Lammers, Richard B.; Lander, Mark A.; Landsea, Chris W.; Lantuit, Hugues; Lantz, Trevor C.; Lapinel, Braulio P.; Lareef, Zubair; Lazzara, Matthew A.; Leon, Antonia L.; Leon, Gloria; Lauliette, Eric; Levitus, Sydney; Levy, Joel M.; L'Heureux, Michelle; Lin, I. I.; Liu, Hongxing; Liu, Yanju; Liu, Yi; Loeb, Norman G.; Long, Craig S.; Lorrey, Andrew M.; Lumpkin, Rick; Luo, Jing-Jia; Lyman, John M.; Macdonald, Alison M.; Maddux, Brent C.; Maier, Frank; Malkova, Galina; Marchenko, Sergey; Marengo, Jose A.; Maritorena, Stephane; Marotzke, Jochem; Martinez Guingla, Rodney; Maslanik, Jochem; Masson, Robert A.; McBride, Charlotte; McGree, Simon; McLaughlin, Fiona; McPeters, Rich; McVicar, Tim R.; Mears, Carl A.; Medany, Mahmoud A.; Meier, Walt; Meinen, Christopher S.; Merrifield, Mark A.; Miller, Laury; Mitchum, Gary T.; Montzka, Steve; Morcrette, Jean-Jacques; Mote, Thomas; Muhle, Jens; Mullan, A. Brett; Murray, Don; Nash, Eric R.; Nerem, Steven R.; Newman, Paul A.; Nishino, S.; Njau, Leonard; Noetzli, J.; Oberbauer, S. F.; Oberman, Naum; Obregon, Andre; Ogallo, Laban; Oludhe, Christopher; O'Malley, Robert T.; Overland, James; Park, Geun-Ha; Parker, David E.; Pasch, Richard J.; Pegion, Phil; Peltier, Alexandre; Pelto, Mauri S.; Penalba, Olga C.; Perez, Ramon S.; Perlwitz, Judith; Perovich, Donald; Peterson, Thomas C.; Pezza, Alexandre B.; Phillips, David; Pinzon, Jorge E.; Pitts, Michael C.; Proshutinsky, A.; Quegan, S.; Quintana, Juan; Quintero, Alexander; Rabe, B.; Rahimzadeh, Fatemeh; Rajeevan, Madhavan; Rayner, Darren; Rayner, Nick A.; Raynolds, Martha K.; Razuvaev, Vyacheslav N.; Reagan, James R.; Reid, Phillip; Renwick, James A.; Revadekar, Jayashree; Reynolds, Richard W.; Richter-Menge, Jacqueline; Rignot, Eric; Robinson, David A.; Rodell, Matthew; Rogers, Mark; Romanovsky, Vladimir; Romero-Cruz, Fernando; Ronchail, Josyane; Rosenlof, Karen; Rossi, Shawn; Rutledge, Glenn; Saatchi, Sassan; Sabine, Christopher L.; Saha, Suranjana; Sanchez-Lugo, Ahira; Santee, Michelle L.; Sato, Hitoshi; Sawaengphokhai, P.; Sayouri, Amal; Scambos, Ted A.; Schauer, U.; Schemm, Jae; Schmid, Claudia; Schneider, Philipp; Schueller, Dominique; Sensoy, Serhat; Sharp, Martin; Shaver, Gus R.; Shiklomanov, Alexander; Shiklomanov, N.; Shimada, Koji; Siegel, David A.; Simmons, Adrian; Skansi, Maria; Smith, Adam; Smith, Cathy; Smith, S.; Smith, Thomas M.; Sokolov, Vladimir; Spence, Jacqueline M.; Srivastava, Arvind Kumar; Stackhouse, Paul W., Jr.; Stammerjohn, Sharon; Steele, Mike; Steinbrecht, Wolfgang; Stephenson, Tannecia S.; Stolarski, Richard S.; Tahani, Lloyd; Takahashi, Taro; Taylor, Michael A.; Thepaut, Jean-Noel; Thiaw, Wassila M.; Thorne, Peter W.; Timmermans, M. L.; Tobin, Skie; Toole, John; Trewin, Blair C.; Trigo, Ricardo M.; Tucker, Compton J.; Tweedie, Craig E.; van As, D.; van de Wal, R. S. W.; van der A, Ronald J.; van der Werf, G. R.; Vautard, Robert; Vieira, G.; Vincent, Lucie A.; Vinther, Lucie A.; Vinther, B.; Vose, Russell; Wagner, Wolfgang; Wahr, John; Walker, David A.; Walsh, John; Wang, Chunzai; Wang, Junhong; Wang, Lei; Wang, Muyin; Wang, Sheng-Hung; Wanninkhof, Rik; Weaver, Scott; Webber, Patrick J.; Weber, Mark; Weller, Robert A.; Weyman, James; Whitewood, Robert; Wijffels, Susan E.; Wilber, Anne C.; Willett, Katharine M.; Williams, W.; Willis, Joshua K.; Wolken, Gabriel; Wong, Takmeng; Woodgate, Rebecca; Woodworth, Philip; Wovrosh, Alex J.; Xue, Yan; Yamamoto-Kawai, M.; Yin, Xungang; Yu, Lisan; Zhang, Liangying; Zhang, Peiqun; Zhao, L.; Zhou, Xinjia; Zimmermann, S.</t>
  </si>
  <si>
    <t>STATE OF THE CLIMATE IN 2010</t>
  </si>
  <si>
    <t>BULLETIN OF THE AMERICAN METEOROLOGICAL SOCIETY</t>
  </si>
  <si>
    <t>SEA-SURFACE-TEMPERATURE; MERIDIONAL OVERTURNING CIRCULATION; STRATOSPHERIC WATER-VAPOR; NORTH-ATLANTIC OCEAN; MADDEN-JULIAN OSCILLATION; NINO-SOUTHERN-OSCILLATION; ICE MASS-LOSS; FLORIDA CURRENT TRANSPORT; UPPER-AIR TEMPERATURES; PINE ISLAND GLACIER</t>
  </si>
  <si>
    <t>Several large-scale climate patterns influenced climate conditions and weather patterns across the globe during 2010. The transition from a warm El Nino phase at the beginning of the year to a cool La Nina phase by July contributed to many notable events, ranging from record wetness across much of Australia to historically low Eastern Pacific basin and near-record high North Atlantic basin hurricane activity. The remaining five main hurricane basins experienced below-to well-below-normal tropical cyclone activity. The negative phase of the Arctic Oscillation was a major driver of Northern Hemisphere temperature patterns during 2009/10 winter and again in late 2010. It contributed to record snowfall and unusually low temperatures over much of northern Eurasia and parts of the United States, while bringing above-normal temperatures to the high northern latitudes. The February Arctic Oscillation Index value was the most negative since records began in 1950. The 2010 average global land and ocean surface temperature was among the two warmest years on record. The Arctic continued to warm at about twice the rate of lower latitudes. The eastern and tropical Pacific Ocean cooled about 1 C from 2009 to 2010, reflecting the transition from the 2009/10 El Nino to the 2010/11 La Nina. Ocean heat fluxes contributed to warm sea surface temperature anomalies in the North Atlantic and the tropical Indian and western Pacific Oceans. Global integrals of upper ocean heat content for the past several years have reached values consistently higher than for all prior times in the record, demonstrating the dominant role of the ocean in the Earth's energy budget. Deep and abyssal waters of Antarctic origin have also trended warmer on average since the early 1990s. Lower tropospheric temperatures typically lag ENSO surface fluctuations by two to four months, thus the 2010 temperature was dominated by the warm phase El Nino conditions that occurred during the latter half of 2009 and early 2010 and was second warmest on record. The stratosphere continued to be anomalously cool. Annual global precipitation over land areas was about five percent above normal. Precipitation over the ocean was drier than normal after a wet year in 2009. Overall, saltier (higher evaporation) regions of the ocean surface continue to be anomalously salty, and fresher (higher precipitation) regions continue to be anomalously fresh. This salinity pattern, which has held since at least 2004, suggests an increase in the hydrological cycle. Sea ice conditions in the Arctic were significantly different than those in the Antarctic during the year. The annual minimum ice extent in the Arctic reached in September was the third lowest on record since 1979. In the Antarctic, zonally averaged sea ice extent reached an all-time record maximum from mid-June through late August and again from mid-November through early December. Corresponding record positive Southern Hemisphere Annular Mode Indices influenced the Antarctic sea ice extents. Greenland glaciers lost more mass than any other year in the decade-long record. The Greenland Ice Sheet lost a record amount of mass, as the melt rate was the highest since at least 1958, and the area and duration of the melting was greater than any year since at least 1978. High summer air temperatures and a longer melt season also caused a continued increase in the rate of ice mass loss from small glaciers and ice caps in the Canadian Arctic. Coastal sites in Alaska show continuous permafrost warming and sites in Alaska, Canada, and Russia indicate more significant warming in relatively cold permafrost than in warm permafrost in the same geographical area. With regional differences, permafrost temperatures are now up to 2 C warmer than they were 20 to 30 years ago. Preliminary data indicate there is a high probability that 2010 will be the 20th consecutive year that alpine glaciers have lost mass. Atmospheric greenhouse gas concentrations continued to rise and ozone depleting substances continued to decrease. Carbon dioxide increased by 2.60 ppm in 2010, a rate above both the 2009 and the 1980-2010 average rates. The global ocean carbon dioxide uptake for the 2009 transition period from La Nina to El Nino conditions, the most recent period for which analyzed data are available, is estimated to be similar to the long-term average. The 2010 Antarctic ozone hole was among the lowest 20% compared with other years since 1990, a result of warmer-than-average temperatures in the Antarctic stratosphere during austral winter between mid-July and early September.</t>
  </si>
  <si>
    <t>[Achberger, Christine; Ackerman, Steven A.] NOAA, STG Inc, NESDIS Natl Climat Data Ctr, Asheville, NC 28801 USA; [Ahlstrom, A.] NOAA, OAR Atlantic Oceanog &amp; Meteorol Lab, Miami, FL USA</t>
  </si>
  <si>
    <t>National Oceanic Atmospheric Admin (NOAA) - USA; National Oceanic Atmospheric Admin (NOAA) - USA; Atlantic Oceanographic &amp; Meteorological Laboratory (AOML)</t>
  </si>
  <si>
    <t>Achberger, C (corresponding author), NOAA, STG Inc, NESDIS Natl Climat Data Ctr, Asheville, NC 28801 USA.</t>
  </si>
  <si>
    <t>Saatchi, Sassan/AAQ-2649-2021; Santee, MIchelle/R-5762-2019; Vose, Russell/GSI-5687-2022; Lantuit, Hugues/ABC-8692-2020; Rignot, Eric/A-4560-2014; Bulygina, Olga/H-1251-2016; Smith, Thomas M./F-5626-2010; Kaiser, Johannes W./GOP-0832-2022; Yu, Lisan/AIB-2264-2022; Burrows, John Philip/AAF-8468-2019; THEPAUT, Jean-Noel/AAK-7546-2020; Smith, Adam/AAL-3882-2021; Rajeevan, Madhavan Nair/ABG-8604-2021; Meier, Walter/AAI-9583-2021; Walsh, John/GQI-2785-2022; Box, Jason E/AAE-1654-2019; Steinbrecht, Wolfgang/G-6113-2010; Barriopedro, David/C-1421-2008; Bromwich, David H/C-9225-2016; Willis, Josh/AGY-7817-2022; Leuliette, Eric/D-1527-2010; Camargo, Suzana J./C-6106-2009; SHIMADA, Koji/O-1913-2014; Dai, Aiguo/D-3487-2009; Zhang, Peiqun/AAQ-5385-2020; de Jeu, Richard/AAE-6922-2019; Zhao, Lin/M-9536-2018; Diamond, Howard/ABC-9877-2021; van der Werf, Guido/M-8260-2016; Blunden, Jessica/G-1309-2012; Lantz, Trevor/J-1163-2014; Dlugokencky, Edward/AAN-8746-2020; Thepaut, Jean-Noel/IWU-7629-2023; Perlwitz, Judith/B-7201-2008; Johnson, Gregory C/I-6559-2012; Keyes, Dennis/AAZ-9285-2021; Muhle, Jens/GPX-3244-2022; Jones, Philip Douglas/C-8718-2009; Lin, I-I/J-4695-2013; wilber, anne/F-6270-2011; Jia, Gensuo/AAL-2681-2020; HURST, DALE/AAC-9948-2022; Thorne, Peter/R-6823-2017; Dutton, Geoffrey Scott/V-9977-2019; Reagan/ABE-6875-2020; Wang, Muyin/K-4006-2014; Goldenberg, Stanley/C-5965-2014; Coelho, Caio AS/G-4275-2012; Arndt, Derek S/J-3022-2013; Fioletov, Vitali/AAM-1044-2020; Frolov, Ivan/L-2908-2018; Famiglietti, James/G-7383-2017; Loeb, Norman/ABC-7817-2021; Wong, Takmeng/AHD-3691-2022; Hidalgo, Hugo G./I-7170-2019; Vautard, Robert/ABF-9489-2020; Wong, Takmeng/AHD-3210-2022; Wang, JunHong/HKE-0286-2023; Ahlstrøm, Andreas Peter/E-5257-2014; montzka, stephen/V-6162-2019; Frajka-Williams, Eleanor/H-2415-2011; Miller, Laury/B-8305-2011; Luo, Jing-Jia/T-9612-2019; Wagner, Wolfgang/AAC-5507-2019; Schmid, Claudia/D-5875-2013; Noetzli, Jeannette/ABA-4132-2020; Durack, Paul James/A-8758-2010; Lumpkin, Rick/C-9615-2009; Hook, Simon J/D-5920-2016; Hirschi, Joel/F-5631-2013; Sensoy, Serhat/AGI-2242-2022; van de wal, roderik/D-1705-2011; Wang, Chunzai/C-9712-2009; Srivastava, Arvind Kumar/C-5367-2012; Rabe, Benjamin/G-2999-2011; COMPO, GILBERT P./X-3024-2019; Haas, Christian/L-5279-2016; Goni, Gustavo J/D-2017-2012; Luo, Jing-Jia/B-2481-2008; Rosenlof, Karen H/B-5652-2008; Bindoff, Nathaniel Lee/C-8050-2011; Vieira, Goncalo/G-5958-2010; McVicar, Tim R/D-8614-2011; Wijffels, Susan E/I-8215-2012; Weber, Mark/F-1409-2011; Box, Jason/H-5770-2013; Hall, Bradley/HZH-3492-2023; Gouveia, C./AFK-5900-2022; Attaher, Samar/AAL-4716-2021; Bindoff, Nathaniel Lee/IVV-0333-2023; Cámara-Obregón, Asun/G-1216-2016; Banzon, Viva/D-5499-2014; Hurst, Dale/D-1554-2016; L'Heureux, Michelle L/C-7517-2013; Alfaro, Eric/AAV-3131-2021; McBride, Charlotte/GSI-4733-2022; Drozdov, Dmitry S/N-4264-2018; van der Werf, Guido/JXY-9197-2024; Feely, Richard A./ABI-5740-2020; Ho, shu-peng/E-5199-2019; Gouveia, Celia/E-5159-2010; Thorne, Peter/HZL-3928-2023; Heim, Richard R./H-9667-2017; Timmermans, Mary-Louise/N-5983-2014; Dai, Aiguo/Y-2443-2019; Stolarski, Richard S/B-8499-2013; Trigo, Ricardo/Q-8391-2019; Rodell, Matthew/E-4946-2012; Ackerman, Steven/G-1640-2011; Dee, Dick/B-8931-2015; Yamamoto-Kawai, Michiyo/F-7611-2013; Derksen, Chris/S-9828-2017; Newman, Paul A./D-6208-2012; Baringer, Molly/D-2277-2012; Meinen, Christopher/G-1902-2012; Ganesan, Anita/D-6230-2016; Heidinger, Andrew/F-5591-2010; Knaff, John/F-5599-2010; Berry, David/C-1268-2011; Forbes, Bruce/L-4431-2013; Dorigo, Wouter/C-7794-2014</t>
  </si>
  <si>
    <t>Lantuit, Hugues/0000-0003-1497-6760; Rignot, Eric/0000-0002-3366-0481; Smith, Thomas M./0000-0001-7469-7849; Kaiser, Johannes W./0000-0003-3696-9123; Yu, Lisan/0000-0003-4157-9154; Burrows, John Philip/0000-0002-6821-5580; Smith, Adam/0000-0003-2573-3609; Rajeevan, Madhavan Nair/0000-0002-3000-2459; Walsh, John/0000-0002-2510-8734; Box, Jason E/0000-0003-0052-8705; Barriopedro, David/0000-0001-6476-944X; Leuliette, Eric/0000-0002-3425-4039; Camargo, Suzana J./0000-0002-0802-5160; Zhao, Lin/0000-0003-0245-8413; Dlugokencky, Edward/0000-0003-0612-6985; Perlwitz, Judith/0000-0003-4061-2442; Johnson, Gregory C/0000-0002-8023-4020; Muhle, Jens/0000-0001-9776-3642; Jones, Philip Douglas/0000-0001-5032-5493; Lin, I-I/0000-0002-8364-8106; Jia, Gensuo/0000-0001-5950-9555; HURST, DALE/0000-0002-6315-2322; Thorne, Peter/0000-0003-0485-9798; Dutton, Geoffrey Scott/0000-0001-7777-9268; Reagan/0000-0002-0021-6210; Wang, Muyin/0000-0001-5233-4588; Goldenberg, Stanley/0000-0001-6730-5819; Arndt, Derek S/0000-0001-7698-6740; Fioletov, Vitali/0000-0002-2731-5956; Frolov, Ivan/0000-0002-6586-354X; Famiglietti, James/0000-0002-6053-5379; Hidalgo, Hugo G./0000-0003-4638-0742; Ahlstrøm, Andreas Peter/0000-0001-8235-8070; montzka, stephen/0000-0002-9396-0400; Frajka-Williams, Eleanor/0000-0001-8773-7838; Miller, Laury/0000-0003-3095-5804; Luo, Jing-Jia/0000-0003-2181-0638; Wagner, Wolfgang/0000-0001-7704-6857; Noetzli, Jeannette/0000-0001-9188-6318; Durack, Paul James/0000-0003-2835-1438; Lumpkin, Rick/0000-0002-6690-1704; Hirschi, Joel/0000-0003-1481-3697; Sensoy, Serhat/0000-0002-6150-6035; van de wal, roderik/0000-0003-2543-3892; Wang, Chunzai/0000-0002-7611-0308; Rabe, Benjamin/0000-0001-5794-9856; COMPO, GILBERT P./0000-0001-5199-9633; Haas, Christian/0000-0002-7674-3500; Luo, Jing-Jia/0000-0003-2181-0638; Rosenlof, Karen H/0000-0002-0903-8270; Bindoff, Nathaniel Lee/0000-0001-5662-9519; Vieira, Goncalo/0000-0001-7611-3464; McVicar, Tim R/0000-0002-0877-8285; Box, Jason/0000-0003-0052-8705; Hall, Bradley/0000-0002-2451-8416; Gouveia, C./0000-0002-3147-5696; Bindoff, Nathaniel Lee/0000-0001-5662-9519; Cámara-Obregón, Asun/0000-0003-3747-1642; Hurst, Dale/0000-0002-6315-2322; Alfaro, Eric/0000-0001-9278-5017; McBride, Charlotte/0000-0001-9557-7520; Ho, shu-peng/0000-0002-3010-8544; Gouveia, Celia/0000-0002-3147-5696; Trigo, Ricardo/0000-0002-4183-9852; Shiklomanov, NIkolay/0000-0002-8609-0240; NISHINO, Shigeto/0000-0002-0560-241X; Kanzow, Torsten/0000-0002-5786-3435; Dolman, A.J./0000-0003-0099-0457; Walsh, John/0000-0001-9541-5927; Lyman, John/0000-0002-7200-4663; Rodell, Matthew/0000-0003-0106-7437; Ackerman, Steven/0000-0002-4476-0269; Toole, John/0000-0003-2905-0637; Dee, Dick/0000-0002-8321-9125; Davydova Belitskaya, Valentina/0000-0001-8224-3150; Yamamoto-Kawai, Michiyo/0000-0002-1035-2179; Chambers, Don/0000-0002-5439-0257; Beal, Lisa/0000-0003-3678-5367; Beszczynska-Moller, Agnieszka/0000-0002-8108-6306; SCAMBOS, Ted A./0000-0003-4268-6322; van As, Dirk/0000-0002-6553-8982; Obregon, Andre/0000-0001-8759-4451; Chidichimo, Maria Paz/0000-0002-4745-9017; Shiklomanov, Alexander/0000-0001-9790-3510; Lazzara, Matthew/0000-0002-4343-498X; Attaher, Samar/0000-0001-8488-180X; Derksen, Chris/0000-0001-6821-5479; Reagan, James/0000-0002-6409-0645; Fettweis, Xavier/0000-0002-4140-3813; Newman, Paul A./0000-0003-1139-2508; Demircan, Mesut/0000-0002-5334-7898; Baringer, Molly/0000-0002-8503-5194; Benedetti, Angela/0000-0002-9971-9976; Woodworth, Philip/0000-0002-6681-239X; Meinen, Christopher/0000-0002-8846-6002; Ganesan, Anita/0000-0001-5715-8923; Wijffels, Susan/0000-0002-4717-0811; Heidinger, Andrew/0000-0001-7631-109X; Steele, Michael/0000-0001-5083-1775; Siegel, David/0000-0003-1674-3055; Knaff, John/0000-0003-0427-1409; Berry, David/0000-0002-3862-3479; Renwick, James/0000-0002-9141-2486; Gould, William/0000-0002-3720-9735; Lammers, Richard/0000-0002-7980-5834; Maritorena, Stephane/0000-0002-5508-8391; Forbes, Bruce/0000-0002-4593-5083; Meier, Walter/0000-0003-2857-0550; Dorigo, Wouter/0000-0001-8054-7572</t>
  </si>
  <si>
    <t>NSF [ANT-0636873]; U.K. Joint DECC/DEFRA Met Office Hadley Centre [GA01101]</t>
  </si>
  <si>
    <t>NSF(National Science Foundation (NSF)); U.K. Joint DECC/DEFRA Met Office Hadley Centre</t>
  </si>
  <si>
    <t>The Antarctic Automatic Weather Station Program, NSF grant number ANT-0636873; and U.K. Joint DECC/DEFRA Met Office Hadley Centre Climate Programme (GA01101).</t>
  </si>
  <si>
    <t>0003-0007</t>
  </si>
  <si>
    <t>1520-0477</t>
  </si>
  <si>
    <t>B AM METEOROL SOC</t>
  </si>
  <si>
    <t>Bull. Amer. Meteorol. Soc.</t>
  </si>
  <si>
    <t>S</t>
  </si>
  <si>
    <t>S1</t>
  </si>
  <si>
    <t>S236</t>
  </si>
  <si>
    <t>10.1175/1520-0477-92.6.S1</t>
  </si>
  <si>
    <t>800LO</t>
  </si>
  <si>
    <t>Green Submitted, Green Published, Bronze</t>
  </si>
  <si>
    <t>WOS:000293361600001</t>
  </si>
  <si>
    <t>Lee, WS; Sheen, DH; Yun, S; Seo, KW</t>
  </si>
  <si>
    <t>Lee, Won Sang; Sheen, Dong-Hoon; Yun, Sukyoung; Seo, Ki-Weon</t>
  </si>
  <si>
    <t>The Origin of Double-Frequency Microseism and Its Seasonal Variability at King Sejong Station, Antarctica</t>
  </si>
  <si>
    <t>BULLETIN OF THE SEISMOLOGICAL SOCIETY OF AMERICA</t>
  </si>
  <si>
    <t>NOISE-LEVEL VARIATION</t>
  </si>
  <si>
    <t>Korea Polar Research Institute has been operating a broadband seismic station (KSJ1) at the King George Island (KGI), Antarctica, since 2001. Examining ambient seismic noise levels using power spectral analysis for the period of 2006-2008 at the KSJ1, we observed a seasonal pattern at a 4-10 s period. The amplitude of double-frequency (DF) microseism reaches a peak in May. Correlation of the DF energy and its predominant period with significant ocean-wave height and peak wave period models from the WAVEWATCH III and polarization analysis consistently indicate that ocean swell in the Drake Passage is a possible source to excite the DF microseism at the KGI. We also found that the temporal variation of DF amplitude is coincident with the seasonal change of ocean-acoustic ambient noise level around the KGI, which implies that incorporating long-term seismic and hydroacoustic noise information might give us an opportunity to figure out the characteristics of local climate variation near the Antarctic Peninsula.</t>
  </si>
  <si>
    <t>[Lee, Won Sang; Yun, Sukyoung; Seo, Ki-Weon] Korea Polar Res Inst, Inchon 406840, South Korea; [Sheen, Dong-Hoon] Chonnam Natl Univ, Dept Environm Geol, Fac Earth Syst &amp; Environm Sci, Kwangju 500757, South Korea</t>
  </si>
  <si>
    <t>Korea Polar Research Institute (KOPRI); Korea Institute of Ocean Science &amp; Technology (KIOST); Chonnam National University</t>
  </si>
  <si>
    <t>Lee, WS (corresponding author), Korea Polar Res Inst, 504-3 Get Perl Tower, Inchon 406840, South Korea.</t>
  </si>
  <si>
    <t>wonsang@kopri.re.kr</t>
  </si>
  <si>
    <t>Seo, Ki-weon/AAH-7729-2021; Sheen, Dong-Hoon/O-1574-2013</t>
  </si>
  <si>
    <t>Seo, Ki-weon/0000-0001-5523-4996; Sheen, Dong-Hoon/0000-0002-3271-0344; Lee, Won Sang/0000-0002-1074-7672</t>
  </si>
  <si>
    <t>KOPRI [PM10030, PP11010, PE10170, PE11070]</t>
  </si>
  <si>
    <t>KOPRI(Korea Polar Research Institute of Marine Research Placement (KOPRI))</t>
  </si>
  <si>
    <t>The authors would like to thank associate editor Charlotte A. Rowe and two anonymous reviewers for their critical comments that helped us to greatly improve the manuscript. This research was supported by KOPRI Grants PM10030, PP11010, PE10170, and PE11070.</t>
  </si>
  <si>
    <t>SEISMOLOGICAL SOC AMER</t>
  </si>
  <si>
    <t>ALBANY</t>
  </si>
  <si>
    <t>400 EVELYN AVE, SUITE 201, ALBANY, CA 94706-1375 USA</t>
  </si>
  <si>
    <t>0037-1106</t>
  </si>
  <si>
    <t>1943-3573</t>
  </si>
  <si>
    <t>B SEISMOL SOC AM</t>
  </si>
  <si>
    <t>Bull. Seismol. Soc. Amer.</t>
  </si>
  <si>
    <t>10.1785/0120100143</t>
  </si>
  <si>
    <t>769PL</t>
  </si>
  <si>
    <t>WOS:000291029700038</t>
  </si>
  <si>
    <t>Francelino, MR; Schaefer, CEGR; Simas, FNB; Fernandes, EI; de Souza, JJLL; da Costa, LM</t>
  </si>
  <si>
    <t>Francelino, Marcio Rocha; Schaefer, Carlos Ernesto G. R.; Bello Simas, Felipe Nogueira; Fernandes Filho, Elpidio Inacio; Leal de Souza, Jose Joao Lelis; da Costa, Liovando Marciano</t>
  </si>
  <si>
    <t>Geomorphology and soils distribution under paraglacial conditions in an ice-free area of Admiralty Bay, King George Island, Antarctica</t>
  </si>
  <si>
    <t>CATENA</t>
  </si>
  <si>
    <t>Cryosols; Permafrost; Terrestrial ecosystem; Periglacial</t>
  </si>
  <si>
    <t>MARITIME ANTARCTICA; CRYOSOLS; PERMAFROST</t>
  </si>
  <si>
    <t>The main pedological, geomorphological and cryogenic features of Keller Peninsula, part of Admiralty Bay. King George Island, Maritime Antarctica, were mapped and quantified with emphasis on the relationship between the ice retreat process, melt-out, landform development and soil distribution. Moraines, protalus, scree slopes, inactive glacial cirques, uplift marine terraces, biogenic landforms, aretes and Felsenmeer were mapped. Scree slope is the main landform, covering approximately 25% of the peninsula, indicating prominent paraglacial features. Inherited, glacial landforms, such as lateral moraines, highland plateau and exhumed U shaped-valleys, are now being exposed in north Keller by ice shrinkage of former ice protecting cover. Landforms influenced soil formation and stability. Cryosols and Leptosols (WRB) roughly corresponding to Gelisols and Entisols (SSS), respectively, are the most common soil classes, with an overall tendency of absent permafrost in the coastal areas, changing to sporadic permafrost at mid-slope, and discontinuous permafrost with greater altitude and substrate stability. (C) 2011 Elsevier B.V. All rights reserved.</t>
  </si>
  <si>
    <t>[Francelino, Marcio Rocha] Univ Fed Rural Rio de Janeiro, Dep Silvicultura, BR-23890000 Seropedica, RJ, Brazil; [Schaefer, Carlos Ernesto G. R.; Bello Simas, Felipe Nogueira; Fernandes Filho, Elpidio Inacio; Leal de Souza, Jose Joao Lelis; da Costa, Liovando Marciano] Univ Fed Vicosa, Dept Solos, Vicosa, MG, Brazil</t>
  </si>
  <si>
    <t>Universidade Federal Rural do Rio de Janeiro (UFRRJ); Universidade Federal de Vicosa</t>
  </si>
  <si>
    <t>Francelino, MR (corresponding author), Univ Fed Rural Rio de Janeiro, Dep Silvicultura, BR 465 Km 7, BR-23890000 Seropedica, RJ, Brazil.</t>
  </si>
  <si>
    <t>marciorocha@ufrrj.br</t>
  </si>
  <si>
    <t>Francelino, Marcio Rocha/AAS-4224-2020; de Souza, José João Lelis Leal/AAL-7291-2021; Criosfera, Inct/J-8639-2013; Schaefer, Carlos Ernesto/AAY-4977-2020; Filho, Elpídio Inácio Fernandes/AAE-7315-2019; Filho, Elpidio I Fernandes/G-1560-2012; Souza, José João Lelis Leal de/G-5960-2018</t>
  </si>
  <si>
    <t>Francelino, Marcio Rocha/0000-0001-8837-1372; de Souza, José João Lelis Leal/0000-0003-4670-6626; Filho, Elpídio Inácio Fernandes/0000-0002-9484-1411; Souza, José João Lelis Leal de/0000-0003-4670-6626; Fernandes Filho, Elpidio Inacio/0000-0003-2440-8329; Costa, Liovando Marciano da/0000-0001-9581-0783; Ernesto Goncalves Reynaud Schaefer, Carlos/0000-0001-7060-1598; Ernesto Goncalves Reynaud Schaefer, Carlos/0000-0001-5735-3227</t>
  </si>
  <si>
    <t>Brazilian Antarctic Program (PROANTAR); Ministry of Science and Technology (CNPq)</t>
  </si>
  <si>
    <t>Brazilian Antarctic Program (PROANTAR); Ministry of Science and Technology (CNPq)(Conselho Nacional de Desenvolvimento Cientifico e Tecnologico (CNPQ))</t>
  </si>
  <si>
    <t>We thank the Brazilian Antarctic Program (PROANTAR) and the Ministry of Science and Technology (CNPq) for financing the IPY Project (CNPq, Cryosols of Maritime Antarctica). Logistical support from the Brazilian Navy to undertake the field work, flights and photograph cover of Admiralty Bay, was greatly appreciated. This is a contribution of INCT-Criosfera, TERRANTAR group.</t>
  </si>
  <si>
    <t>0341-8162</t>
  </si>
  <si>
    <t>1872-6887</t>
  </si>
  <si>
    <t>Catena</t>
  </si>
  <si>
    <t>10.1016/j.catena.2010.12.007</t>
  </si>
  <si>
    <t>Geosciences, Multidisciplinary; Soil Science; Water Resources</t>
  </si>
  <si>
    <t>Geology; Agriculture; Water Resources</t>
  </si>
  <si>
    <t>745RO</t>
  </si>
  <si>
    <t>WOS:000289183600002</t>
  </si>
  <si>
    <t>Carillo, S; Pieretti, G; Parrilli, E; Tutino, ML; Gemma, S; Molteni, M; Lanzetta, R; Parrilli, M; Corsaro, MM</t>
  </si>
  <si>
    <t>Carillo, Sara; Pieretti, Giuseppina; Parrilli, Ermenegilda; Tutino, Maria L.; Gemma, Sabrina; Molteni, Monica; Lanzetta, Rosa; Parrilli, Michelangelo; Corsaro, Maria M.</t>
  </si>
  <si>
    <t>Structural Investigation and Biological Activity of the Lipooligosaccharide from the Psychrophilic Bacterium Pseudoalteromonas haloplanktis TAB 23</t>
  </si>
  <si>
    <t>CHEMISTRY-A EUROPEAN JOURNAL</t>
  </si>
  <si>
    <t>biological activity; oligosaccharides; Pseudoalteromonas haloplanktis; psychrophile; structure elucidation</t>
  </si>
  <si>
    <t>D-MANNO-HEPTOSE; LIPID-A; CORE OLIGOSACCHARIDE; CHEMICAL-STRUCTURE; MASS-SPECTROMETRY; LIPOPOLYSACCHARIDE; TAC-125; PHOSPHORYLATION; POLYSACCHARIDE; TEMPERATURE</t>
  </si>
  <si>
    <t>Pseudoalteromonas haloplanktis TAB 23 is a Gram-negative psychrophilic bacterium isolated from the Antarctic coastal sea. To survive in these conditions psychrophilic bacteria have evolved typical membrane lipids and antifreeze proteins to protect the inner side of the microorganism. As for Gram-negative bacteria, the outer membrane is mainly constituted by lipopoly- or lipooligosaccharides (LPS or LOS, respectively), which lean towards the external environment. Despite this, very little is known about the peculiarity of LPS from Gram-negative psychrophilic bacteria and what their role is in adaptation to cold temperature. Here we report the complete structure of the LOS from P. haloplanktis TAB 23. The lipid A was characterized by MALDI-TOF MS analysis and was tested in vitro showing a significant inhibitory effect on the LPS-induced pro-inflammatory cytokine production when added in culture with LPS from Escherichia coli. The product obtained after de-O-acylation of the LPS was analyzed by MALDI-TOF MS revealing the presence of several molecular species, differing in phosphorylation degree and oligosaccharide length. The oligosaccharide portion released after strong alkaline hydrolysis was purified by anion-exchange chromatography-pulsed amperometric detection (HPAEC-PAD) to give three main fractions, characterized by means of 2D NMR spectroscopy, which showed a very short highly phosphorylated saccharidic chain with the following general structure. alpha-Hepp3R,6R,4R'-(1 -&gt; 5)-alpha-Kdop4P-(2 -&gt; 6)-beta-GlcpN4R-(1 -&gt; 6)-alpha-GlcpN1P (R = -H2PO3 or -H; R' = alpha-Galp-(1 -&gt; 4)-beta-Galp-(1 -&gt; or H-).</t>
  </si>
  <si>
    <t>[Carillo, Sara; Pieretti, Giuseppina; Parrilli, Ermenegilda; Tutino, Maria L.; Lanzetta, Rosa; Parrilli, Michelangelo; Corsaro, Maria M.] Univ Naples Federico II, Dipartimento Chim Organ &amp; Biochim, I-80126 Naples, Italy; [Parrilli, Ermenegilda; Tutino, Maria L.] Univ Naples Federico II, Fac Sci Biotecnol, I-80126 Naples, Italy; [Gemma, Sabrina; Molteni, Monica] Bluegreen Biotech SRL, Milan, Italy</t>
  </si>
  <si>
    <t>University of Naples Federico II; University of Naples Federico II</t>
  </si>
  <si>
    <t>Corsaro, MM (corresponding author), Univ Naples Federico II, Dipartimento Chim Organ &amp; Biochim, Complesso Univ Monte S Angelo,Via Cintia 4, I-80126 Naples, Italy.</t>
  </si>
  <si>
    <t>corsaro@unina.it</t>
  </si>
  <si>
    <t>parrilli, ermenegilda/K-4616-2016; Carillo, Sara/IYS-3306-2023; TUTINO, MARIA LUISA/L-1834-2013; Corsaro, Maria Michela/T-6190-2019; parrilli, ermenegilda/JAZ-0586-2023</t>
  </si>
  <si>
    <t>parrilli, ermenegilda/0000-0002-9002-5409; Corsaro, Maria Michela/0000-0002-6834-8682; Gemma, Sabrina/0000-0001-9598-9891; Molteni, Monica/0000-0002-5990-3971; Parrilli, Michelangelo/0000-0001-8858-3623; Tutino, Maria Luisa/0000-0002-4978-6839; Carillo, Sara/0000-0002-5943-8993; LANZETTA, Rosa/0000-0002-1472-5825</t>
  </si>
  <si>
    <t>0947-6539</t>
  </si>
  <si>
    <t>1521-3765</t>
  </si>
  <si>
    <t>CHEM-EUR J</t>
  </si>
  <si>
    <t>Chem.-Eur. J.</t>
  </si>
  <si>
    <t>10.1002/chem.201100579</t>
  </si>
  <si>
    <t>785DC</t>
  </si>
  <si>
    <t>WOS:000292206600023</t>
  </si>
  <si>
    <t>Williams, R; Hedley, SL; Branch, TA; Bravington, MV; Zerbini, AN; Findlay, KP</t>
  </si>
  <si>
    <t>Williams, Rob; Hedley, Sharon L.; Branch, Trevor A.; Bravington, Mark V.; Zerbini, Alexandre N.; Findlay, Ken P.</t>
  </si>
  <si>
    <t>Chilean Blue Whales as a Case Study to Illustrate Methods to Estimate Abundance and Evaluate Conservation Status of Rare Species</t>
  </si>
  <si>
    <t>CONSERVATION BIOLOGY</t>
  </si>
  <si>
    <t>abundance; Balaenoptera musculus; distance sampling; line transect; rare; spatial model; variance</t>
  </si>
  <si>
    <t>BALAENOPTERA-MUSCULUS; MODELS; LENGTH</t>
  </si>
  <si>
    <t>Often abundance of rare species cannot be estimated with conventional design-based methods, so we illustrate with a population of blue whales (Balaenoptera musculus) a spatial model-based method to estimate abundance. We analyzed data from line-transect surveys of blue whales off the coast of Chile, where the population was hunted to low levels. Field protocols allowed deviation from planned track lines to collect identification photographs and tissue samples for genetic analyses, which resulted in an ad hoc sampling design with increased effort in areas of higher densities. Thus, we used spatial modeling methods to estimate abundance. Spatial models are increasingly being used to analyze data from surveys of marine, aquatic, and terrestrial species, but estimation of uncertainty from such models is often problematic. We developed a new, broadly applicable variance estimator that showed there were likely 303 whales (95% CI 176-625) in the study area. The survey did not span the whales' entire range, so this is a minimum estimate. We estimated current minimum abundance relative to pre-exploitation abundance (i. e., status) with a population dynamics model that incorporated our minimum abundance estimate, likely population growth rates from a meta-analysis of rates of increase in large baleen whales, and two alternative assumptions about historic catches. From this model, we estimated that the population was at a minimum of 9.5% (95% CI 4.9-18.0%) of pre-exploitation levels in 1998 under one catch assumption and 7.2% (CI 3.7-13.7%) of pre-exploitation levels under the other. Thus, although Chilean blue whales are probably still at a small fraction of pre-exploitation abundance, even these minimum abundance estimates demonstrate that their status is better than that of Antarctic blue whales, which are still &lt; 1% of pre-exploitation population size. We anticipate our methods will be broadly applicable in aquatic and terrestrial surveys for rarely encountered species, especially when the surveys are intended to maximize encounter rates and estimate abundance.</t>
  </si>
  <si>
    <t>[Williams, Rob] Univ Washington, Jackson Sch, Seattle, WA 98195 USA; [Hedley, Sharon L.] Univ St Andrews, Ctr Res Ecol &amp; Environm Modelling, St Andrews KY16 9LZ, Fife, Scotland; [Branch, Trevor A.] Univ Washington, Sch Aquat &amp; Fishery Sci, Seattle, WA 98195 USA; [Bravington, Mark V.] CSIRO Math &amp; Informat Sci, Marine Labs, Hobart, Tas 7001, Australia; [Zerbini, Alexandre N.] NOAA, Alaska Fisheries Sci Ctr, Natl Marine Mammal Lab, Seattle, WA 98115 USA; [Zerbini, Alexandre N.] Cascadia Res Collect, Olympia, WA 98501 USA; [Findlay, Ken P.] Univ Cape Town, Dept Oceanog, ZA-7701 Rondebosch, South Africa</t>
  </si>
  <si>
    <t>University of Washington; University of Washington Seattle; University of St Andrews; University of Washington; University of Washington Seattle; Commonwealth Scientific &amp; Industrial Research Organisation (CSIRO); National Oceanic Atmospheric Admin (NOAA) - USA; University of Cape Town</t>
  </si>
  <si>
    <t>Williams, R (corresponding author), Univ St Andrews, Gatty Marine Lab, Sea Mammal Res Unit, St Andrews KY16 8LB, Fife, Scotland.</t>
  </si>
  <si>
    <t>rmcw@st-andrews.ac.uk</t>
  </si>
  <si>
    <t>Bravington, Mark V/E-8897-2010; Branch, Trevor/A-5691-2009; Zerbini, Alexandre/ABH-3916-2020; Zerbini, Alexandre/G-4138-2012; Williams, Rob/C-5882-2011; Findlay, Ken/A-5766-2019</t>
  </si>
  <si>
    <t>Zerbini, Alexandre/0000-0002-9776-6605; Williams, Rob/0000-0001-7496-453X; Findlay, Ken/0000-0001-7154-8805</t>
  </si>
  <si>
    <t>Canada-U.S. Fulbright Chair position at University of Washington; Natural Environment Research Council [smru10001] Funding Source: researchfish</t>
  </si>
  <si>
    <t>Canada-U.S. Fulbright Chair position at University of Washington; Natural Environment Research Council(UK Research &amp; Innovation (UKRI)Natural Environment Research Council (NERC))</t>
  </si>
  <si>
    <t>We thank C. Allison of the International Whaling Commission for collating and providing the annual catches from land stations in the Southern Hemisphere and for providing the original data from the Chilean IWC/SOWER surveys. Without the hard work of the captains (T. Tsurui and K. Sakai), crew, and researchers (R. Pitman, P. Ensor, H. Iwakami, D. Ljungblad, H. Shimada, D. Thiele, K. van Waerebeek, R. Hucke-Gaete, and G. P. S. Vattier) on the Chilean IWC SOWER cruise, this work would not have been possible. Financial support for R. W. came from grants to support a Canada-U.S. Fulbright Chair position at University of Washington. We thank A. Read for encouraging this partnership between biologists and statisticians to develop solutions to outstanding problems in cetacean abundance estimation and S. Wood for useful discussions on the inner workings of mgcv-gam. We thank the editorial team, R. Brownell, and two anonymous reviewers for feedback on a previous version of the manuscript.</t>
  </si>
  <si>
    <t>0888-8892</t>
  </si>
  <si>
    <t>1523-1739</t>
  </si>
  <si>
    <t>CONSERV BIOL</t>
  </si>
  <si>
    <t>Conserv. Biol.</t>
  </si>
  <si>
    <t>10.1111/j.1523-1739.2011.01656.x</t>
  </si>
  <si>
    <t>Biodiversity Conservation; Ecology; Environmental Sciences</t>
  </si>
  <si>
    <t>762PK</t>
  </si>
  <si>
    <t>WOS:000290491700015</t>
  </si>
  <si>
    <t>Smith, KL</t>
  </si>
  <si>
    <t>Smith, K. L., Jr.</t>
  </si>
  <si>
    <t>Free-drifting icebergs in the Southern Ocean: An overview</t>
  </si>
  <si>
    <t>NATURAL IRON FERTILIZATION; NORTHWESTERN WEDDELL SEA; REGIONAL CLIMATE-CHANGE; ANTARCTIC PENINSULA; ATMOSPHERIC CO2; MARINE MAMMALS; LEVEL RISE; ICE SHELF; PHYTOPLANKTON; PRODUCTIVITY</t>
  </si>
  <si>
    <t>Monterey Bay Aquarium Res Inst, Moss Landing, CA 95039 USA</t>
  </si>
  <si>
    <t>Smith, KL (corresponding author), Monterey Bay Aquarium Res Inst, 7700 Sandholdt Rd, Moss Landing, CA 95039 USA.</t>
  </si>
  <si>
    <t>ksmith@mbari.org</t>
  </si>
  <si>
    <t>10.1016/j.dsr2.2010.11.003</t>
  </si>
  <si>
    <t>WOS:000291079800001</t>
  </si>
  <si>
    <t>McGill, PR; Reisenbichler, KR; Etchemendy, SA; Dawe, TC; Hobson, BW</t>
  </si>
  <si>
    <t>McGill, P. R.; Reisenbichler, K. R.; Etchemendy, S. A.; Dawe, T. C.; Hobson, B. W.</t>
  </si>
  <si>
    <t>Aerial surveys and tagging of free-drifting icebergs using an unmanned aerial vehicle (UAV)</t>
  </si>
  <si>
    <t>Icebergs; Antarctic; Unmanned aerial vehicle; Remotely piloted vehicle; UAV; RPV; GPS</t>
  </si>
  <si>
    <t>Ship-based observations of free-drifting icebergs are hindered by the dangers of calving ice. To improve the efficacy and safety of these studies, new unmanned aerial vehicles (UAVs) were developed and then deployed in the Southern Ocean. These inexpensive UAVs were launched and recovered from a ship by scientific personal with a few weeks of flight training. The UAVs sent real-time video back to the ship, allowing researchers to observe conditions in regions of the icebergs not visible from the ship. In addition, the UAVs dropped newly developed global positioning system (GPS) tracking tags, permitting researchers to record the precise position of the icebergs over time. The position reports received from the tags show that the motion of free-drifting icebergs changes rapidly and is a complex combination of both translation and rotation. (C) 2010 Elsevier Ltd. All rights reserved.</t>
  </si>
  <si>
    <t>[McGill, P. R.; Reisenbichler, K. R.; Etchemendy, S. A.; Dawe, T. C.; Hobson, B. W.] Monterey Bay Aquarium Res Inst, Moss Landing, CA 95039 USA</t>
  </si>
  <si>
    <t>McGill, PR (corresponding author), Monterey Bay Aquarium Res Inst, 7700 Sandholdt Rd, Moss Landing, CA 95039 USA.</t>
  </si>
  <si>
    <t>mcgill@mbari.org</t>
  </si>
  <si>
    <t>US National Science Foundation [ANT-0636813]; Monterey Bay Aquarium Research Institute through the David and Lucille Packard Foundation</t>
  </si>
  <si>
    <t>US National Science Foundation(National Science Foundation (NSF)); Monterey Bay Aquarium Research Institute through the David and Lucille Packard Foundation</t>
  </si>
  <si>
    <t>Financial and logistical support for this work was provided by the US National Science Foundation under grant ANT-0636813 to K Smith and B. Robison. Additional funding was provided by the Monterey Bay Aquarium Research Institute through the David and Lucille Packard Foundation. Key components of the UAV avionics systems, including the on-screen displays and aircraft GPS receivers, were generously donated by Mark Harris at Intelligent Flight of Perth, Australia. We would also like to thank Ray Smith of Hobbies Aloft for providing the expert flight training that was required to get our pilots proficient at short takeoffs and landings and for his advice on configuring our first aircraft for these missions.</t>
  </si>
  <si>
    <t>10.1016/j.dsr2.2010.11.007</t>
  </si>
  <si>
    <t>WOS:000291079800005</t>
  </si>
  <si>
    <t>Lin, H; Rauschenberg, S; Hexel, CR; Shaw, TJ; Twining, BS</t>
  </si>
  <si>
    <t>Lin, Hai; Rauschenberg, Sara; Hexel, Cole R.; Shaw, Timothy J.; Twining, Benjamin S.</t>
  </si>
  <si>
    <t>Free-drifting icebergs as sources of iron to the Weddell Sea</t>
  </si>
  <si>
    <t>Southern Ocean; Antarctica; Climate change; Dissolved Fe; Flow injection analysis</t>
  </si>
  <si>
    <t>SOUTHERN-OCEAN; FLOW-INJECTION; TRACE-METALS; TERRIGENOUS SEDIMENT; ANTARCTIC PENINSULA; PARTICULATE MATTER; PACIFIC SECTOR; DISSOLVED FE; SCOTIA SEA; CO2 CHANGE</t>
  </si>
  <si>
    <t>In recent years glaciers on the Antarctic Peninsula have retreated, resulting in loss of mass from ice shelves and increased supply of icebergs to the Southern Ocean. Free-drifting icebergs may serve as an important source of Fe to surrounding waters. We measured concentrations of dissolved Fe and Fe content of suspended particulate material (via flow injection-chemiluminescence and ICP-MS, respectively) in the waters surrounding several icebergs during cruises to the Scotia and Weddell Seas in June 2008 and March 2009. Surface dissolved Fe (DFe) concentrations varied from 0.58 to 2.92 nM and were elevated up to 60% at some stations &lt;1 km from the nearest iceberg. The highest surface DFe concentrations were associated with low salinity waters, regardless of distance to the iceberg. Depth profiles revealed surface enrichment at most stations &gt; 10 km from the icebergs, indicating general Fe enrichment in the lower-salinity surface layer. However surface DFe within 1 km of the iceberg was similar to that measured at depths below the draft of the iceberg, a feature that may result from upwelling of circumpolar deep water caused by basal melting at the face of the iceberg. Iron concentrations in ice collected following calving events were highly variable (4-600 nM) but were elevated above concentrations in seawater. Particulate Fe (normalized to particulate P) in suspended particulate material was up to 20-fold higher within 0.6 km of two large tabular icebergs, but no enrichment was observed at two smaller icebergs. Iron:phosphonis ratios of suspended particulate material were also higher in deeper (40 m) waters compared to shallow (ca. 15 m) waters at the iceberg face. Iron release appeared to be episodic, producing a spatially heterogeneous environment around icebergs. This source term may increase in coming years as Antarctic ice shelves degrade further, potentially impacting the ecology and biogeochemistry of low-Fe waters of the Southern Ocean. (C) 2010 Elsevier Ltd. All rights reserved.</t>
  </si>
  <si>
    <t>[Rauschenberg, Sara; Twining, Benjamin S.] Bigelow Lab Ocean Sci, W Boothbay Harbor, ME 04575 USA; [Lin, Hai; Hexel, Cole R.; Shaw, Timothy J.; Twining, Benjamin S.] Univ S Carolina, Dept Chem &amp; Biochem, Columbia, SC 29208 USA</t>
  </si>
  <si>
    <t>Bigelow Laboratory for Ocean Sciences; University of South Carolina System; University of South Carolina Columbia</t>
  </si>
  <si>
    <t>Twining, BS (corresponding author), Bigelow Lab Ocean Sci, W Boothbay Harbor, ME 04575 USA.</t>
  </si>
  <si>
    <t>btwining@bigelow.org</t>
  </si>
  <si>
    <t>Hexel, Cole/N-3245-2016</t>
  </si>
  <si>
    <t>Hexel, Cole/0000-0001-8101-2422; Shaw, Timothy/0000-0002-0032-457X; Twining, Benjamin/0000-0002-1365-9192</t>
  </si>
  <si>
    <t>NSF [ANT-0636319]</t>
  </si>
  <si>
    <t>We thank the captain and crew of the RVIB Nathaniel B. Palmer and the staff from Raytheon Polar Services for their professional assistance throughout two cruises (NBP08-06 and NBP09-02). We are also grateful to B. Robison, R. Sherlock, K. Reisenbichler, B. Hobson, C. Dawe, for providing ROV sampling around icebergs. The manuscript benefited from discussions with Gordon Stephenson and Maria Vernet regarding the influence of iceberg melting on salinity anomalies in surface waters, and was significantly improved by the comments of two anonymous reviewers. Mike Handley at the University of Maine assisted with the ICP-MS analysis of particulate samples. This project was supported by NSF grant ANT-0636319 to TJS and BST.</t>
  </si>
  <si>
    <t>10.1016/j.dsr2.2010.11.020</t>
  </si>
  <si>
    <t>WOS:000291079800012</t>
  </si>
  <si>
    <t>Belyatsky, BV; Rodionov, NV; Antonov, AV; Sergeev, SA</t>
  </si>
  <si>
    <t>Belyatsky, B. V.; Rodionov, N. V.; Antonov, A. V.; Sergeev, S. A.</t>
  </si>
  <si>
    <t>The 3.98-3.63 Ga zircons as indicators of major processes operating in the ancient continental crust of the east Antarctic shield (Enderby Land)</t>
  </si>
  <si>
    <t>DOKLADY EARTH SCIENCES</t>
  </si>
  <si>
    <t>NAPIER COMPLEX; HISTORY; ORIGIN; ROCK</t>
  </si>
  <si>
    <t>This study presents new results on zircons from the enderbite-charnockite rocks of Enderby Land, East Antarctica. U-Pb age of 3981 +/- 8 Ma (SIMS SHRIMP II), which was first obtained for a protolith of massive enderbites from Aker Peaks, eastern Napier Mts, suggests that the existence of sialic crust in the study area at 4 Ga. Although there was only one magmatic zircon (of 150 grains analyzed) in the study area known with the oldest age, its significance cannot be overestimated, since it may indirectly evidence the existence of an Early Archean crustal block with a minimum age of 4 Ga, which extends for over 300 km across Enderby Land from its western to eastern part. Based on the U-Pb systematics, REE and trace element distributions in zircons from charnockite and enderbite gneisses, high-aluminous gneisses, and basic granulites, we first revealed that an early high-temperature metamorphic event accompanied by the emplacement of granodiorite intrusions occurred in the vicinity of Aker Peaks at 3620-3630 Ma. Although the 2850-3050 metamorphic overprints are clearly observed in some other areas of Enderby Land and are widely considered to be of critical importance on a regional scale, their metamorphic signatures are apparently absent from the U-Pb systematics of the studied zircon, thus suggesting the presence of similar old zircons in the study area. At the same time, all samples in this study record a 2480-2550 Ma granulite-amphibolite facies overprint represented as new zircon growths or recrystallization of earlier phases.</t>
  </si>
  <si>
    <t>[Belyatsky, B. V.] Gramberg All Russia Res Inst Geol &amp; Mineral Resou, St Petersburg, Russia; [Rodionov, N. V.; Antonov, A. V.; Sergeev, S. A.] Karpinskii All Russia Res Inst Geol, St Petersburg, Russia</t>
  </si>
  <si>
    <t>A.P. Karpinsky Russian Geological Research Institute (VSEGEI); A.P. Karpinsky Russian Geological Research Institute (VSEGEI)</t>
  </si>
  <si>
    <t>Belyatsky, BV (corresponding author), Gramberg All Russia Res Inst Geol &amp; Mineral Resou, St Petersburg, Russia.</t>
  </si>
  <si>
    <t>Belyatsky, Boris/V-6644-2019; Rodionov, Nickolay/T-8826-2017</t>
  </si>
  <si>
    <t>Belyatsky, Boris/0000-0002-4022-9366; Rodionov, Nickolay/0000-0001-5201-1922</t>
  </si>
  <si>
    <t>1028-334X</t>
  </si>
  <si>
    <t>DOKL EARTH SCI</t>
  </si>
  <si>
    <t>Dokl. Earth Sci.</t>
  </si>
  <si>
    <t>10.1134/S1028334X11060031</t>
  </si>
  <si>
    <t>788TW</t>
  </si>
  <si>
    <t>WOS:000292468300009</t>
  </si>
  <si>
    <t>Melbourne-Thomas, J; Johnson, CR; Fung, T; Seymour, RM; Chérubin, LM; Arias-González, JE; Fulton, EA</t>
  </si>
  <si>
    <t>Melbourne-Thomas, Jessica; Johnson, Craig R.; Fung, Tak; Seymour, Robert M.; Cherubin, Laurent M.; Arias-Gonzalez, J. Ernesto; Fulton, Elizabeth A.</t>
  </si>
  <si>
    <t>Regional-scale scenario modeling for coral reefs: a decision support tool to inform management of a complex system</t>
  </si>
  <si>
    <t>ECOLOGICAL APPLICATIONS</t>
  </si>
  <si>
    <t>connectivity; coral reef dynamics; coral reef management; decision support tool; ecosystem model; Meso-American Reef system</t>
  </si>
  <si>
    <t>DIADEMA-ANTILLARUM; LIMITED GROWTH; NUTRIENT ENRICHMENT; LARVAL SETTLEMENT; FISH COMMUNITIES; MASS MORTALITY; TROPHIC MODELS; SEA-URCHIN; RECRUITMENT; RESILIENCE</t>
  </si>
  <si>
    <t>The worldwide decline of coral reefs threatens the livelihoods of coastal communities and puts at risk valuable ecosystem services provided by reefs. There is a pressing need for robust predictions of potential futures of coral reef and associated human systems under alternative management scenarios. Understanding and predicting the dynamics of coral reef systems at regional scales of tens to hundreds of kilometers is imperative, because reef systems are connected by physical and socioeconomic processes across regions and often across international boundaries. We present a spatially explicit regional-scale model of ecological dynamics for a general coral reef system. In designing our model as a tool for decision support, we gave precedence to portability and accessibility; the model can be parameterized for dissimilar coral reef systems in different parts of the world, and the model components and outputs are understandable for nonexperts. The model simulates local-scale dynamics, which are coupled across regions through larval connectivity between reefs. We validate our model using an instantiation for the Meso-American Reef system. The model realistically captures local and regional ecological dynamics and responds to external forcings in the form of harvesting, pollution, and physical damage (e.g., hurricanes, coral bleaching) to produce trajectories that largely fall within limits observed in the real system. Moreover, the model demonstrates behaviors that have relevance for management considerations. In particular, differences in larval supply between reef localities drive spatial variability in modeled reef community structure. Reef tracts for which recruitment is low are more vulnerable to natural disturbance and synergistic effects of anthropogenic stressors. Our approach provides a framework for projecting the likelihood of different reef futures at local to regional scales, with important applications for the management of complex coral reef systems.</t>
  </si>
  <si>
    <t>[Melbourne-Thomas, Jessica; Johnson, Craig R.] Univ Tasmania, Inst Marine &amp; Antarctic Studies, Hobart, Tas 7001, Australia; [Fung, Tak] Queens Univ Belfast, Sch Biol Sci, Belfast BT9 7BL, Antrim, North Ireland; [Seymour, Robert M.] UCL, Ctr Math &amp; Phys Life Sci &amp; Expt Biol, London WC1E 6BT, England; [Seymour, Robert M.] UCL, Dept Math, London WC1E 6BT, England; [Cherubin, Laurent M.] Univ Miami, Rosenstiel Sch Marine &amp; Atmospher Sci, Div Meteorol &amp; Phys Oceanog, Miami, FL 33149 USA; [Arias-Gonzalez, J. Ernesto] Ctr Invest &amp; Estud Avanzados, Inst Politecn Nacl, Dept Recursos Mar, Lab Ecol Ecosistemas Arrecifes Coralinos,Unidad M, Merida 97310, Yucatan, Mexico; [Fulton, Elizabeth A.] CSIRO Wealth Oceans Flagship, Marine &amp; Atmospher Res, Hobart, Tas 7001, Australia</t>
  </si>
  <si>
    <t>University of Tasmania; Queens University Belfast; University of London; University College London; University of London; University College London; University of Miami; Instituto Politecnico Nacional - Mexico; Commonwealth Scientific &amp; Industrial Research Organisation (CSIRO)</t>
  </si>
  <si>
    <t>Melbourne-Thomas, J (corresponding author), Univ Tasmania, Inst Marine &amp; Antarctic Studies, Hobart, Tas 7001, Australia.</t>
  </si>
  <si>
    <t>Jessica.MelbourneThomas@utas.edu.au</t>
  </si>
  <si>
    <t>Fulton, Beth/AAJ-1398-2021; Melbourne-Thomas, Jessica/G-7995-2012; Melbourne-Thomas, Jess/N-2437-2019; Fulton, Beth/A-2871-2008; Johnson, Craig/E-1788-2013</t>
  </si>
  <si>
    <t>Fulton, Beth/0000-0002-5904-7917; Melbourne-Thomas, Jess/0000-0001-6585-876X; Arias-Gonzalez, Jesus Ernesto/0000-0003-4601-710X; Johnson, Craig/0000-0002-9511-905X</t>
  </si>
  <si>
    <t>Modelling and Decision Support (MDS); Coral Reef Targeted Research and Capacity Building for Management Program (CRTR-CBMP); CSIRO-UTAS; Centre for Mathematics and Physics in the Life Sciences and Experimental Biology (CoMPLEX) at UCL</t>
  </si>
  <si>
    <t>Modelling and Decision Support (MDS); Coral Reef Targeted Research and Capacity Building for Management Program (CRTR-CBMP); CSIRO-UTAS(Commonwealth Scientific &amp; Industrial Research Organisation (CSIRO)); Centre for Mathematics and Physics in the Life Sciences and Experimental Biology (CoMPLEX) at UCL</t>
  </si>
  <si>
    <t>This work has been supported by the Modelling and Decision Support (MDS) and Connectivity working groups of the Coral Reef Targeted Research and Capacity Building for Management Program (CRTR-CBMP). J. Melbourne-Thomas was supported by a joint CSIRO-UTAS Ph.D. scholarship in Quantitative Marine Science (QMS) and a CSIRO Fellowship in Marine Ecosystem Modelling and received an Honorary Research Fellowship from the Centre for Mathematics and Physics in the Life Sciences and Experimental Biology (CoMPLEX) at UCL, which facilitated collaboration between authors. We thank Claire Paris for providing data from larval transport simulations and Gilberto Acosta-Gonzalez for constructing databases for Mexican subregions.</t>
  </si>
  <si>
    <t>1051-0761</t>
  </si>
  <si>
    <t>1939-5582</t>
  </si>
  <si>
    <t>ECOL APPL</t>
  </si>
  <si>
    <t>Ecol. Appl.</t>
  </si>
  <si>
    <t>10.1890/09-1564.1</t>
  </si>
  <si>
    <t>776LE</t>
  </si>
  <si>
    <t>WOS:000291535500031</t>
  </si>
  <si>
    <t>Foreman, CM; Dieser, M; Greenwood, M; Cory, RM; Laybourn-Parry, J; Lisle, JT; Jaros, C; Miller, PL; Chin, YP; McKnight, DM</t>
  </si>
  <si>
    <t>Foreman, Christine M.; Dieser, Markus; Greenwood, Mark; Cory, Rose M.; Laybourn-Parry, Johanna; Lisle, John T.; Jaros, Christopher; Miller, Penney L.; Chin, Yu-Ping; McKnight, Diane M.</t>
  </si>
  <si>
    <t>When a habitat freezes solid: microorganisms over-winter within the ice column of a coastal Antarctic lake</t>
  </si>
  <si>
    <t>FEMS MICROBIOLOGY ECOLOGY</t>
  </si>
  <si>
    <t>Antarctica; lake ice; microorganisms</t>
  </si>
  <si>
    <t>GRADIENT GEL-ELECTROPHORESIS; MCMURDO DRY VALLEYS; MELTWATER PONDS; MICROBIAL MATS; COMMUNITY STRUCTURE; SP NOV.; BACTERIA; SHELF; DIVERSITY; DYNAMICS</t>
  </si>
  <si>
    <t>A major impediment to understanding the biology of microorganisms inhabiting Antarctic environments is the logistical constraint of conducting field work primarily during the summer season. However, organisms that persist throughout the year encounter severe environmental changes between seasons. In an attempt to bridge this gap, we collected ice core samples from Pony Lake in early November 2004 when the lake was frozen solid to its base, providing an archive for the biological and chemical processes that occurred during winter freezeup. The ice contained bacteria and virus-like particles, while flagellated algae and ciliates over-wintered in the form of inactive cysts and spores. Both bacteria and algae were metabolically active in the ice core melt water. Bacterial production ranged from 1.8 to 37.9 mu g C L-1 day-1. Upon encountering favorable growth conditions in the melt water, primary production ranged from 51 to 931 mu g C L-1 day-1. Because of the strong H2S odor and the presence of closely related anaerobic organisms assigned to Pony Lake bacterial 16S rRNA gene clones, we hypothesize that the microbial assemblage was strongly affected by oxygen gradients, which ultimately restricted the majority of phylotypes to distinct strata within the ice column. This study provides evidence that the microbial community over-winters in the ice column of Pony Lake and returns to a highly active metabolic state when spring melt is initiated.</t>
  </si>
  <si>
    <t>[Foreman, Christine M.; Dieser, Markus] Montana State Univ, Ctr Biofilm Engn, Dept Land Resources &amp; Environm Sci, Bozeman, MT 59717 USA; [Greenwood, Mark] Montana State Univ, Dept Math Sci, Bozeman, MT 59717 USA; [Cory, Rose M.; Jaros, Christopher; McKnight, Diane M.] Univ Colorado, INSTAAR, Boulder, CO 80309 USA; [Laybourn-Parry, Johanna] Univ Bristol, Bristol Glaciol Ctr, Bristol, Avon, England; [Lisle, John T.] Ctr Coastal &amp; Watershed Studies, USGS, St Petersburg, FL USA; [Miller, Penney L.] Rose Hulman Inst Technol, Dept Chem, Terre Haute, IN 47803 USA; [Chin, Yu-Ping] Ohio State Univ, Sch Earth Sci, Mendenhall Lab 285, Columbus, OH 43210 USA</t>
  </si>
  <si>
    <t>Montana State University System; Montana State University Bozeman; Montana State University System; Montana State University Bozeman; University of Colorado System; University of Colorado Boulder; University of Bristol; United States Department of the Interior; United States Geological Survey; Rose Hulman Institute Technology; University System of Ohio; Ohio State University</t>
  </si>
  <si>
    <t>Foreman, CM (corresponding author), Montana State Univ, Ctr Biofilm Engn, Dept Land Resources &amp; Environm Sci, 366 EPS Bldg, Bozeman, MT 59717 USA.</t>
  </si>
  <si>
    <t>cforeman@montana.edu</t>
  </si>
  <si>
    <t>Cory, Rose M/C-4198-2016</t>
  </si>
  <si>
    <t>Dieser, Markus/0000-0001-8539-6646; Cory, Rose/0000-0001-9867-7084; MCKNIGHT, DIANE/0000-0002-4171-1533; Foreman, Christine/0000-0003-0230-4692</t>
  </si>
  <si>
    <t>NSF [OPP-0338260, OPP-0338299, OPP-0338121, OPP-0338342]</t>
  </si>
  <si>
    <t>Logistical support was made available by Raytheon Polar Services and Petroleum Helicopters Incorporated. We are grateful to J. Guerard, K. Cawley, R. Fimmen, and the RPSC volunteer field assistants who aided our field work and the invaluable service provided by the PHI helicopter pilots. Funding for this project came from NSF OPP-0338260 to Y.-P.C., OPP-0338299 to D.M.M., OPP-0338121 to P.L.M., and OPP-0338342 to C.M.F. Any opinions, findings, or conclusions stated in this paper are solely those of the authors and do not necessarily reflect the views of the National Science Foundation.</t>
  </si>
  <si>
    <t>0168-6496</t>
  </si>
  <si>
    <t>1574-6941</t>
  </si>
  <si>
    <t>FEMS MICROBIOL ECOL</t>
  </si>
  <si>
    <t>FEMS Microbiol. Ecol.</t>
  </si>
  <si>
    <t>10.1111/j.1574-6941.2011.01061.x</t>
  </si>
  <si>
    <t>760HH</t>
  </si>
  <si>
    <t>WOS:000290314900001</t>
  </si>
  <si>
    <t>Piquet, AMT; Bolhuis, H; Meredith, MP; Buma, AGJ</t>
  </si>
  <si>
    <t>Piquet, Anouk M. -T.; Bolhuis, Henk; Meredith, Michael P.; Buma, Anita G. J.</t>
  </si>
  <si>
    <t>Shifts in coastal Antarctic marine microbial communities during and after melt water-related surface stratification</t>
  </si>
  <si>
    <t>Antarctic Peninsula; 18S rRNA gene; 16S rRNA gene; bacterioplankton; DGGE; sequencing</t>
  </si>
  <si>
    <t>16S RIBOSOMAL-RNA; PHYTOPLANKTON BIOMASS; CLASS FLAVOBACTERIA; DEEP-SEA; DIVERSITY; GRADIENT; BACTERIAL; ASSEMBLAGES; EUKARYOTES; DYNAMICS</t>
  </si>
  <si>
    <t>Antarctic coastal waters undergo major physical alterations during summer. Increased temperatures induce sea-ice melting and glacial melt water input, leading to strong stratification of the upper water column. We investigated the composition of micro-eukaryotic and bacterial communities in Ryder Bay, Antarctic Peninsula, during and after summertime melt water stratification, applying community fingerprinting (denaturing gradient gel electrophoresis) and sequencing analysis of partial 18S and 16S rRNA genes. Community fingerprinting of the eukaryotic community revealed two major patterns, coinciding with a period of melt water stratification, followed by a period characterized by regular wind-induced breakdown of surface stratification. During the first stratified period, we observed depth-related differences in eukaryotic fingerprints while differences in bacterial fingerprints were weak. Wind-induced breakdown of the melt water layer caused a shift in the eukaryotic community from an Actinocyclus sp.- to a Thalassiosira sp.-dominated community. In addition, a distinct transition in the bacterial community was found, but with a few days' delay, suggesting a response to the changes in the eukaryotic community rather than to the mixing event itself. Sequence analysis revealed a shift from an Alpha- and Gammaproteobacteria to a Cytophaga-Flavobacterium-Bacteroides-dominated community under mixed conditions. Our results show that melt water stratification and the transition to nonstabilized Antarctic surface waters may have an impact not only on micro-eukaryotic but also bacterial community composition.</t>
  </si>
  <si>
    <t>[Piquet, Anouk M. -T.; Buma, Anita G. J.] Univ Groningen, Dept Ocean Ecosyst, Energy &amp; Sustainabil Res Inst, NL-9747 AG Groningen, Netherlands; [Bolhuis, Henk] NIOO CEME, Dept Marine Microbiol, Nt Yerseke, Netherlands; [Meredith, Michael P.] British Antarctic Survey, NERC, Cambridge CB3 0ET, England</t>
  </si>
  <si>
    <t>University of Groningen; Royal Netherlands Academy of Arts &amp; Sciences; Netherlands Institute of Ecology (NIOO-KNAW); UK Research &amp; Innovation (UKRI); Natural Environment Research Council (NERC); NERC British Antarctic Survey</t>
  </si>
  <si>
    <t>Piquet, AMT (corresponding author), Univ Groningen, Dept Ocean Ecosyst, Energy &amp; Sustainabil Res Inst, Nijenborgh 7, NL-9747 AG Groningen, Netherlands.</t>
  </si>
  <si>
    <t>a.m.t.piquet@rug.nl</t>
  </si>
  <si>
    <t>Bolhuis, Henk/S-2986-2019; Buma, Anita GJ/E-8372-2015; Bolhuis, Henk/M-6677-2019</t>
  </si>
  <si>
    <t>Bolhuis, Henk/0000-0002-4772-1898; Meredith, Michael/0000-0002-7342-7756</t>
  </si>
  <si>
    <t>Dutch Committee for Antarctic Research (Dutch Science Foundation) [751-499-02]; NERC [bas0100028] Funding Source: UKRI; Natural Environment Research Council [bas0100028] Funding Source: researchfish; Directorate For Geosciences; Office of Polar Programs (OPP) [0823101] Funding Source: National Science Foundation</t>
  </si>
  <si>
    <t>Dutch Committee for Antarctic Research (Dutch Science Foundation)(Netherlands Organization for Scientific Research (NWO)); NERC(UK Research &amp; Innovation (UKRI)Natural Environment Research Council (NERC)); Natural Environment Research Council(UK Research &amp; Innovation (UKRI)Natural Environment Research Council (NERC)); Directorate For Geosciences; Office of Polar Programs (OPP)(National Science Foundation (NSF)NSF - Directorate for Geosciences (GEO))</t>
  </si>
  <si>
    <t>We would like to thank Karin de Boer for the sample collection and Jolanda Brons for technical assistance. Moreover, we are very grateful to BAS for accommodating our field campaign. This field campaign was financed by the Dutch Committee for Antarctic Research (Dutch Science Foundation, Project no. 751-499-02).</t>
  </si>
  <si>
    <t>10.1111/j.1574-6941.2011.01062.x</t>
  </si>
  <si>
    <t>WOS:000290314900002</t>
  </si>
  <si>
    <t>Ganzert, L; Lipski, A; Hubberten, HW; Wagner, D</t>
  </si>
  <si>
    <t>Ganzert, Lars; Lipski, Andre; Hubberten, Hans-Wolfgang; Wagner, Dirk</t>
  </si>
  <si>
    <t>The impact of different soil parameters on the community structure of dominant bacteria from nine different soils located on Livingston Island, South Shetland Archipelago, Antarctica</t>
  </si>
  <si>
    <t>dominant bacterial community; community structure; DGGE; soil properties; Antarctica</t>
  </si>
  <si>
    <t>GRADIENT GEL-ELECTROPHORESIS; KING-GEORGE-ISLAND; 16S RIBOSOMAL-RNA; LENA DELTA; ATMOSPHERIC METHANE; VICTORIA LAND; DRY VALLEY; METHANOTROPHIC BACTERIA; MICROBIAL DIVERSITY; ORNITHOGENIC SOILS</t>
  </si>
  <si>
    <t>Microorganisms inhabit very different soil habitats in the ice-free areas of Antarctica, playing a major role in nutrient cycling in cold environments. We studied the soil characteristics and the dominant bacterial composition from nine different soil profiles located on Livingston Island (maritime Antarctica). The total carbon (TC) and total nitrogen (TN) values were high for the vegetated soils, decreasing with depth, whereas the values for the mineral soils were generally low. Soil pH was more acidic for moss-covered soils and neutral to alkaline for mineral soils. Numbers of culturable heterotrophic bacteria were higher at vegetated sites, but significant numbers were also detectable in carbon-depleted soils. Patterns of denaturing gradient gel electrophoresis (DGGE) revealed a highly heterogeneous picture throughout the soil profiles. Subsequent sequencing of DGGE bands revealed in total 252 sequences that could be assigned to 114 operational taxonomic units, showing the dominance of members of the Bacteroidetes and Acidobacteria. The results of phospholipid fatty acid analysis showed a lack of unsaturated fatty acids for most of the samples. Samples with a prevalence of unsaturated over saturated fatty acids were restricted to several surface samples. Statistical analysis showed that the dominant soil bacterial community composition is most affected by TC and TN contents and soil physical factors such as grain size and moisture, but not pH.</t>
  </si>
  <si>
    <t>[Ganzert, Lars; Hubberten, Hans-Wolfgang; Wagner, Dirk] Alfred Wegener Inst Polar &amp; Marine Res, Res Unit Potsdam, D-14473 Potsdam, Germany; [Lipski, Andre] Univ Bonn, Inst Nutr &amp; Food Sci, Dept Food Microbiol &amp; Hyg, D-5300 Bonn, Germany</t>
  </si>
  <si>
    <t>Helmholtz Association; Alfred Wegener Institute, Helmholtz Centre for Polar &amp; Marine Research; University of Bonn</t>
  </si>
  <si>
    <t>Ganzert, L (corresponding author), Alfred Wegener Inst Polar &amp; Marine Res, Res Unit Potsdam, Telegrafenberg A45, D-14473 Potsdam, Germany.</t>
  </si>
  <si>
    <t>lars.ganzert@awi.de</t>
  </si>
  <si>
    <t>Deutsche Forschungsgemeinschaft (DFG) [WA 1554/4, LI1624/2]</t>
  </si>
  <si>
    <t>We wish to thank all Bulgarian, Spanish and German colleagues for supporting fieldwork and logistics during the expedition in 2005, with special thanks to Christo Pimpirev for leading the expedition. Special thanks are due to Susanne Liebner (University of Tromso) for helpful comments and critical reading of the manuscript as well as to Francisco Fernandoy (Alfred Wegener Institute for Polar and Marine Research) for drawing of the map. We highly appreciate the help and technical assistance of Quynh Wang-Lieu, Friederike Bruns, Felizitas Bajerski, Ute Bastian and Daniel Niggemann. We also wish to thank three anonymous reviewers for their comments. This work was supported by the Deutsche Forschungsgemeinschaft (DFG) in the framework of the priority program 'Antarctic Research with Comparative Investigations in Arctic Ice Areas' by a grant to D. W. (WA 1554/4) and A. L. (LI1624/2).</t>
  </si>
  <si>
    <t>10.1111/j.1574-6941.2011.01068.x</t>
  </si>
  <si>
    <t>WOS:000290314900007</t>
  </si>
  <si>
    <t>Ruibal, C; Millanes, AM; Hawksworth, DL</t>
  </si>
  <si>
    <t>Ruibal, Constantino; Millanes, Ana M.; Hawksworth, David L.</t>
  </si>
  <si>
    <t>Molecular phylogenetic studies on the lichenicolous Xanthoriicola physciae reveal Antarctic rock-inhabiting fungi and Piedraia species among closest relatives in the Teratosphaeriaceae</t>
  </si>
  <si>
    <t>IMA FUNGUS</t>
  </si>
  <si>
    <t>Ascomycota; Capnodiales; Friedmanniomyces; hyphomycetes; lichenicolous fungi; Piedrariaceae; rock inhabiting fungi</t>
  </si>
  <si>
    <t>MAFFT</t>
  </si>
  <si>
    <t>The phylogenetic placement of the monotypic dematiaceous hyphomycete genus Xanthoriicola was investigated. Sequences of the nLSU region were obtained from 11 specimens of X. physciae, which formed a single clade supported both by parsimony (91 %), and maximum likelihood (100 %) bootstraps, and Bayesian Posterior Probabilities (1.0). The closest relatives in the parsimony analysis were species of Piedraria, while in the Bayesian analysis they were those of Friedmanniomyces. These three genera, along with species of Elasticomyces, Recurvomyces, Teratosphaeria, and sequences from unnamed rockinhabiting fungi (RIF), were all members of the same major clade within Capnodiales with strong support in both analyses, and for which the family name Teratosphaeriaceae can be used pending further studies on additional taxa.</t>
  </si>
  <si>
    <t>[Ruibal, Constantino; Hawksworth, David L.] Univ Complutense Madrid, Fac Farm, Dept Biol Vegetal 2, Plaza Ramon y Cajal, E-28040 Madrid, Spain; [Millanes, Ana M.] Univ Rey Juan Carlos, ESCET, Dept Biol &amp; Geol, Mostoles Madrid 28933, Spain; [Hawksworth, David L.] Nat Hist Museum, Dept Bot, London SW7 5BD, England</t>
  </si>
  <si>
    <t>Complutense University of Madrid; Universidad Rey Juan Carlos; Natural History Museum London</t>
  </si>
  <si>
    <t>Hawksworth, DL (corresponding author), Univ Complutense Madrid, Fac Farm, Dept Biol Vegetal 2, Plaza Ramon y Cajal, E-28040 Madrid, Spain.</t>
  </si>
  <si>
    <t>d.hawksworth@nhm.ac.uk</t>
  </si>
  <si>
    <t>Millanes, Ana María/A-3757-2009; Romero, Ana/JJG-2548-2023; Ruibal Villasenor, Constantino/A-9402-2017</t>
  </si>
  <si>
    <t>Millanes, Ana María/0000-0001-5003-4186; Ruibal Villasenor, Constantino/0000-0003-3494-7051</t>
  </si>
  <si>
    <t>Ministerio de Educacion y Ciencia of Spain [Proyectos I+D CGL 2008-01600]</t>
  </si>
  <si>
    <t>Ministerio de Educacion y Ciencia of Spain(Spanish Government)</t>
  </si>
  <si>
    <t>We are grateful to Tom F. Preece for access to the results of his unpublished experiments with this fungus, to Mark R.D. Seaward for comments on the scytonemin report, and to Laura Selbmann for her new information of Elasticomyces and the origin and morphology of isolate CCFEE5499. Tom F. Preece, R. Nigel Stringer, and Heidi Doring are thanked for collecting additional material for use in our study. This investigation was undertaken as a part of a research grant to DLH from the Ministerio de Educacion y Ciencia of Spain (Proyectos I+D CGL 2008-01600).</t>
  </si>
  <si>
    <t>2210-6340</t>
  </si>
  <si>
    <t>2210-6359</t>
  </si>
  <si>
    <t>IMA Fungus</t>
  </si>
  <si>
    <t>10.5598/imafungus.2011.02.01.13</t>
  </si>
  <si>
    <t>V46TR</t>
  </si>
  <si>
    <t>WOS:000209907000036</t>
  </si>
  <si>
    <t>Thorne, MAS; Worland, MR; Feret, R; Deery, MJ; Lilley, KS; Clark, MS</t>
  </si>
  <si>
    <t>Thorne, M. A. S.; Worland, M. R.; Feret, R.; Deery, M. J.; Lilley, K. S.; Clark, M. S.</t>
  </si>
  <si>
    <t>Proteomics of cryoprotective dehydration in Megaphorura arctica Tullberg 1876 (Onychiuridae: Collembola)</t>
  </si>
  <si>
    <t>INSECT MOLECULAR BIOLOGY</t>
  </si>
  <si>
    <t>cold tolerance; DiGE; LC-MS; MS; Onychiurus arcticus; springtail</t>
  </si>
  <si>
    <t>DIFFERENCE GEL-ELECTROPHORESIS; PROTEIN-DISULFIDE-ISOMERASE; COLD-HARDINESS; ANTARCTIC MIDGE; SUBZERO TEMPERATURES; BELGICA-ANTARCTICA; FREEZE TOLERANCE; GENE-EXPRESSION; UP-REGULATION; DESICCATION</t>
  </si>
  <si>
    <t>The Arctic springtail, Megaphorura arctica Tullberg 1876 (Onychiuridae: Collembola), is one of the few organisms known to survive the extreme stresses of its environment by using cryoprotective dehydration. We have undertaken a proteomics study comparing M. arctica, acclimated at -2 degrees C, the temperature known to induce the production of the anhydroprotectant trehalose in this species, and -6 degrees C, the temperature at which trehalose expression plateaus, against control animals acclimated at +5 degrees C. Using difference gel electrophoresis, and liquid chromatography tandem mass spectrometry, we identified three categories of differentially expressed proteins with specific functions, up-regulated in both the -2 degrees C and -6 degrees C animals, that were involved in metabolism, membrane transport and protein folding. Proteins involved in cytoskeleton organisation were only up-regulated in the -6 degrees C animals.</t>
  </si>
  <si>
    <t>[Thorne, M. A. S.; Worland, M. R.; Clark, M. S.] British Antarctic Survey, Nat Environm Res Council, Cambridge CB3 0ET, England; [Feret, R.; Deery, M. J.; Lilley, K. S.] Univ Cambridge, Dept Biochem, Cambridge Ctr Prote, Cambridge CB2 1QW, England</t>
  </si>
  <si>
    <t>UK Research &amp; Innovation (UKRI); Natural Environment Research Council (NERC); NERC British Antarctic Survey; University of Cambridge</t>
  </si>
  <si>
    <t>Thorne, MAS (corresponding author), British Antarctic Survey, Nat Environm Res Council, Madingley Rd, Cambridge CB3 0ET, England.</t>
  </si>
  <si>
    <t>mior@bas.ac.uk</t>
  </si>
  <si>
    <t>Lilley, Kathryn/ABF-5787-2020; Clark, Melody/D-7371-2014</t>
  </si>
  <si>
    <t>Lilley, Kathryn/0000-0003-0594-6543; Thorne, Michael/0000-0001-7759-612X; Clark, Melody/0000-0002-3442-3824</t>
  </si>
  <si>
    <t>EU Sleeping Beauty Consortium [012674]; Natural Environment Research Council [bas0100025] Funding Source: researchfish; NERC [bas0100025] Funding Source: UKRI</t>
  </si>
  <si>
    <t>EU Sleeping Beauty Consortium; Natural Environment Research Council(UK Research &amp; Innovation (UKRI)Natural Environment Research Council (NERC)); NERC(UK Research &amp; Innovation (UKRI)Natural Environment Research Council (NERC))</t>
  </si>
  <si>
    <t>Funding for this work came from the EU Sleeping Beauty Consortium: Specific Targeted Research Project, Contract no. 012674 (NEST) and was conducted within the BAS Ecosystems core programme. The authors would like to thank NERC for access to their research station (Harland Huset) at Ny-Alesund and Nick Cox, the Arctic Base Commander. Thanks are also extended to Guy Hillyard for help with animal collection in the 2008 season, Svenja Hester and Julie Howard for help with mass spectrometry analysis, Penelope Greenslade for discussions on the cuticular morphology of Collembola, and Pete Convey for a critical reading of the manuscript. Comments provided by the four anonymous reviewers were invaluable.</t>
  </si>
  <si>
    <t>0962-1075</t>
  </si>
  <si>
    <t>1365-2583</t>
  </si>
  <si>
    <t>INSECT MOL BIOL</t>
  </si>
  <si>
    <t>Insect Mol. Biol.</t>
  </si>
  <si>
    <t>10.1111/j.1365-2583.2010.01062.x</t>
  </si>
  <si>
    <t>Biochemistry &amp; Molecular Biology; Entomology</t>
  </si>
  <si>
    <t>758NW</t>
  </si>
  <si>
    <t>WOS:000290172500003</t>
  </si>
  <si>
    <t>Roquet, F; Charrassin, JB; Marchand, S; Boehme, L; Fedak, M; Reverdin, G; Guinet, C</t>
  </si>
  <si>
    <t>Roquet, Fabien; Charrassin, Jean-Benoit; Marchand, Stephane; Boehme, Lars; Fedak, Mike; Reverdin, Gilles; Guinet, Christophe</t>
  </si>
  <si>
    <t>Delayed-Mode Calibration of Hydrographic Data Obtained from Animal-Borne Satellite Relay Data Loggers</t>
  </si>
  <si>
    <t>SALINITY; OCEAN; SEALS</t>
  </si>
  <si>
    <t>A delayed-mode calibration procedure is presented to improve the quality of hydrographic data from CTD-Satellite Relay Data Loggers (CTD-SRDL) deployed on elephant seals. This procedure is applied on a dataset obtained with 10 CTD-SRDLs deployed at Kerguelen Islands in 2007. A comparison of CTD-SRDLs with a ship-based CTD system is first presented. A pressure-effect correction, linear with pressure, is deduced for both temperature and salinity measurements. An external field effect on the conductivity sensor is also detected, inducing an additional salinity offset. The salinity offset cannot be estimated directly from the ship-based CTD comparisons, because the attachment of the CTD-SRDL on the seal head modifies the magnitude of the external field effect. Two methods are proposed for estimating a posteriori the salinity offset. The first method uses the stable salinity maximum characterizing the Lower Circumpolar Deep Water (LCDW), sampled by seals foraging south of the Southern Antarctic Circumpolar Current Front. Where this approach is not possible, a statistical method of cross-comparison of CTD-SRDLs surface salinity measurements is used over the sluggish Northern Kerguelen Plateau. Accuracies are respectively estimated as +/- 0.02 degrees C for temperature and +/- 0.1 for derived salinity without corrections. The delayed-mode calibration significantly improves the CTD-SRDL data, improving accuracies to +/- 0.01 degrees C and +/- 0.03, respectively. A better salinity accuracy of +/- 0.02 is achieved when the LCDW method can be used. For CTD-SRDLs where ship-based CTD comparisons are not available, the expected accuracy would be +/- 0.02 degrees C for temperature and +/- 0.04 for the derived salinity.</t>
  </si>
  <si>
    <t>[Roquet, Fabien; Charrassin, Jean-Benoit; Marchand, Stephane] LOCEAN Museum Natl Hist Nat, Paris, France; [Boehme, Lars; Fedak, Mike] NERC, Sea Mammal Res Unit, Scottish Oceans Inst, St Andrews, Fife, Scotland; [Reverdin, Gilles] LOCEAN IPSL, Paris, France; [Guinet, Christophe] CEBC CNRS, UPR 1934, F-79360 Villiers En Bois, France</t>
  </si>
  <si>
    <t>Museum National d'Histoire Naturelle (MNHN); UK Research &amp; Innovation (UKRI); Natural Environment Research Council (NERC); University of St Andrews; Museum National d'Histoire Naturelle (MNHN); Sorbonne Universite; Centre National de la Recherche Scientifique (CNRS)</t>
  </si>
  <si>
    <t>Roquet, F (corresponding author), MIT, Dept Earth Atmospher &amp; Planetary Sci, Cambridge, MA 02139 USA.</t>
  </si>
  <si>
    <t>roquet@mit.edu</t>
  </si>
  <si>
    <t>Guinet, Christophe/AAR-8457-2020; Roquet, Fabien/D-4848-2013; Roquet, Fabien/N-3221-2019; Fedak, Michael/B-3987-2009; Boehme, Lars/B-6567-2009</t>
  </si>
  <si>
    <t>Roquet, Fabien/0000-0003-1124-4564; Reverdin, Gilles/0000-0002-5583-8236; Fedak, Michael/0000-0002-9569-1128; Boehme, Lars/0000-0003-3513-6816</t>
  </si>
  <si>
    <t>U.S. Office of Naval Research; Natural Environment Research Council of the United Kingdom; CNES; IPEV; GMMC; Natural Environment Research Council [smru10001, NE/E018289/1] Funding Source: researchfish; NERC [NE/E018289/1] Funding Source: UKRI</t>
  </si>
  <si>
    <t>U.S. Office of Naval Research(Office of Naval Research); Natural Environment Research Council of the United Kingdom(UK Research &amp; Innovation (UKRI)Natural Environment Research Council (NERC)); CNES(Centre National D'etudes Spatiales); IPEV; GMMC; Natural Environment Research Council(UK Research &amp; Innovation (UKRI)Natural Environment Research Council (NERC)); NERC(UK Research &amp; Innovation (UKRI)Natural Environment Research Council (NERC))</t>
  </si>
  <si>
    <t>The present study is a contribution to the Southern Elephant Seals as Oceanographic Samplers (SEaOS) international program. Support for the development of the CTD-SRDL technology came from the U.S. Office of Naval Research's National Oceanographic Partnership Program and from the Natural Environment Research Council of the United Kingdom. The French component of SEaOS has been supported by CNES, along with IPEV and GMMC. We are very grateful to David Antoine for giving us access to the R/V Tethys H. Nicolas Brunel greatly helped to develop the statistical cross-comparison method. We also thank two anonymous reviewers for their constructive comments that greatly helped to improve the present manuscript.</t>
  </si>
  <si>
    <t>10.1175/2010JTECHO801.1</t>
  </si>
  <si>
    <t>781XY</t>
  </si>
  <si>
    <t>WOS:000291972400005</t>
  </si>
  <si>
    <t>Schmittner, A; Silva, TAM; Fraedrich, K; Kirk, E; Lunkeit, F</t>
  </si>
  <si>
    <t>Schmittner, Andreas; Silva, Tiago A. M.; Fraedrich, Klaus; Kirk, Edilbert; Lunkeit, Frank</t>
  </si>
  <si>
    <t>Effects of Mountains and Ice Sheets on Global Ocean Circulation</t>
  </si>
  <si>
    <t>MERIDIONAL OVERTURNING CIRCULATION; FRESH-WATER TRANSPORT; THERMOHALINE CIRCULATION; GENERAL-CIRCULATION; HORIZONTAL RESOLUTION; PLANET SIMULATOR; DEEP; ATMOSPHERE; CLIMATE; MODEL</t>
  </si>
  <si>
    <t>The impact of mountains and ice sheets on the large-scale circulation of the world's oceans is investigated in a series of simulations with a new coupled ocean atmosphere model [Oregon State University University of Victoria model (OSUVic)], in which the height of orography is scaled from 1.5 times the actual height (at T42 resolution) to 0 (no mountains). The results suggest that the effects of mountains and ice sheets on the buoyancy and momentum transfer from the atmosphere to the surface ocean determine the present pattern of deep ocean circulation. Higher mountains reduce water vapor transport from the Pacific and Indian Oceans into the Atlantic Ocean and contribute to increased (decreased) salinities and enhanced (reduced) deepwater formation and meridional overturning circulation in the Atlantic (Pacific). Orographic effects also lead to the observed interhemispheric asymmetry of midlatitude zonal wind stress. The presence of the Antarctic ice sheet cools winter air temperatures by more than 20 degrees C directly above the ice sheet and sets up a polar meridional overturning cell in the atmosphere. The resulting increased meridional temperature gradient strengthens midlatitude westerlies by similar to 25% and shifts them poleward by similar to 10 degrees. This leads to enhanced and poleward-shifted upwelling of deep waters in the Southern Ocean, a stronger Antarctic Circumpolar Current, increased poleward atmospheric moisture transport, and more advection of high-salinity Indian Ocean water into the South Atlantic. Thus, it is the current configuration of mountains and ice sheets on earth that determines the difference in deep-water formation between the Atlantic and the Pacific.</t>
  </si>
  <si>
    <t>[Schmittner, Andreas] Oregon State Univ, Coll Ocean &amp; Atmospher Sci, Corvallis, OR 97331 USA; [Fraedrich, Klaus; Kirk, Edilbert; Lunkeit, Frank] Univ Hamburg, Hamburg, Germany</t>
  </si>
  <si>
    <t>Oregon State University; University of Hamburg</t>
  </si>
  <si>
    <t>Schmittner, A (corresponding author), Oregon State Univ, Coll Ocean &amp; Atmospher Sci, 104 COAS Admin Bldg, Corvallis, OR 97331 USA.</t>
  </si>
  <si>
    <t>aschmitt@coas.oregonstate.edu</t>
  </si>
  <si>
    <t>Schmittner, Andreas/O-9647-2015</t>
  </si>
  <si>
    <t>Schmittner, Andreas/0000-0002-8376-0843; Lunkeit, Frank/0000-0002-7854-8282; Silva, Tiago/0000-0002-8316-2376</t>
  </si>
  <si>
    <t>NSF [ATM-0602395]; DFG [FR 450/10-1]; Max Planck Society</t>
  </si>
  <si>
    <t>NSF(National Science Foundation (NSF)); DFG(German Research Foundation (DFG)); Max Planck Society(Max Planck Society)</t>
  </si>
  <si>
    <t>This work was supported as part of project PALEOVAR by the NSF paleoclimate program Grant ATM-0602395 to AS. KF, FL, and EK received funding through the DFG Project FR 450/10-1. KF, Max Planck Fellow, acknowledges support by the Max Planck Society. Constructive comments from three anonymous reviewers and from Marika Holland (editor) were appreciated and helped to improve the manuscript.</t>
  </si>
  <si>
    <t>10.1175/2010JCLI3982.1</t>
  </si>
  <si>
    <t>WOS:000291507800013</t>
  </si>
  <si>
    <t>Cook, SS; Whitlock, L; Wright, SW; Hallegraeff, GM</t>
  </si>
  <si>
    <t>Cook, Suellen S.; Whitlock, Lucy; Wright, Simon W.; Hallegraeff, Gustaaf M.</t>
  </si>
  <si>
    <t>PHOTOSYNTHETIC PIGMENT AND GENETIC DIFFERENCES BETWEEN TWO SOUTHERN OCEAN MORPHOTYPES OF EMILIANIA HUXLEYI (HAPTOPHYTA)</t>
  </si>
  <si>
    <t>coccolith morphology; Emiliania huxleyi; photosynthetic pigments; physiology; plastid gene (tufA); single nucleotide polymorphisms</t>
  </si>
  <si>
    <t>CALCAREOUS NANNOPLANKTON; AUSTRALIAN SECTOR; PRYMNESIOPHYCEAE; CALCIFICATION; COCCOLITHOPHORES; IRON; STRAINS; GROWTH; ACCLIMATION; LIGHT</t>
  </si>
  <si>
    <t>The widespread coccolithophorid Emiliania huxleyi (Lohmann) W. W. Hay et H. Mohler plays a pivotal role in the carbon pump and is known to exhibit significant morphological, genetic, and physiological diversity. In this study, we compared photosynthetic pigments and morphology of triplicate strains of Southern Ocean types A and B/C. The two morphotypes differed in width of coccolith distal shield elements (0.11-0.24 mu m, type A; 0.06-0.12 mu m, type B/C) and morphology of distal shield central area (grill of curved rods in type A; thin plain plate in type B/C) and showed differences in carotenoid composition. The mean 19'-hexanoyloxyfucoxanthin (Hex):chl a ratio in type B/C was &gt;1, whereas the type A ratio was &lt;1. The Hex:fucoxanthin (fuc) ratio for type B/C was 11 times greater than that for type A, and the proportion of fuc in type A was 6 times higher than that in type B/C. The fuc derivative 4-keto-19'-hexanoyloxyfucoxanthin (4-keto-hex) was present in type A but undetected in B/C. DNA sequencing of tufA distinguished morphotypes A, B/C (indistinguishable from B), and R, while little variation was observed within morphotypes. Thirty single nucleotide polymorphisms were identified in the 710 bp tufA sequence, of which 10 alleles were unique to B/C and B morphotypes, seven alleles were unique to type A, and six alleles were unique to type R. We propose that the morphologically, physiologically, and genetically distinct Southern Ocean type B/C sensu Young et al. (2003) be classified as E. huxleyi var. aurorae var. nov. S. S. Cook et Hallegr.</t>
  </si>
  <si>
    <t>[Cook, Suellen S.; Whitlock, Lucy] Univ Tasmania, Sch Plant Sci, Hobart, Tas 7001, Australia; [Wright, Simon W.] Australian Antarctic Div, Kingston, Tas 7050, Australia; [Wright, Simon W.] Antarctic Climate &amp; Ecosyst CRC, Kingston, Tas 7050, Australia; [Hallegraeff, Gustaaf M.] Univ Tasmania, Inst Marine &amp; Antarctic Studies, Hobart, Tas 7001, Australia</t>
  </si>
  <si>
    <t>University of Tasmania; Australian Antarctic Division; University of Tasmania; University of Tasmania</t>
  </si>
  <si>
    <t>Cook, SS (corresponding author), Univ Tasmania, Sch Plant Sci, Private Bag 55, Hobart, Tas 7001, Australia.</t>
  </si>
  <si>
    <t>sscook@utas.edu.au</t>
  </si>
  <si>
    <t>Hallegraeff, Gustaaf/C-8351-2013</t>
  </si>
  <si>
    <t>Hallegraeff, Gustaaf/0000-0001-8464-7343</t>
  </si>
  <si>
    <t>10.1111/j.1529-8817.2011.00992.x</t>
  </si>
  <si>
    <t>783EJ</t>
  </si>
  <si>
    <t>WOS:000292064000019</t>
  </si>
  <si>
    <t>Wong, APS; Riser, SC</t>
  </si>
  <si>
    <t>Wong, Annie P. S.; Riser, Stephen C.</t>
  </si>
  <si>
    <t>Profiling Float Observations of the Upper Ocean under Sea Ice off the Wilkes Land Coast of Antarctica</t>
  </si>
  <si>
    <t>WINTER MIXED-LAYER; TEMPERATURE; SALINITY; WATER</t>
  </si>
  <si>
    <t>Multiyear under-ice temperature and salinity data collected by profiling floats are used to study the upper ocean near the Wilkes Land coast of Antarctica. The study region is in the seasonal sea ice zone near the southern terminus of the Antarctic Circumpolar Current. The profiling floats were equipped with an ice-avoidance algorithm and had a survival rate of 74% after 2.5 yr in the ocean. The data show that, in this part of Antarctica, the rate of sea ice decay exceeds the rate of sea ice growth. During the sea ice growth period, the water column is weakly stratified because of brine rejection and is only marginally stable. The average winter mixed layer temperature is about 0.12 degrees C above the surface freezing point, providing evidence of entrainment of warmer water from the permanent pycnocline. The average mixed layer salinity increases by 0.127 from June to October. A one-dimensional model is used to quantify evolution of the winter mixed layer under a sea ice cover. The local winter entrainment rate is estimated to be 49 +/- 11 m over 5 months, supplying a heat flux of 34 +/- 8 W m(-2) to the base of the mixed layer in winter. Model output gives a thermodynamic sea ice growth of 28 +/- 15 cm over the same period. The winter ocean-atmosphere heat loss through leads and sea ice is estimated to be 14-25 W m(-2) in this area, which is broadly in line with other winter observations from the East Antarctic region.</t>
  </si>
  <si>
    <t>[Wong, Annie P. S.; Riser, Stephen C.] Univ Washington, Sch Oceanog, Seattle, WA 98195 USA</t>
  </si>
  <si>
    <t>University of Washington; University of Washington Seattle</t>
  </si>
  <si>
    <t>Wong, APS (corresponding author), Univ Washington, Sch Oceanog, Campus Box 355351, Seattle, WA 98195 USA.</t>
  </si>
  <si>
    <t>awong@ocean.washington.edu</t>
  </si>
  <si>
    <t>Wong, Annie P. S./0000-0003-3305-1640</t>
  </si>
  <si>
    <t>National Oceanic and Atmospheric Administration (NOAA) [NA17RJ1232]</t>
  </si>
  <si>
    <t>National Oceanic and Atmospheric Administration (NOAA)(National Oceanic Atmospheric Admin (NOAA) - USA)</t>
  </si>
  <si>
    <t>The authors wish to acknowledge the officers, crew, and scientists of the RV Roger Revelle during the CLIVAR/CO2 Repeat Hydrography I8S 2007 cruise and the RSV Aurora Australis during the SIPEX 2007 cruise for their assistance in deploying the profiling floats used in this study. Special thanks are given to Dr. Doug Martinson of the Lamont-Doherty Earth Observatory for comments relating to his winter mixed layer model. Comments from two anonymous reviewers helped improve the manuscript. The profiling floats used in this study were fabricated and programmed by Dana Swift, Dale Ripley, and Rick Rupan of the University of Washington. Robert Drucker helped with the visualization of the satellite sea ice extent data. The data used in this study were collected and made freely available as part of the International Argo Project and the national programs that contribute to it (http://www.argo.net). This work was funded by National Oceanic and Atmospheric Administration (NOAA) Grant NA17RJ1232 Task 2 to the University of Washington in support of the Argo float program.</t>
  </si>
  <si>
    <t>10.1175/2011JPO4516.1</t>
  </si>
  <si>
    <t>WOS:000292405500004</t>
  </si>
  <si>
    <t>Xu, ZH; Jiang, XD; Wang, GZ; He, JF; Cai, MH; Wu, LS; Jiang, JL; Chen, XL</t>
  </si>
  <si>
    <t>Xu, Zhi-Huan; Jiang, Xiao-Dong; Wang, Gui-Zhong; He, Jian-Feng; Cai, Ming-Hong; Wu, Li-Sheng; Jiang, Jie-Lan; Chen, Xue-Lei</t>
  </si>
  <si>
    <t>DNA extraction, amplification and analysis of the 28S rRNA portion in sediment-buried copepod DNA in the Great Wall Bay and Xihu Lake, Antarctica</t>
  </si>
  <si>
    <t>DNA extraction; copepod DNA; sediment; Antarctica</t>
  </si>
  <si>
    <t>ANCIENT DNA; MOLECULAR SYSTEMATICS; CALANUS-FINMARCHICUS; SULFUR BACTERIA; HOLOCENE; REVEAL; SOIL; IDENTIFICATION; PURIFICATION; PHYLOGENY</t>
  </si>
  <si>
    <t>The Antarctic region, characterized by a constant low temperature, is viewed as an ideal place for protecting biomolecules. In this study, five different DNA extraction methods were used to analyze copepod DNA buried in Antarctic marine and lake sediments for potential studies on copepod distribution and composition in the past. After the comprehensive comparison of DNA extraction efficiency, purity of DNA extracts, time spent and cost per extraction, the E.Z.N.A.(TM) Soil DNA Kit was viewed as the most suitable DNA extraction method for studying sediment-buried copepod DNA in the polar area. Furthermore, the DNA extracts using this method were subjected to DNA cloning and sequencing. A homology tree based on a similar to 300-bp fragment of partial 28S rRNA was established, and two distinct groups were observed: the species Boeckella poppei dominated the lake group, but the marine group was more diverse with a similarity rate as low as 75% among some copepod species. The present study provided a suitable DNA extraction method for analyzing sediment-buried copepod DNA in Antarctica and also offered reliable results on the distribution of sediment-buried copepod DNA. The inferred information could be applied to reconstruct copepod communities in the past and assess the evolutionary processes involved.</t>
  </si>
  <si>
    <t>[Xu, Zhi-Huan; Wang, Gui-Zhong; Wu, Li-Sheng; Jiang, Jie-Lan; Chen, Xue-Lei] Xiamen Univ, Dept Oceanog, State Key Lab Marine Environm Sci, Xiamen 361005, Peoples R China; [Jiang, Xiao-Dong; He, Jian-Feng; Cai, Ming-Hong] Polar Res Inst China, Key Lab Polar Sci State Ocean Adm, Shanghai 200136, Peoples R China</t>
  </si>
  <si>
    <t>Xiamen University; Polar Research Institute of China</t>
  </si>
  <si>
    <t>Wang, GZ (corresponding author), Xiamen Univ, Dept Oceanog, State Key Lab Marine Environm Sci, Xiamen 361005, Peoples R China.</t>
  </si>
  <si>
    <t>gzwang@xmu.edu.cn</t>
  </si>
  <si>
    <t>Wang, GZ/G-4644-2010; Jiang, Xiaodong/F-9678-2013</t>
  </si>
  <si>
    <t>Jiang, Xiaodong/0000-0001-7998-0440</t>
  </si>
  <si>
    <t>National Science Foundation of China (NSFC) [40506002, 40576065]; Polar Science Foundation of China [HAIJKEF2006-39]</t>
  </si>
  <si>
    <t>National Science Foundation of China (NSFC)(National Natural Science Foundation of China (NSFC)); Polar Science Foundation of China</t>
  </si>
  <si>
    <t>This research was supported by the National Science Foundation of China (NSFC No. 40506002 and No. 40576065), and the Polar Science Foundation of China (HAIJKEF2006-39).</t>
  </si>
  <si>
    <t>1464-3774</t>
  </si>
  <si>
    <t>10.1093/plankt/fbq165</t>
  </si>
  <si>
    <t>761JO</t>
  </si>
  <si>
    <t>WOS:000290394300007</t>
  </si>
  <si>
    <t>Guido, DM; Campbell, KA</t>
  </si>
  <si>
    <t>Guido, Diego M.; Campbell, Kathleen A.</t>
  </si>
  <si>
    <t>Jurassic hot spring deposits of the Deseado Massif (Patagonia, Argentina): Characteristics and controls on regional distribution</t>
  </si>
  <si>
    <t>JOURNAL OF VOLCANOLOGY AND GEOTHERMAL RESEARCH</t>
  </si>
  <si>
    <t>Deseado Massif; Patagonia; Jurassic hot springs; facies analysis; regional faults; epithermal</t>
  </si>
  <si>
    <t>TAUPO VOLCANIC ZONE; YELLOWSTONE-NATIONAL-PARK; NORTH-ISLAND; STRUCTURAL EVOLUTION; ANTARCTIC PENINSULA; SILICEOUS SINTER; SAN AGUSTIN; LA MARCIANA; NEW-ZEALAND; BREAK-UP</t>
  </si>
  <si>
    <t>The Deseado Massif, Santa Cruz Province, Argentinean Patagonia, hosts numerous Middle to Late Jurassic age geothermal and epithermal features represented by siliceous and calcareous chemical precipitates from hot springs (sinters and travertines, respectively), hydrothermal breccias, quartz veins, and widespread hydrothermal silicification. They indicate pauses in explosive volcanic activity, marking the final stages in the evolution of an extensive Jurassic (ca. 178-151 Ma) volcanic complex set in a diffuse extensional back-arc setting heralding the opening of the Atlantic Ocean. Published paleo-hot spring sites for the Deseado Massif, plus additional sites identified during our recent field studies, reveal a total of 23 locations, five of which were studied in detail to determine their geologic and facies associations. They show structural, lithologic, textural and biotic similarities with Miocene to Recent hot spring systems from the Taupo and Coromandel volcanic zones, New Zealand, as well as with modern examples from Yellowstone National Park, U.S.A. These comparisons aid in the definition of facies assemblages for Deseado Massif deposits - proximal, middle apron and distal siliceous sinter and travertine terraces and mounds, with preservation of many types of stromatolitic fabrics - that likely were controlled by formation temperature, pH, hydrodynamics and fluid compositions. Locally the mapped hot spring deposits largely occur in association with reworked volcaniclastic lacustrine and/or fluvial sediments, silicic to intermediate lava domes, and hydrothermal mineralization, all of which are related to local and regional structural lineaments. Moreover, the numerous geothermal and significant epithermal (those with published minable resources) deposits of the Deseado Massif geological province mostly occur in four regional NNW and WNW hydrothermal-structural belts (Northwestern, Northern, Central, and Southern), defined here by alignment of five or more hot spring deposits and confirmed as structurally controlled by aeromagnetic data. The Northern and Northwestern belts, in particular, concentrate most of the geothermal and epithermal occurrences. Hence, Jurassic hydrothermal fluid flow was strongly influenced by the most dominant and long-active geological boundaries in the region, the outer limits of the Deseado Massif 'horst' itself. (C) 2011 Elsevier B.V. All rights reserved.</t>
  </si>
  <si>
    <t>[Guido, Diego M.] Consejo Nacl Invest Cient &amp; Tecn, RA-1900 La Plata, Argentina; [Guido, Diego M.] Univ Nacl La Plata, Fac Ciencias Nat &amp; Museo, INREMI, RA-1900 La Plata, Argentina; [Campbell, Kathleen A.] Univ Auckland, Geol Programme, Sch Environm, Auckland 1142, New Zealand</t>
  </si>
  <si>
    <t>Consejo Nacional de Investigaciones Cientificas y Tecnicas (CONICET); National University of La Plata; Museo La Plata; University of Auckland</t>
  </si>
  <si>
    <t>Guido, DM (corresponding author), Consejo Nacl Invest Cient &amp; Tecn, Calle 64 &amp; 120, RA-1900 La Plata, Argentina.</t>
  </si>
  <si>
    <t>diegoguido@yahoo.com; ka.campbell@auckland.ac.nz</t>
  </si>
  <si>
    <t>Guido, Diego/0000-0003-4696-5644; Campbell, Kathleen/0000-0002-4815-2519</t>
  </si>
  <si>
    <t>National Geographic Society; Royal Society; University of Auckland's Faculty</t>
  </si>
  <si>
    <t>National Geographic Society(National Geographic Society); Royal Society(Royal Society); University of Auckland's Faculty</t>
  </si>
  <si>
    <t>We acknowledge the National Geographic Society, the Royal Society of New Zealand's Charles Fleming Senior Scientist Fund, and the University of Auckland's Faculty Research Development Fund for financing this project. We also thank INREMI (Instituto de Recursos Minerales), La Plata University and CONICET. Mining company geologists from Mirasol-Hochschild (Tim Heenan, Andres Navarro, Maria Jose Correa), Exeter-Cerro Vanguardia (Fernando Chacon, Juan Pesenti, Juan Di Caro, Dario Vera), Patagonia Gold (Guillermo Hansen, Miguel Valente, Alejandra Jindra) and Argentex (Remigio Ruiz, Mariano Mongan, Patricio Brividoro, Martin Tami, Florencia Schein) are appreciated for supplying unpublished field data to assist us with locating new hot spring sites at Claudia, Canadon Nahuel, La Bajada and La Herradura-La Leona-El Aguila, respectively. Julie Rowland, Noel White, Jack Farmer, Nancy Hinman and Mark Simpson freely contributed ideas and discussions, for which we are most grateful.</t>
  </si>
  <si>
    <t>0377-0273</t>
  </si>
  <si>
    <t>1872-6097</t>
  </si>
  <si>
    <t>J VOLCANOL GEOTH RES</t>
  </si>
  <si>
    <t>J. Volcanol. Geotherm. Res.</t>
  </si>
  <si>
    <t>10.1016/j.jvolgeores.2011.04.001</t>
  </si>
  <si>
    <t>783FM</t>
  </si>
  <si>
    <t>WOS:000292066900004</t>
  </si>
  <si>
    <t>Ding, QH; Steig, EJ; Battisti, DS; Küttel, M</t>
  </si>
  <si>
    <t>Ding, Qinghua; Steig, Eric J.; Battisti, David S.; Kuettel, Marcel</t>
  </si>
  <si>
    <t>Winter warming in West Antarctica caused by central tropical Pacific warming</t>
  </si>
  <si>
    <t>SOUTHERN-HEMISPHERE; SURFACE-TEMPERATURE; EL-NINO; VARIABILITY; CLIMATE; SEA; OSCILLATION; CIRCULATION; CONVECTION; PATTERNS</t>
  </si>
  <si>
    <t>The Pacific sector of Antarctica, including both the Antarctic Peninsula and continental West Antarctica, has experienced substantial warming in the past 30 years. An increase in the circumpolar westerlies, owing in part to the decline in stratospheric ozone concentrations since the late 1970s, may account for warming trends in the peninsula region in austral summer and autumn. The more widespread warming in continental West Antarctica (Ellsworth Land and Marie Byrd Land) occurs primarily in austral winter and spring, and remains unexplained. Here we use observations of Antarctic surface temperature and global sea surface temperature, and atmospheric circulation data to show that recent warming in continental West Antarctica is linked to sea surface temperature changes in the tropical Pacific. Over the past 30 years, anomalous sea surface temperatures in the central tropical Pacific have generated an atmospheric Rossby wave response that influences atmospheric circulation over the Amundsen Sea, causing increased advection of warm air to the Antarctic continent. General circulation model experiments show that the central tropical Pacific is a critical region for producing the observed high latitude response. We conclude that, by affecting the atmospheric circulation at high southern latitudes, increasing tropical sea surface temperatures may account for West Antarctic warming through most of the twentieth century.</t>
  </si>
  <si>
    <t>[Ding, Qinghua; Steig, Eric J.; Kuettel, Marcel] Univ Washington, Quaternary Res Ctr, Seattle, WA 98195 USA; [Ding, Qinghua; Steig, Eric J.; Kuettel, Marcel] Univ Washington, Dept Earth &amp; Space Sci, Seattle, WA 98195 USA; [Battisti, David S.] Univ Washington, Dept Atmospher Sci, Seattle, WA 98195 USA</t>
  </si>
  <si>
    <t>University of Washington; University of Washington Seattle; University of Washington; University of Washington Seattle; University of Washington; University of Washington Seattle</t>
  </si>
  <si>
    <t>Steig, EJ (corresponding author), Univ Washington, Quaternary Res Ctr, Seattle, WA 98195 USA.</t>
  </si>
  <si>
    <t>steig@uw.edu</t>
  </si>
  <si>
    <t>ding, qinghua/G-1186-2011; Battisti, David/A-3340-2013; /G-9088-2015</t>
  </si>
  <si>
    <t>Battisti, David/0000-0003-4871-1293; /0000-0002-8191-5549</t>
  </si>
  <si>
    <t>US National Science Foundation [OPP-0837988, 0963924]; Office of Polar Programs (OPP); Directorate For Geosciences [0837988] Funding Source: National Science Foundation</t>
  </si>
  <si>
    <t>US National Science Foundation(National Science Foundation (NSF)); Office of Polar Programs (OPP); Directorate For Geosciences(National Science Foundation (NSF)NSF - Directorate for Geosciences (GEO))</t>
  </si>
  <si>
    <t>This work was supported by the US National Science Foundation, grant numbers OPP-0837988 and 0963924. We thank G. Hoffman for providing the code for ECHAM4.6, and P. Hezel, A. Jenkins, G. H. Roe, D. P. Schneider and S. Schoenemann for fruitful comments.</t>
  </si>
  <si>
    <t>10.1038/NGEO1129</t>
  </si>
  <si>
    <t>WOS:000291089200021</t>
  </si>
  <si>
    <t>Boyd, IL; Frisk, G; Urban, E; Tyack, P; Ausubel, J; Seeyave, S; Cato, D; Southall, B; Weise, M; Andrew, R; Akamatsu, T; Dekeling, R; Erbe, C; Farmer, D; Gentry, R; Gross, T; Hawkins, A; Li, FH; Metcalf, K; Miller, JH; Moretti, D; Rodrigo, C; Shinke, T</t>
  </si>
  <si>
    <t>Boyd, Ian L.; Frisk, George; Urban, Ed; Tyack, Peter; Ausubel, Jesse; Seeyave, Sophie; Cato, Doug; Southall, Brandon; Weise, Michael; Andrew, Rex; Akamatsu, Tomonari; Dekeling, Rene; Erbe, Christine; Farmer, David; Gentry, Roger; Gross, Tom; Hawkins, Anthony; Li, Fenghua; Metcalf, Kathy; Miller, James H.; Moretti, David; Rodrigo, Cristian; Shinke, Tomio</t>
  </si>
  <si>
    <t>An International Quiet Ocean Experiment</t>
  </si>
  <si>
    <t>OCEANOGRAPHY</t>
  </si>
  <si>
    <t>NOISE</t>
  </si>
  <si>
    <t>The effect of noise on marine life is one of the big unknowns of current marine science. Considerable evidence exists that the human contribution to ocean noise has increased during the past few decades: human noise has become the dominant component of marine noise in some regions, and noise is directly correlated with the increasing industrialization of the ocean. Sound is an important factor in the lives of many marine organisms, and theory and increasing observations suggest that human noise could be approaching levels at which negative effects on marine life may be occurring. Certain species already show symptoms of the effects of sound. Although some of these effects are acute and rare, chronic sublethal effects may be more prevalent, but are difficult to measure. We need to identify the thresholds of such effects for different species and be in a position to predict how increasing anthropogenic sound will add to the effects. To achieve such predictive capabilities, the Scientific Committee on Oceanic Research (SCOR) and the Partnership for Observation of the Global Oceans (POGO) are developing an International Quiet Ocean Experiment (IQOE), with the objective of coordinating the international research community to both quantify the ocean soundscape and examine the functional relationship between sound and the viability of key marine organisms. SCOR and POGO will convene an open science meeting to gather community input on the important research, observations, and modeling activities that should be included in IQOE.</t>
  </si>
  <si>
    <t>[Boyd, Ian L.] Univ St Andrews, Scottish Oceans Inst, St Andrews KY16 9AJ, Fife, Scotland; [Boyd, Ian L.] Univ St Andrews, NERC Sea Mammal Res Unit, St Andrews KY16 9AJ, Fife, Scotland; [Frisk, George] Florida Atlantic Univ, Dania, FL USA; [Urban, Ed] Univ Delaware, Sci Comm Ocean Res, Newark, DE USA; [Tyack, Peter] Woods Hole Oceanog Inst, Woods Hole, MA 02543 USA; [Ausubel, Jesse] Alfred P Sloan Fdn, New York, NY USA; [Seeyave, Sophie] Plymouth Marine Lab, Plymouth, Devon, England; [Cato, Doug] Def Sci &amp; Technol Org DSTO, Maritime Operat Div, Eveleigh, NSW, Australia; [Southall, Brandon] SEA Inc, Aptos, CA USA; [Southall, Brandon] Univ Calif Santa Cruz, Long Marine Lab, Santa Cruz, CA 95064 USA; [Weise, Michael] US Off Naval Res, Marine Mammals &amp; Biol Oceanog Program, Arlington, VA USA; [Andrew, Rex] Univ Washington, Appl Phys Lab, Seattle, WA 98105 USA; [Akamatsu, Tomonari] Fisheries Res Agcy, Natl Res Inst Fisheries Engn, Fishing Technol &amp; Informat Sci Div, Bioacoust Grp, Ibaraki, Japan; [Dekeling, Rene] Def Mat Org, Res Program Sound Marine Environm, The Hague, Netherlands; [Erbe, Christine] JASCO Australia, Brisbane, Qld, Australia; [Farmer, David] Univ Rhode Isl, Grad Sch Oceanog, Narragansett, RI 02882 USA; [Gentry, Roger] ProSci Consulting, Dickerson, MD USA; [Gross, Tom] UNESCO, Global Ocean Observing Syst Intergovt Oceanog Com, Paris, France; [Hawkins, Anthony] Loughine Ltd, Aberdeen, Scotland; [Li, Fenghua] Chinese Acad Sci, Inst Acoust, Beijing, Peoples R China; [Metcalf, Kathy] Chamber Shipping Amer, Washington, DC USA; [Moretti, David] NUWC, Naval Operat Marine Mammal Monitoring Navy Ranges, Newport, RI USA; [Rodrigo, Cristian] Chilean Antarctic Inst, Punta Arenas, Chile; [Shinke, Tomio] Tokai Univ, Ctr Res &amp; Dev, Syst Intech Co Ltd, Shizuoka, Japan</t>
  </si>
  <si>
    <t>University of St Andrews; University of St Andrews; State University System of Florida; Florida Atlantic University; University of Delaware; Woods Hole Oceanographic Institution; Plymouth Marine Laboratory; Defence Science &amp; Technology; University of California System; University of California Santa Cruz; University of Washington; University of Washington Seattle; Japan Fisheries Research &amp; Education Agency (FRA); University of Rhode Island; Chinese Academy of Sciences; Institute of Acoustics, CAS; Tokai University</t>
  </si>
  <si>
    <t>Boyd, IL (corresponding author), Univ St Andrews, Scottish Oceans Inst, St Andrews KY16 9AJ, Fife, Scotland.</t>
  </si>
  <si>
    <t>ilb@st-andrews.ac.uk</t>
  </si>
  <si>
    <t>LI, feng/HIR-1703-2022; Tyack, Peter L/D-6209-2013; Erbe, Christine/H-4777-2012; Akamatsu, Tomonari/I-6375-2016; Tyack, Peter/AAC-4513-2019; Erbe, Christine/AAA-3801-2021</t>
  </si>
  <si>
    <t>Tyack, Peter L/0000-0002-8409-4790; Tyack, Peter/0000-0002-8409-4790; Erbe, Christine/0000-0002-7884-9907; Seeyave, Sophie/0000-0002-4583-2869; AKAMATSU, Tomonari/0000-0003-2661-6199; Miller, James H./0000-0001-7156-3589; Urban, Edward/0000-0002-6177-5585; Rodrigo, Cristian/0000-0003-3523-9698</t>
  </si>
  <si>
    <t>OCEANOGRAPHY SOC</t>
  </si>
  <si>
    <t>ROCKVILLE</t>
  </si>
  <si>
    <t>P.O. BOX 1931, ROCKVILLE, MD USA</t>
  </si>
  <si>
    <t>1042-8275</t>
  </si>
  <si>
    <t>10.5670/oceanog.2011.37</t>
  </si>
  <si>
    <t>787AC</t>
  </si>
  <si>
    <t>Green Published, gold, Green Submitted</t>
  </si>
  <si>
    <t>WOS:000292348000019</t>
  </si>
  <si>
    <t>Purac, J; Pond, DW; Grubor-Lajsic, G; Kojic, D; Blagojevic, DP; Worland, MR; Clark, MS</t>
  </si>
  <si>
    <t>Purac, Jelena; Pond, David W.; Grubor-Lajsic, Gordana; Kojic, Danijela; Blagojevic, Dusko P.; Worland, Michael Roger; Clark, Melody S.</t>
  </si>
  <si>
    <t>Cold hardening induces transfer of fatty acids between polar and nonpolar lipid pools in the Arctic collembollan Megaphorura arctica</t>
  </si>
  <si>
    <t>PHYSIOLOGICAL ENTOMOLOGY</t>
  </si>
  <si>
    <t>Cold acclimation; Collembola; cryoprotective dehydration; homeoviscous adaptation; nonpolar lipids; polar lipids; total lipids</t>
  </si>
  <si>
    <t>NEMATODE PANAGROLAIMUS-DAVIDI; CRYOPROTECTIVE DEHYDRATION; DROSOPHILA-MELANOGASTER; HOMEOVISCOUS ADAPTATION; SUBZERO TEMPERATURES; ESCHERICHIA-COLI; TULLBERG 1876; TOLERANCE; ACCLIMATION; PHOSPHOLIPIDS</t>
  </si>
  <si>
    <t>Cold hardiness in the Arctic Collembola Megaphorura arctica (Tullberg), formerly Onychiurus arcticus, has been the subject of extensive studies over the last decade. This species employs an unusual strategy known as cryoprotective dehydration to survive winter temperatures as low as -25 degrees C. To expand knowledge of cryoprotective dehydration in M. arctica, the present study investigates how a reduction in ambient temperature affects the fatty acid composition of the total body lipid content along with polar (mainly membrane phospholipids) and nonpolar (mainly triacylglycerols) lipids. Most ectothermic animals compensate for changes in fluidity by regulating fatty acid composition, a process often described as homeoviscous adaptation. In M. arctica, changes in the fatty acid composition of total body lipid content during cold treatment are only moderate, with no clear pattern emerging. However, the levels of unsaturated fatty acids in the polar lipids increase with cold exposure, largely attributable to 16 : 1(n - 7), 18 : 1(n - 9), 18 : 3(n - 6) and 18 : 3(n - 3), whereas unsaturated fatty acid levels in the nonpolar lipids correspondingly decrease. These results suggest a reallocation of fatty acids between the two lipid pools as a response to a temperature reduction of 6 degrees C. Because of hypometabolism, a characteristic of cold adaptation, such a mechanism could be less energy demanding than de novo synthesis of fatty acids and may comprise part of an adaptive homeostatic response.</t>
  </si>
  <si>
    <t>[Purac, Jelena] Univ Novi Sad, Fac Sci, Dept Biol &amp; Ecol, Novi Sad 21000, Serbia; [Pond, David W.; Worland, Michael Roger; Clark, Melody S.] British Antarctic Survey, Cambridge CB3 0ET, England; [Blagojevic, Dusko P.] Inst Biol Res Dr Sinisa Stankovic, Belgrade, Serbia; [Blagojevic, Dusko P.] Univ Belgrade, Fac Biol, Belgrade, Serbia</t>
  </si>
  <si>
    <t>University of Novi Sad; UK Research &amp; Innovation (UKRI); Natural Environment Research Council (NERC); NERC British Antarctic Survey; University of Belgrade; University of Belgrade</t>
  </si>
  <si>
    <t>Purac, J (corresponding author), Univ Novi Sad, Fac Sci, Dept Biol &amp; Ecol, Trg Dositeja Obradov 2, Novi Sad 21000, Serbia.</t>
  </si>
  <si>
    <t>jelena.purac@dbe.uns.ac.rs</t>
  </si>
  <si>
    <t>Blagojević, Duško P/A-7739-2018; Kojić, Danijela/AGJ-5146-2022; Clark, Melody/D-7371-2014</t>
  </si>
  <si>
    <t>Blagojević, Duško P/0000-0001-6338-2833; Kojić, Danijela/0000-0002-6422-9790; Clark, Melody/0000-0002-3442-3824; Purac, Jelena/0000-0003-0028-9847</t>
  </si>
  <si>
    <t>Ministry of Science and Technological Development, Republic of Serbia [173014]; EU [012674]; NERC [bas0100025] Funding Source: UKRI; Natural Environment Research Council [bas0100025] Funding Source: researchfish</t>
  </si>
  <si>
    <t>Ministry of Science and Technological Development, Republic of Serbia(Ministry of Education, Science &amp; Technological Development, Serbia); EU(European Union (EU)); NERC(UK Research &amp; Innovation (UKRI)Natural Environment Research Council (NERC)); Natural Environment Research Council(UK Research &amp; Innovation (UKRI)Natural Environment Research Council (NERC))</t>
  </si>
  <si>
    <t>This paper contributes to the Polar Science for Planet Earth Programme portfolio of the British Antarctic Survey and was also funded by the Ministry of Science and Technological Development, Republic of Serbia, grant 173014 'Molecular mechanisms of redox signalling in homeostasis: adaptation and pathology' and the EU Sleeping Beauty Consortium: Specific Targeted Research Project, contract no 012674 (NEST). We would also like to thank Professor P. Convey and three anonymous reviewers for their constructive comments on an earlier version of the paper.</t>
  </si>
  <si>
    <t>0307-6962</t>
  </si>
  <si>
    <t>PHYSIOL ENTOMOL</t>
  </si>
  <si>
    <t>Physiol. Entomol.</t>
  </si>
  <si>
    <t>10.1111/j.1365-3032.2010.00772.x</t>
  </si>
  <si>
    <t>Entomology</t>
  </si>
  <si>
    <t>762OJ</t>
  </si>
  <si>
    <t>WOS:000290489000005</t>
  </si>
  <si>
    <t>Zeng, YX; Zou, Y; Chen, B; Grebmeier, JM; Li, HR; Yu, Y; Zheng, TL</t>
  </si>
  <si>
    <t>Zeng, Yinxin; Zou, Yang; Chen, Bo; Grebmeier, Jacqueline M.; Li, Huirong; Yu, Yong; Zheng, Tianling</t>
  </si>
  <si>
    <t>Phylogenetic diversity of sediment bacteria in the northern Bering Sea</t>
  </si>
  <si>
    <t>Bacterial diversity; PCR-DGGE; 16S rRNA gene clone library; Sediment; Northern Bering Sea</t>
  </si>
  <si>
    <t>SULFATE-REDUCING BACTERIA; IN-SITU DETECTION; COMMUNITY COMPOSITION; MICROBIAL DIVERSITY; OXIDIZING BACTERIA; MARINE-SEDIMENTS; RIBOSOMAL-RNA; BIODIVERSITY; GRADIENT; DYNAMICS</t>
  </si>
  <si>
    <t>The bacterial diversity in sediments from the northern Bering Sea was investigated by culture-independent approaches. Community fingerprint analysis by polymerase chain reaction-denaturing gradient gel electrophoresis (PCR-DGGE) revealed that sediment at two deep stations (DBSE and DBS1, &gt; 400 m in depth) harbored a bacterial community distinct from the sediments collected at shallow stations (&lt; 150 m in depth) on the continental shelf. Three 16S rRNA gene clone libraries for sediments collected from shallow to deep water stations (NEC5, DBSE and DBS1, respectively) were established. Sediment collected at the deepest station DBS1 showed the highest diversity index value. Sequences fell into 19 major lineages of the domain Bacteria: Alpha-, Beta-, Gamma-, Delta- and Epsilonproteobacteria, Bacteroidetes, Acidobacteria, Actinobacteria, Firmicutes, Planctomycetes, Nitrospirae, Verrucomicrobia, Chloroflexi, Chlorobi, Spirochaetes, Cyanobacteria (or chloroplasts), and candidate divisions OP8, TM6, and WS3. A small fraction of retrieved sequences (1.8%) did not fall into any taxonomic division. Deltaproteobacteria (30%) was the dominant phylum in the three libraries, followed by Gammaproteobacteria (21%) and Acidobacteria (16%). The percentages of cloned sequences with the highest similarity to reported sequences below 97 and 93% were 48.1 and 24.3%, respectively. A large number of phylotypes affiliated with bacteria that play important roles in the carbon, sulfur, and nitrogen cycles suggest an important link of bacteria to the matter cycling in these subarctic sediments.</t>
  </si>
  <si>
    <t>[Zeng, Yinxin; Chen, Bo; Li, Huirong; Yu, Yong] Polar Res Inst China, Key Lab Polar Sci, State Ocean Adm, Shanghai 200136, Peoples R China; [Zeng, Yinxin; Zou, Yang; Zheng, Tianling] Xiamen Univ, Sch Life Sci, Key Lab MOE Coast &amp; Wetland Ecosyst, Xiamen 361005, Peoples R China; [Grebmeier, Jacqueline M.] Univ Maryland, Chesapeake Biol Lab, Ctr Environm Sci, Solomons, MD 20688 USA</t>
  </si>
  <si>
    <t>Polar Research Institute of China; Xiamen University; University System of Maryland; University of Maryland Center for Environmental Science</t>
  </si>
  <si>
    <t>Zeng, YX (corresponding author), Polar Res Inst China, Key Lab Polar Sci, State Ocean Adm, Shanghai 200136, Peoples R China.</t>
  </si>
  <si>
    <t>yxzeng@yahoo.com; microzh@xmu.edu.cn</t>
  </si>
  <si>
    <t>Grebmeier, Jacqueline/L-9805-2013; Zheng, TL/G-3974-2010</t>
  </si>
  <si>
    <t>Grebmeier, Jacqueline/0000-0001-7624-3568;</t>
  </si>
  <si>
    <t>National Natural Science Foundation of China [40676002, 40930847, 41076131, 30940002]; US National Science Foundation [NSF-OPP-ARC-0454454]; Emphasis Project Fund [2006BAB18B07]; International Science and Technology Cooperation Program [2008DFA20420]; Chinese Arctic and Antarctic Administration (CAA); Office of Polar Programs (OPP); Directorate For Geosciences [0802290] Funding Source: National Science Foundation</t>
  </si>
  <si>
    <t>National Natural Science Foundation of China(National Natural Science Foundation of China (NSFC)); US National Science Foundation(National Science Foundation (NSF)); Emphasis Project Fund; International Science and Technology Cooperation Program; Chinese Arctic and Antarctic Administration (CAA); Office of Polar Programs (OPP); Directorate For Geosciences(National Science Foundation (NSF)NSF - Directorate for Geosciences (GEO))</t>
  </si>
  <si>
    <t>We appreciate the assistance of the US Coast Guard crew and the scientists who collected samples for us on the Healy0702 cruise. We are also grateful to anonymous reviewers for comments and suggested modifications to the text. This work was supported by the National Natural Science Foundation of China (grant no. 40676002, 40930847, 41076131 and 30940002), the US National Science Foundation (grant no. NSF-OPP-ARC-0454454 to JM Grebmeier and LW Cooper), the Emphasis Project Fund of National Scientific and Technical Support Plan (grant no. 2006BAB18B07), the International Science and Technology Cooperation Program (grant no. 2008DFA20420), and China's Action Plan for the International Polar Year (IPY) supported by the Chinese Arctic and Antarctic Administration (CAA).</t>
  </si>
  <si>
    <t>10.1007/s00300-010-0947-0</t>
  </si>
  <si>
    <t>760NP</t>
  </si>
  <si>
    <t>WOS:000290331300012</t>
  </si>
  <si>
    <t>Houben, AJP; Bijl, PK; Guerstein, GR; Sluijs, A; Brinkhuis, H</t>
  </si>
  <si>
    <t>Houben, Alexander J. P.; Bijl, Peter K.; Raquel Guerstein, G.; Sluijs, Appy; Brinkhuis, Henk</t>
  </si>
  <si>
    <t>Malvinia escutiana, a new biostratigraphically important Oligocene dinoflagellate cyst from the Southern Ocean</t>
  </si>
  <si>
    <t>REVIEW OF PALAEOBOTANY AND PALYNOLOGY</t>
  </si>
  <si>
    <t>dinoflagellate cysts; peridinioid; Eocene; Oligocene; Southern Ocean; Antarctic glaciation</t>
  </si>
  <si>
    <t>EOCENE-OLIGOCENE; MIDDLE EOCENE; CLIMATE; SEDIMENTS; GLACIATION; TRANSITION; TERTIARY; DIATOMS</t>
  </si>
  <si>
    <t>The Eocene-Oligocene Transition (EOT. similar to 34 Ma) represents the culmination of Eocene cooling by the initiation of large-scale Antarctic glaciation. Recognition and correlation of the EOT in Southern Ocean sedimentary successions have been difficult as a result of the general lack of well-calibrated biostratigraphic markers. Here we describe an unusual hypnozygotic organic walled dinoflagellate cyst (dinocyst) that originated in the Southern Ocean in conjunction with the onset of major Antarctic glaciation as reflected by 'oxygen isotope event 1' (Oi-1). We restudied samples from Deep Sea Drilling Program (DSDP) Site 511 using Light Microscopy and Scanning Electron Microscopy and found that a taxon previously known as Formal constitutes a new protoperidinioid dinocyst genus and species that we name Malvinia escutiana. Published and re-evaluated data from other Southern Ocean sites show that M. escutiana did not occur before the Oi-1 (33.7 Ma), emphasizing its potential as a useful biostratigraphic marker for this key interval in the Southern Ocean's Cenozoic climate history. (C) 2011 Elsevier B.V. All rights reserved.</t>
  </si>
  <si>
    <t>[Houben, Alexander J. P.; Bijl, Peter K.; Sluijs, Appy; Brinkhuis, Henk] Univ Utrecht, Inst Environm Biol, Lab Palaeobot &amp; Palynol, NL-3584 CD Utrecht, Netherlands; [Raquel Guerstein, G.] Univ Nacl Sur, Inst Geol Sur, Dept Geol, RA-8000 Bahia Blanca, Buenos Aires, Argentina</t>
  </si>
  <si>
    <t>Utrecht University; National University of the South</t>
  </si>
  <si>
    <t>Houben, AJP (corresponding author), Univ Utrecht, Inst Environm Biol, Lab Palaeobot &amp; Palynol, Budapestlaan 4, NL-3584 CD Utrecht, Netherlands.</t>
  </si>
  <si>
    <t>A.J.P.Houben@uu.nl</t>
  </si>
  <si>
    <t>Brinkhuis, Henk/B-4223-2009; Brinkhuis, Henk/IUO-8165-2023; Sluijs, Appy/B-3726-2009</t>
  </si>
  <si>
    <t>Brinkhuis, Henk/0000-0003-0253-6610; Houben, Alexander/0000-0002-9497-1048; Guerstein, G. Raquel/0000-0003-1623-1084; Sluijs, Appy/0000-0003-2382-0215; Bijl, Peter/0000-0002-1710-4012</t>
  </si>
  <si>
    <t>Statoil; Netherlands Organisation for Scientific Research (NWO); LPP Foundation; Utrecht University; European Research Council under the European Community [259627]; US National Science Foundation (NSF)</t>
  </si>
  <si>
    <t>Statoil; Netherlands Organisation for Scientific Research (NWO)(Netherlands Organization for Scientific Research (NWO)); LPP Foundation; Utrecht University; European Research Council under the European Community(European Research Council (ERC)); US National Science Foundation (NSF)(National Science Foundation (NSF))</t>
  </si>
  <si>
    <t>The authors thank Statoil (A.J.P.H.), the Netherlands Organisation for Scientific Research (NWO), the LPP Foundation and Utrecht University (P.K.B.) for funding. The research leading to these results has received funding from the European Research Council under the European Community's Seventh Framework Program (FP7/2007-2013)/ERC Grant agreement no. 259627 to A.S. This study used samples provided by the Deep Sea Drilling Project (DSDP). DSDP was sponsored by the US National Science Foundation (NSF). We thank Natasja Welters, Leonard Bik and Jan van Tongeren for technical support. Steven M. Bohaty, Rob Fensome and Andres Boltovskoy are thanked for helpful suggestions. We are grateful to Jorg Pross for his constructive review, which significantly improved this manuscript.</t>
  </si>
  <si>
    <t>0034-6667</t>
  </si>
  <si>
    <t>1879-0615</t>
  </si>
  <si>
    <t>REV PALAEOBOT PALYNO</t>
  </si>
  <si>
    <t>Rev. Palaeobot. Palynology</t>
  </si>
  <si>
    <t>10.1016/j.revpalbo.2011.03.002</t>
  </si>
  <si>
    <t>Plant Sciences; Paleontology</t>
  </si>
  <si>
    <t>780ZE</t>
  </si>
  <si>
    <t>WOS:000291899600004</t>
  </si>
  <si>
    <t>Neto, AA; Gamboa, LAP; Torres, LC</t>
  </si>
  <si>
    <t>Ayres Neto, Arthur; Pierantoni Gamboa, Luiz Antonio; Torres, Luiz Carlos</t>
  </si>
  <si>
    <t>High-Resolution Seismic Survey Off South Shetland Island, Antarctica</t>
  </si>
  <si>
    <t>SEA TECHNOLOGY</t>
  </si>
  <si>
    <t>[Ayres Neto, Arthur; Pierantoni Gamboa, Luiz Antonio] Univ Fed Fluminense, Niteroi, RJ, Brazil; [Torres, Luiz Carlos] Brazilian Navy, Niteroi, RJ, Brazil</t>
  </si>
  <si>
    <t>Universidade Federal Fluminense</t>
  </si>
  <si>
    <t>Neto, AA (corresponding author), Univ Fed Fluminense, Niteroi, RJ, Brazil.</t>
  </si>
  <si>
    <t>Neto, Arthur Ayres/AAL-2963-2021; Gamboa, Luiz/AAL-5904-2021</t>
  </si>
  <si>
    <t>Neto, Arthur Ayres/0000-0002-2982-245X;</t>
  </si>
  <si>
    <t>Brazilian National Council for Scientific and Technological Development</t>
  </si>
  <si>
    <t>Brazilian National Council for Scientific and Technological Development(Conselho Nacional de Desenvolvimento Cientifico e Tecnologico (CNPQ))</t>
  </si>
  <si>
    <t>The authors thank the Brazilian National Council for Scientific and Technological Development for funding, the Brazilian Antarctic Program for logistics and the crew of the RV Ary Rongel.</t>
  </si>
  <si>
    <t>COMPASS PUBLICATIONS, INC</t>
  </si>
  <si>
    <t>ARLINGTON</t>
  </si>
  <si>
    <t>1501 WILSON BLVD., STE 1001, ARLINGTON, VA 22209-2403 USA</t>
  </si>
  <si>
    <t>0093-3651</t>
  </si>
  <si>
    <t>SEA TECHNOL</t>
  </si>
  <si>
    <t>Sea Technol.</t>
  </si>
  <si>
    <t>+</t>
  </si>
  <si>
    <t>Engineering, Ocean</t>
  </si>
  <si>
    <t>Engineering</t>
  </si>
  <si>
    <t>783CP</t>
  </si>
  <si>
    <t>WOS:000292059400003</t>
  </si>
  <si>
    <t>Österblom, H; Constable, A; Fukumi, S</t>
  </si>
  <si>
    <t>Osterblom, Henrik; Constable, Andrew; Fukumi, Sayaka</t>
  </si>
  <si>
    <t>Illegal fishing and the organized crime analogy</t>
  </si>
  <si>
    <t>TRENDS IN ECOLOGY &amp; EVOLUTION</t>
  </si>
  <si>
    <t>FISHERY</t>
  </si>
  <si>
    <t>[Osterblom, Henrik] Stockholm Univ, Stockholm Resilience Ctr, S-10691 Stockholm, Sweden; [Osterblom, Henrik] Univ British Columbia, Fisheries Ctr, Vancouver, BC V6T 1Z4, Canada; [Constable, Andrew] Australian Antarctic Div, Kingston, Tas 7050, Australia; [Fukumi, Sayaka] Asia Univ, Fac Int Relat, Tokyo 1808629, Japan</t>
  </si>
  <si>
    <t>Stockholm University; University of British Columbia; Australian Antarctic Division</t>
  </si>
  <si>
    <t>Österblom, H (corresponding author), Stockholm Univ, Stockholm Resilience Ctr, S-10691 Stockholm, Sweden.</t>
  </si>
  <si>
    <t>Osterblom, Henrik G/D-4249-2012</t>
  </si>
  <si>
    <t>ELSEVIER SCIENCE LONDON</t>
  </si>
  <si>
    <t>84 THEOBALDS RD, LONDON WC1X 8RR, ENGLAND</t>
  </si>
  <si>
    <t>0169-5347</t>
  </si>
  <si>
    <t>TRENDS ECOL EVOL</t>
  </si>
  <si>
    <t>Trends Ecol. Evol.</t>
  </si>
  <si>
    <t>10.1016/j.tree.2011.03.017</t>
  </si>
  <si>
    <t>780HA</t>
  </si>
  <si>
    <t>WOS:000291843900001</t>
  </si>
  <si>
    <t>Constable, AJ</t>
  </si>
  <si>
    <t>Constable, Andrew J.</t>
  </si>
  <si>
    <t>Lessons from CCAMLR on the implementation of the ecosystem approach to managing fisheries</t>
  </si>
  <si>
    <t>FISH AND FISHERIES</t>
  </si>
  <si>
    <t>CCAMLR; ecosystem approach; ecosystem-based fisheries management; EBFM; forage fisheries; RFMO</t>
  </si>
  <si>
    <t>ANTARCTIC MARINE ECOSYSTEM; SCALE MANAGEMENT UNITS; SOUTHERN-OCEAN; PRACTICAL IMPLEMENTATION; KRILL; CONSERVATION; MODELS</t>
  </si>
  <si>
    <t>The Commission for the Conservation of Antarctic Marine Living Resources (CCAMLR) is widely recognized as a leading international organization in developing best practice in the ecosystem approach to managing fisheries. CCAMLR provides a useful case study for examining the impediments to implementing ecosystem-based fisheries management (EBFM) because it has EBFM principles embedded within its convention rather than having to make a transition from single-species management to an ecosystem approach. CCAMLR is demonstrating that (i) EBFM does not need to equate to complexity in management and (ii) methods can be developed to decide on spatial management strategies for fisheries so that predators of target species are not disproportionately affected as a result of spatial and/or temporal dependencies of predators on their prey. Science has an important role in implementing EBFM, not only in measuring and assessing the status of target species and their predators but also in designing cost-effective management strategies and in resolving disputes. Importantly, attention needs to be given to developing the capability and tools to overcome differences amongst scientists in providing advice to managers. The CCAMLR experience suggests that, without adequate safeguards, voluntary participation by fishing States in CCAMLR and its consensus environment do not provide strong foundations for achieving, in the long term, the ecosystem-based principles for managing fisheries when there is any degree of scientific uncertainty. Some solutions to these issues are discussed. Overall, broader-than-CCAMLR solutions amongst the international community as well as the continued commitment of CCAMLR Members will be required to resolve these issues.</t>
  </si>
  <si>
    <t>[Constable, Andrew J.] Australian Antarctic Div, Kingston, Tas 7050, Australia; [Constable, Andrew J.] Antarctic Climate &amp; Ecosyst Cooperat Res Ctr, Hobart, Tas 7001, Australia</t>
  </si>
  <si>
    <t>Australian Antarctic Division; Antarctic Climate &amp; Ecosystems Cooperative Research Centre (ACE CRC)</t>
  </si>
  <si>
    <t>Constable, AJ (corresponding author), Australian Antarctic Div, Channel Highway, Kingston, Tas 7050, Australia.</t>
  </si>
  <si>
    <t>andrew.constable@aad.gov.au</t>
  </si>
  <si>
    <t>Pew Fellows Program in Marine Conservation</t>
  </si>
  <si>
    <t>I thank the organizers of the Bevan Symposium in 2009 for the opportunity to present the views in this paper. This paper is based on written and verbal contributions to the CCAMLR Symposium (2005: http://www.aad.gov.au/default.asp?casid=21481) and United Nations Informal Consultative Process on Ocean Affairs and the Law of the Sea on Ecosystem-based management (2006: http://www.iisd.ca/oceans/icp7/jun14.html). CCAMLR reports and papers are available at http://www.ccamlr.org. The views in this paper have benefited from many discussions with a wide range of participants in CCAMLR and particularly amongst colleagues at the Antarctic Climate and Ecosystems Cooperative Research Centre and the Australian Antarctic Division. Particular thanks to Bill de la Mare, John Gunn, So Kawaguchi, Lyn Maddock, Steve Nicol, Tony Press, Graham Robertson, Gill Slocum, Colin Southwell, Dirk Welsford and Lihini Weragoda. Thanks also to Tim Essington and Andre Punt for support at the Symposium, much appreciated guidance on the manuscript and interesting and usefully provocative discussions on these issues. Lastly, thanks to the two referees for providing useful feedback and directions for the manuscript. This paper was supported in part by a fellowship from the Pew Fellows Program in Marine Conservation.</t>
  </si>
  <si>
    <t>1467-2960</t>
  </si>
  <si>
    <t>1467-2979</t>
  </si>
  <si>
    <t>FISH FISH</t>
  </si>
  <si>
    <t>Fish. Fish.</t>
  </si>
  <si>
    <t>10.1111/j.1467-2979.2011.00410.x</t>
  </si>
  <si>
    <t>763FM</t>
  </si>
  <si>
    <t>WOS:000290540700003</t>
  </si>
  <si>
    <t>Erbrech, A; Robin, JP; Guérin, N; Groscolas, R; Gilbert, C; Martrette, JM</t>
  </si>
  <si>
    <t>Erbrech, Aude; Robin, Jean-Patrice; Guerin, Nathalie; Groscolas, Rene; Gilbert, Caroline; Martrette, Jean-Marc</t>
  </si>
  <si>
    <t>Differential muscular myosin heavy chain expression of the pectoral and pelvic girdles during early growth in the king penguin (Aptenodytes patagonicus) chick</t>
  </si>
  <si>
    <t>development; bird; king penguin; skeletal muscle; myosin heavy chain</t>
  </si>
  <si>
    <t>SKELETAL-MUSCLE; POSTNATAL-DEVELOPMENT; THYROID-HORMONE; BREAST MUSCLE; ISOFORMS; BIRDS; BODY; HETEROGENEITY; ADAPTATION; ONTOGENY</t>
  </si>
  <si>
    <t>Continuous growth, associated with a steady parental food supply, is a general pattern in offspring development. So that young chicks can acquire their locomotor independence, this period is usually marked by a fast maturation of muscles, during which different myosin heavy chain (MyHC) isoforms are expressed. However, parental food provisioning may fluctuate seasonally, and offspring therefore face a challenge to ensure the necessary maturation of their tissues when energy is limited. To address this trade-off we investigated muscle maturation in both the pectoral and pelvic girdles of king penguin chicks. This species has an exceptionally long rearing period (1 year), which is prolonged when parental food provisioning is drastically reduced during the sub-Antarctic winter. Approximately 1 month post hatching, chicks acquire a functional pedestrian locomotion, which uses pelvic muscles, whereas swimming, which uses the pectoral muscles, only occurs 1 year later. We therefore tested the hypothesis that the MyHC content of the leg muscles reaches a mature state before those of the pectoral muscles. We found that leg muscle MyHC composition changed with the progressive acquisition of pedestrian locomotion, whereas pectoral muscle fibres reached their mature MyHC profile as early as hatching. Contrary to our predictions, the acquisition of the adult profile in pectoral muscles could be related to an early maturation of the contractile muscular proteins, presumably associated with early thermoregulatory capacities of chicks, necessary for survival in their cold environment. This differential maturation appears to reconcile both the locomotor and environmental constraints of king penguin chicks during growth.</t>
  </si>
  <si>
    <t>[Erbrech, Aude; Robin, Jean-Patrice; Guerin, Nathalie; Groscolas, Rene; Gilbert, Caroline] Univ Strasbourg, IPHC, F-67087 Strasbourg, France; [Erbrech, Aude; Robin, Jean-Patrice; Guerin, Nathalie; Groscolas, Rene; Gilbert, Caroline] CNRS, UMR7178, F-67037 Strasbourg, France; [Gilbert, Caroline; Martrette, Jean-Marc] Nancy Univ, Fac Sci &amp; Tech, F-54506 Vandoeuvre Les Nancy, France</t>
  </si>
  <si>
    <t>Universites de Strasbourg Etablissements Associes; Universite de Strasbourg; Centre National de la Recherche Scientifique (CNRS); CNRS - National Institute of Nuclear and Particle Physics (IN2P3); Universites de Strasbourg Etablissements Associes; Universite de Strasbourg; Universite de Lorraine</t>
  </si>
  <si>
    <t>Erbrech, A (corresponding author), Univ Strasbourg, IPHC, 23 Rue Becquerel, F-67087 Strasbourg, France.</t>
  </si>
  <si>
    <t>aude.erbrech@iphc.cnrs.fr</t>
  </si>
  <si>
    <t>Gilbert, Caroline/HKV-2124-2023</t>
  </si>
  <si>
    <t>Gilbert, Caroline/0000-0002-9957-405X</t>
  </si>
  <si>
    <t>Institut Paul Emile Victor (Brest, France); Faculte d'Odontologie de Nancy (France)</t>
  </si>
  <si>
    <t>The authors would like to thank the laboratory of Biosciences de l'aliment (UC 885, INRA - LBSA, Nancy-Universite) for the use of the integration densitometer. We thank Dominic McCafferty for useful editing comments. The study was supported by the Institut Paul Emile Victor (Brest, France) and received the logistic support of the Terres Australes et Antarctiques Francaises. A.E. was supported by grants from the Faculte d'Odontologie de Nancy (France).</t>
  </si>
  <si>
    <t>10.1242/jeb.051839</t>
  </si>
  <si>
    <t>762JU</t>
  </si>
  <si>
    <t>WOS:000290473300013</t>
  </si>
  <si>
    <t>Catton, KB; Webster, DR; Kawaguchi, S; Yen, J</t>
  </si>
  <si>
    <t>Catton, Kimberly B.; Webster, Donald R.; Kawaguchi, So; Yen, Jeannette</t>
  </si>
  <si>
    <t>The hydrodynamic disturbances of two species of krill: implications for aggregation structure</t>
  </si>
  <si>
    <t>Euphausia pacifica; Euphausia superba; hydrodynamics; krill; particle image velocimetry</t>
  </si>
  <si>
    <t>ANTARCTIC KRILL; EUPHAUSIA-SUPERBA; SWIMMING BEHAVIOR; MARINE COPEPODS; FLOW-FIELD; ORIENTATION; CAPACITY; SWARMS; SIGNAL; JET</t>
  </si>
  <si>
    <t>Krill aggregations vary in size, krill density and uniformity depending on the species of krill. These aggregations may be structured to allow individuals to sense the hydrodynamic cues of neighboring krill or to avoid the flow fields of neighboring krill, which may increase drag forces on an individual krill. To determine the strength and location of the flow disturbance generated by krill, we used infrared particle image velocimetry measurements to analyze the flow field of free-swimming solitary specimens (Euphausia superba and Euphausia pacifica) and small, coordinated groups of three to six E. superba. Euphausia pacifica individuals possessed shorter body lengths, steeper body orientations relative to horizontal, slower swimming speeds and faster pleopod beat frequencies compared with E. superba. The downward-directed flow produced by E. pacifica has a smaller maximum velocity and smaller horizontal extent of the flow pattern compared with the flow produced by E. superba, which suggests that the flow disturbance is less persistent as a potential hydrodynamic cue for E. pacifica. Time record analysis reveals that the hydrodynamic disturbance is very weak beyond two body lengths for E. pacifica, whereas the hydrodynamic disturbance is observable above background level at four body lengths for E. superba. Because the nearest neighbor separation distance of E. superba within a school is less than two body lengths, hydrodynamic disturbances are a viable cue for intraspecies communication. The orientation of the position of the nearest neighbor is not coincident with the orientation of the flow disturbance, however, which indicates that E. superba are avoiding the region of strongest flow.</t>
  </si>
  <si>
    <t>[Catton, Kimberly B.; Webster, Donald R.] Georgia Inst Technol, Sch Civil &amp; Environm Engn, Atlanta, GA 30332 USA; [Kawaguchi, So] Australian Antarctic Div, Kingston, Tas 7050, Australia; [Yen, Jeannette] Georgia Inst Technol, Sch Biol, Atlanta, GA 30332 USA</t>
  </si>
  <si>
    <t>University System of Georgia; Georgia Institute of Technology; Australian Antarctic Division; University System of Georgia; Georgia Institute of Technology</t>
  </si>
  <si>
    <t>Webster, DR (corresponding author), Georgia Inst Technol, Sch Civil &amp; Environm Engn, Atlanta, GA 30332 USA.</t>
  </si>
  <si>
    <t>dwebster@ce.gatech.edu</t>
  </si>
  <si>
    <t>Webster, Donald/B-1905-2009; Kawaguchi, So/N-1795-2017</t>
  </si>
  <si>
    <t>Kawaguchi, So/0000-0002-2042-5095</t>
  </si>
  <si>
    <t>National Science Foundation (NSF) [CTS-0625898]</t>
  </si>
  <si>
    <t>We wish to thank Dr William Peterson and his colleagues at the National Oceanic and Atmospheric Administration (NOAA) Fisheries Department at the Hatfield Marine Station in Newport, OR, USA, for the collection and maintenance of the E. pacifica used in these experiments. In addition, we thank Rob King of the Australian Antarctic Division in Kingston, Tasmania, for help in the construction of the tanks with optical access for the E. superba experiments. Financial support was provided by a National Science Foundation (NSF) grant CTS-0625898 awarded to J.Y., and a NSF-Integrative Graduate Education and Research Traineeship (IGERT) fellowship and international travel grant to K.B.C.</t>
  </si>
  <si>
    <t>COMPANY BIOLOGISTS LTD</t>
  </si>
  <si>
    <t>BIDDER BUILDING, STATION RD, HISTON, CAMBRIDGE CB24 9LF, ENGLAND</t>
  </si>
  <si>
    <t>10.1242/jeb.050997</t>
  </si>
  <si>
    <t>WOS:000290473300015</t>
  </si>
  <si>
    <t>Taki, K</t>
  </si>
  <si>
    <t>Taki, Kenji</t>
  </si>
  <si>
    <t>Distribution and population structure of Thysanoessa inspinata and its dominance among euphausiids off northeastern Japan</t>
  </si>
  <si>
    <t>abundance; diel vertical migration; distribution; growth; Thysanoessa inspinata; zooplankton</t>
  </si>
  <si>
    <t>ANTARCTIC KRILL; PACIFICA; GROWTH; CRUSTACEA; SUPERBA; BIOLOGY; ZOOPLANKTON; MIGRATION; ABUNDANCE; LONGIPES</t>
  </si>
  <si>
    <t>Distribution and population structure of Thysanoessa inspinata were investigated off northeastern Japan and compared with those of Euphausia pacifica and other Thysanoessa species. Thysanoessa inspinata were distributed as widely as E. pacifica, but their abundance in the transitional water mass area (TWA) was conspicuously lower than in the cooler Oyashio water mass area (OWA). Another three Subarctic species of Thysanoessa occurred restrictively in the OWA, but rarely occurred during summer-autumn when sea surface temperature increased up to nearly 20 degrees C. Thysanoessa inspinata was distributed in surface waters at night in the OWA in spring, but in the middle layers during summer-autumn; in contrast, E. pacifica occurred near the surface throughout the year. Euphausia pacifica was &gt;7 times more abundant than T. inspinata in the OWA, whereas T. inspinata was &gt;90% of the total numbers of Thysanoessa spp. Temperature tolerances may strongly affect the degree of dominance of euphausiids and explain why the TWA is the southern limit of T. inspinata distribution, perhaps by restricting its access to the food-rich surface waters. Growth of males of T. inspinata was slower than that of females. Evidence from this study corroborates that E. pacifica is the key euphausiid species for food of surface-migratory Pacific saury during summer-autumn.</t>
  </si>
  <si>
    <t>Natl Res Inst Far Seas Fisheries, Kanazawa Ku, Kanagawa 2368648, Japan</t>
  </si>
  <si>
    <t>Japan Fisheries Research &amp; Education Agency (FRA)</t>
  </si>
  <si>
    <t>Taki, K (corresponding author), Natl Res Inst Far Seas Fisheries, Kanazawa Ku, 2-12-4 Fukuura, Kanagawa 2368648, Japan.</t>
  </si>
  <si>
    <t>takisan@affrc.go.jp</t>
  </si>
  <si>
    <t>Fisheries Agency of Japan</t>
  </si>
  <si>
    <t>This study was supported by a grant from the Fisheries Agency of Japan.</t>
  </si>
  <si>
    <t>10.1093/plankt/fbq162</t>
  </si>
  <si>
    <t>WOS:000290394300005</t>
  </si>
  <si>
    <t>Dixon, RK</t>
  </si>
  <si>
    <t>Dixon, Robert K.</t>
  </si>
  <si>
    <t>Global Environment Facility investments in the phase-out of ozone-depleting substances</t>
  </si>
  <si>
    <t>MITIGATION AND ADAPTATION STRATEGIES FOR GLOBAL CHANGE</t>
  </si>
  <si>
    <t>Countries with economies in transition; Global environment facility; Montreal Protocol; Stratospheric ozone</t>
  </si>
  <si>
    <t>MONTREAL PROTOCOL; RISK</t>
  </si>
  <si>
    <t>Stratospheric ozone depletion threatens human health and the global environment. In 1987, the Montreal Protocol on Substances That Deplete the Ozone Layer (Montreal Protocol) set aggressive timelines for countries to phase-out products and organic chemicals that were causing rapid ozone depletion in the Antarctic stratosphere. The Global Environment Facility (GEF), established in 1991, is the largest multilateral funder of environmental protection projects and provides financial support for implementation of the Montreal Protocol. This paper summarizes GEF investments to address ozone-depleting substances (ODS) in Countries with Economies in Transition (CEITs), presents case studies from representative countries, and discusses lessons learned. Complementing the work of the Multilateral Fund that supports developing country Parties of the Montreal Protocol, the GEF provides financial support to CEIT's to address ODS phase-out targets and timelines. These investments include technology development and transfer, outreach and training, institution building, and programs to phase-out ODS. Working with partners in the public and private sectors, the GEF has allocated approximately US$210 million, leveraging another US$250 million in co-financing, for 28 ODS phase-out projects in 18 CEITs. GEF ODS project investments in CEITs have contributed to Protocol success by phasing-out 20,000 ozone depletion potential (ODP) Megagrams (Mg) of consumption and 29,000 ODP Mg of production. Among the GEF's most significant efforts to eliminate ODS are projects that transfer technologies and strengthen institutional capabilities of partner countries. These projects have enabled the installation of non-ODS technologies, adoption of best practices by the private sector, and provided CEITs with the legislative and policy framework necessary to sustain ODS phase-out. Almost 25 years after its establishment, the Montreal Protocol with support from financial mechanisms such as the GEF, is a successful model for addressing global environmental challenges.</t>
  </si>
  <si>
    <t>Global Environm Facil, Washington, DC 20433 USA</t>
  </si>
  <si>
    <t>Dixon, RK (corresponding author), Global Environm Facil, 1818 H St NW, Washington, DC 20433 USA.</t>
  </si>
  <si>
    <t>rdixon1@thegef.org</t>
  </si>
  <si>
    <t>1381-2386</t>
  </si>
  <si>
    <t>1573-1596</t>
  </si>
  <si>
    <t>MITIG ADAPT STRAT GL</t>
  </si>
  <si>
    <t>Mitig. Adapt. Strateg. Glob. Chang.</t>
  </si>
  <si>
    <t>10.1007/s11027-011-9281-2</t>
  </si>
  <si>
    <t>763TA</t>
  </si>
  <si>
    <t>WOS:000290581400005</t>
  </si>
  <si>
    <t>Cartes, JE</t>
  </si>
  <si>
    <t>Cartes, J. E.</t>
  </si>
  <si>
    <t>Temporal changes in lipid biomarkers, especially fatty acids, of the deep-sea crustaceans Boreomysis arctica and Nematoscelis megalops: implications of their biological cycle and habitat near the seabed</t>
  </si>
  <si>
    <t>temporal changes; lipid biomarkers; fatty acids; deep-sea; Boreomysis arctica; Nematoscelis megalops; benthic boundary layer; suprabenthos; life histories</t>
  </si>
  <si>
    <t>KRILL EUPHAUSIA-SUPERBA; ANTARCTIC KRILL; TROPHIC RELATIONSHIPS; THYSANOESSA-MACRURA; MARKERS; ZOOPLANKTON; AMPHIPODS; CARBON; OCEAN; FAUNA</t>
  </si>
  <si>
    <t>Two species of benthopelagic deep-water crustaceans, the suprabenthic mysid Boreomysis arctica and the bathypelagic euphausiid Nematoscelis megalops were analysed in their lipidic composition, with especial emphasis on fatty acids, from specimens obtained in the north-west of Mallorca (Balearic Islands, western Mediterranean) at depths ranging between 650 and 780 m. Temporal shifts were studied seasonally, based on five cruises performed in August and November 2003, and February, April and June 2004, using a Macer-GIROQ suprabenthic sledge (0.5 mm mesh size). Evidences of omnivorous and carnivorous feeding habits were found for both species derived from their fatty acid and other lipid profiles. Boreomysis arctica showed a more varied fatty acid profile than N. megalops. This suggests that B. arctica feeds on a wider range of food sources and is a more opportunistic feeder. The high proportions of 16:1(n-7), 20:5(n-3) and 22:6(n-3) fatty acids in both species suggests a link between surface primary production and deep slope habitats, while markers such as 18:1(n-9) and the 20:1(n-9) and 22:1(n-11) fatty alcohols indicate a predatory activity, likely on calanoids. These components may arrive both via phytodetritus deposition to the seabed and by migratory movements of prey consumed by B. arctica and N. megalops close to the sea bottom. Seasonal changes in the total lipids and fatty acid composition of both species are related to the seasonal dynamics in their food sources, coupled with changes in the physiological or developmental stage of individuals. The proportion of total lipids and polyunsaturated fatty acids in the two species may be related to the different life histories of B. arctica and N. megalops. The mysid has direct development of embryos within brood pouches, so eggs with large amount of vitelum are generated and gonad is well developed. By contrast, the meso-bathypelagic euphausiids generate planktotrophic larvae, with a high number of free developmental larvae stages (from nauplius to Furcilia/Calyptopis), and eggs with poor storage of lipid compounds compared with B. arctica embryos.</t>
  </si>
  <si>
    <t>Inst Ciencies Mar ICM CSIC, Postgrau Maritim Barceloneta 37-49, Barcelona, Spain</t>
  </si>
  <si>
    <t>Consejo Superior de Investigaciones Cientificas (CSIC); CSIC - Centro Mediterraneo de Investigaciones Marinas y Ambientales (CMIMA); CSIC - Instituto de Ciencias del Mar (ICM)</t>
  </si>
  <si>
    <t>Cartes, JE (corresponding author), Inst Ciencies Mar ICM CSIC, Postgrau Maritim Barceloneta 37-49, Barcelona, Spain.</t>
  </si>
  <si>
    <t>jcartes@cmima.csic.es</t>
  </si>
  <si>
    <t>Marie Curie Fellowship [MEIF-CT-2005-010430]</t>
  </si>
  <si>
    <t>Marie Curie Fellowship(European Union (EU))</t>
  </si>
  <si>
    <t>Thanks to all participants in the cruises IDEA (REN2002-04535-C01-02/MAR), to the crew of the RV 'Fco. de Paula Navarro', and to J.L. Lopez-Jurado and E. Massuti for on-board assistance. Thanks also to V. Papiol for her laboratory assistance. Special acknowledgements to Dr T. Madurell for her help in the research performing lipid analyses, also to the National Oceanography Centre, Southampton, NOCS/OBE, especially to Dr D. Billett, for the scientific support given to the Marie Curie Fellowship MEIF-CT-2005-010430 co-supervised by the author. Analyses were performed at the University of Liverpool; thanks are extended to the Department of Earth and Ocean Sciences, both to Dr G. Wolff and collaborators for invaluable technical support for lipid analyses. The last three coallegues above mentioned were invited to particpate in the authorship of this article.</t>
  </si>
  <si>
    <t>10.1017/S0025315410002018</t>
  </si>
  <si>
    <t>759AV</t>
  </si>
  <si>
    <t>WOS:000290213000003</t>
  </si>
  <si>
    <t>Clark, GF; Stark, JS; Perrett, LA; Hill, NA; Johnston, EL</t>
  </si>
  <si>
    <t>Clark, Graeme F.; Stark, Jonathan S.; Perrett, Lisa A.; Hill, Nicole A.; Johnston, Emma L.</t>
  </si>
  <si>
    <t>Algal canopy as a proxy for the disturbance history of understorey communities in East Antarctica</t>
  </si>
  <si>
    <t>Boulder; Hard-substrate; Invertebrates; Desmarestia menziesii; Himantothallus grandifolius</t>
  </si>
  <si>
    <t>ICE-SCOUR; BENTHIC COMMUNITIES; LIGHT PENETRATION; SUBTIDAL HABITAT; SIGNY ISLAND; COLONIZATION; PATTERNS; IMPACT; RECOLONIZATION; INVERTEBRATES</t>
  </si>
  <si>
    <t>Much of the macroalgal zonation on Antarctic coasts is thought to be maintained by ice scour. The frequency and severity of ice scour typically decrease with depth, which is hypothesized to drive the zonation of two canopy-forming macroalgae, Desmarestia menziesii and Himantothallus grandifolius. If true, understorey communities should share the same history of ice scour as their respective canopies, and their composition should vary accordingly. To evaluate this prediction we collected boulders from under each canopy species at two depths, 6 and 12 m, at two sites on the coast of East Antarctica. We examined the hard-substrate communities growing on boulders and tested for differences in community composition with respect to canopy species, surface orientation, and depth. Communities under the different canopies showed some variation consistent with the hypothesized difference in disturbance history. Those under H. grandifolius accommodated a greater abundance and diversity of sponges, which is usually characteristic of older, later successional communities. Differences were subtle, however, suggesting that canopies might be maintained by ice disturbance over large temporal scale relative to those at which understorey communities develop, and/or that canopies themselves influence understorey composition. This study describes patterns associated with one of the most prominent examples of bathymetric zonation in shallow Antarctic benthos, and experimental work is now needed to partition the processes at work.</t>
  </si>
  <si>
    <t>[Clark, Graeme F.; Johnston, Emma L.] Univ New S Wales, Evolut &amp; Ecol Res Ctr, Sydney, NSW 2052, Australia; [Stark, Jonathan S.] Australian Antarctic Div, Environm Protect &amp; Change Program, Kingston, Tas 7050, Australia; [Perrett, Lisa A.] Great Barrier Reef Marine Pk Author, Townsville, Qld 4810, Australia; [Hill, Nicole A.] Univ Tasmania, Tasmanian Aquaculture &amp; Fisheries Inst, Hobart, Tas 7001, Australia</t>
  </si>
  <si>
    <t>University of New South Wales Sydney; Australian Antarctic Division; University of Tasmania</t>
  </si>
  <si>
    <t>Clark, GF (corresponding author), Univ New S Wales, Evolut &amp; Ecol Res Ctr, Sydney, NSW 2052, Australia.</t>
  </si>
  <si>
    <t>g.clark@unsw.edu.au</t>
  </si>
  <si>
    <t>Hill, Nicole/AAI-7323-2021; Johnston, Emma/AAC-2878-2022; Stark, Jonathan/ABF-4025-2020; Clark, Graeme/M-6448-2017</t>
  </si>
  <si>
    <t>Hill, Nicole/0000-0001-9329-6717; Johnston, Emma/0000-0002-2117-366X; Stark, Jonathan/0000-0002-4268-8072; Clark, Graeme/0000-0002-0230-6631</t>
  </si>
  <si>
    <t>APA; Australian Antarctic Division</t>
  </si>
  <si>
    <t>This work was funded by an APA awarded to G. Clark, and an Australian Antarctic Division Grant awarded to E. Johnston. We thank P. Dayton and two anonymous reviewers for helpful comments which improved this manuscript.</t>
  </si>
  <si>
    <t>10.1007/s00300-010-0931-8</t>
  </si>
  <si>
    <t>WOS:000290331300001</t>
  </si>
  <si>
    <t>Connan, M; Kelly, CMR; McQuaid, CD; Bonnevie, BT; Barker, NP</t>
  </si>
  <si>
    <t>Connan, Maelle; Kelly, Christopher M. R.; McQuaid, Christopher D.; Bonnevie, Bo T.; Barker, Nigel P.</t>
  </si>
  <si>
    <t>Morphological versus molecular identification of Sooty (Phoebetria fusca) and Light-mantled (P. palpebrata) albatross chicks</t>
  </si>
  <si>
    <t>Cytochrome b; Eye-ring extent; Mitochondrial DNA; Prince Edward Islands; Southern Ocean</t>
  </si>
  <si>
    <t>MITOCHONDRIAL-DNA; POPULATION-STRUCTURE; DIFFERENTIATION; PHYLOGEOGRAPHY; CONSERVATION; EVOLUTION; GENETICS; TAXONOMY</t>
  </si>
  <si>
    <t>The two fuliginous albatross species, Phoebetria fusca (the Sooty albatross, SA) and P. palpebrata (the Light-mantled albatross, LMA), are found breeding close to each other on the Prince Edward Islands (Southern Ocean). Adults of these two species are easy to identify in the field, but the chicks are difficult to distinguish on the basis of external morphology, especially at very young ages. Many ecological studies involve sampling of chicks as well as adults, and accurate field identification of chicks is thus crucial. Traditionally, the extent of the ring of pale feathers around the eye (eye-ring) has been used to identify the fledglings. The aim of our study was to investigate the utility of characters associated with the eye-ring (extent, measured as an angle, and colour) for the identification of Phoebetria chicks. This was achieved by comparison of identifications based on morphology, with positive identifications based on DNA sequence data from the mitochondrial cytochrome b gene. We confirm the value of morphological criteria in distinguishing LMA and SA chicks, and this technique appears to be accurate in the majority of cases (&gt; 80%). However, we recommend using molecular identification for borderline cases (angle of the eye-ring measuring between 85 and 95A degrees) if independent confirmation of chick identity cannot be obtained (e.g. via observed feeding interaction with an adult).</t>
  </si>
  <si>
    <t>[Connan, Maelle; McQuaid, Christopher D.] Rhodes Univ, Dept Zool &amp; Entomol, ZA-6140 Grahamstown, South Africa; [Kelly, Christopher M. R.; Barker, Nigel P.] Rhodes Univ, Dept Bot, ZA-6140 Grahamstown, South Africa; [Bonnevie, Bo T.] Rhodes Univ, Div Informat Technol, ZA-6140 Grahamstown, South Africa</t>
  </si>
  <si>
    <t>Rhodes University; Rhodes University; Rhodes University</t>
  </si>
  <si>
    <t>Connan, M (corresponding author), Rhodes Univ, Dept Zool &amp; Entomol, POB 94, ZA-6140 Grahamstown, South Africa.</t>
  </si>
  <si>
    <t>maelle.connan@gmail.com</t>
  </si>
  <si>
    <t>Connan, Maelle/A-8468-2008; Barker, Nigel P/D-1312-2012; McQuaid, Christopher/AAT-3725-2020</t>
  </si>
  <si>
    <t>McQuaid, Christopher/0000-0002-3473-8308; Connan, Maelle/0000-0002-1308-9118; Barker, Nigel/0000-0002-4612-1399; Bonnevie, Bo/0000-0002-5906-9577</t>
  </si>
  <si>
    <t>Department of Environmental Affairs and Tourism; Rhodes University; South African Research Chairs Initiative of the Department of Science and Technology; National Research Foundation</t>
  </si>
  <si>
    <t>The authors thank P. Ryan, B. Dyer, G. Jones and L. Clokie for their valuable advice in the Weld. Funding and logistical support were provided by the Department of Environmental Affairs and Tourism through the South African National Antarctic Programme and administered by the National Research Foundation. All research was conducted under the auspices of Rhodes University, which also granted ethical approval to this work (Research proposal Q1-2). This work is based upon research supported by the South African Research Chairs Initiative of the Department of Science and Technology and the National Research Foundation. Geoff Chambers and one anonymous reviewer are thanked for their valuable comments that improved the earlier version of the manuscript.</t>
  </si>
  <si>
    <t>10.1007/s00300-010-0933-6</t>
  </si>
  <si>
    <t>WOS:000290331300002</t>
  </si>
  <si>
    <t>Salleh, S; McMinn, A</t>
  </si>
  <si>
    <t>Salleh, Sazlina; McMinn, Andrew</t>
  </si>
  <si>
    <t>Photosynthetic response and recovery of Antarctic marine benthic microalgae exposed to elevated irradiances and temperatures</t>
  </si>
  <si>
    <t>Antarctic benthic microalgae; Photoinhibition; Recovery; Temperature</t>
  </si>
  <si>
    <t>KING-GEORGE-ISLAND; CHLOROPHYLL FLUORESCENCE; MICROPHYTOBENTHIC BIOMASS; PHYTOPLANKTON SUCCESSION; MCMURDO SOUND; ELLIS FJORD; PHOTOINHIBITION; DIATOMS; LIGHT; SEA</t>
  </si>
  <si>
    <t>Exposure to high temperatures affects the photosynthetic processes in marine benthic microalgae by limiting the transport of electrons, thus reducing the ability of the cell to use light. This causes damage to the Photosystem II (PSII) and may lead to photoinhibition. However, the PSII of benthic microalgal communities from Brown Bay, eastern Antarctica, were relatively unaffected by significant changes in temperature. Benthic microalgae exposed to temperatures up to 8A degrees C and an irradiance of 450 mu mol photons m(-2) s(-1) did not experience any photosynthetic damage or irreversible photoinhibition. The effective quantum yield (a dagger F/F (m')) at 8A degrees C (0.433 +/- A 0.042) was higher by comparison to cell incubated at -0.1A degrees C (0.373 +/- A 0.015) with similar irradiances. Temperatures down to -5A degrees C at a similar irradiance showed a decrease in photosynthesis with decreasing temperature, but no severe photoinhibition as the cells were able to dissipate excess energy via non-photochemical quenching and recover from damage. These responses are consistent with those recorded in past studies on Antarctic benthic microalgae and suggest that short-term temperature change (from -5 to 8A degrees C) will not do irreversible damage to the PSII and will not affect the photosynthesis of the benthic microalgae.</t>
  </si>
  <si>
    <t>[Salleh, Sazlina; McMinn, Andrew] Univ Tasmania, IMAS, Hobart, Tas 7001, Australia; [Salleh, Sazlina] Univ Sains Malaysia, Ctr Marine &amp; Coastal Studies, Minden 11800, Penang, Malaysia</t>
  </si>
  <si>
    <t>University of Tasmania; Universiti Sains Malaysia</t>
  </si>
  <si>
    <t>Salleh, S (corresponding author), Univ Tasmania, IMAS, Hobart, Tas 7001, Australia.</t>
  </si>
  <si>
    <t>sazlina@usm.my</t>
  </si>
  <si>
    <t>McMinn, Andrew/A-9910-2008; Salleh, Sazlina/I-1150-2012</t>
  </si>
  <si>
    <t>Salleh, Sazlina/0000-0002-8789-3387</t>
  </si>
  <si>
    <t>Universiti Sains Malaysia; University of Tasmania</t>
  </si>
  <si>
    <t>Universiti Sains Malaysia(Universiti Sains Malaysia); University of Tasmania</t>
  </si>
  <si>
    <t>This study forms part of the PhD thesis of S. Salleh and was supported by a Universiti Sains Malaysia and University of Tasmania scholarship. We would like to thank the Australian Antarctic Division for logistic support at Casey Station.</t>
  </si>
  <si>
    <t>10.1007/s00300-010-0943-4</t>
  </si>
  <si>
    <t>WOS:000290331300008</t>
  </si>
  <si>
    <t>Yang, G; Li, CL; Sun, S</t>
  </si>
  <si>
    <t>Yang, Guang; Li, Chaolun; Sun, Song</t>
  </si>
  <si>
    <t>Inter-annual variation in summer zooplankton community structure in Prydz Bay, Antarctica, from 1999 to 2006</t>
  </si>
  <si>
    <t>Zooplankton community; Inter-annual variation; Prydz Bay; Antarctic</t>
  </si>
  <si>
    <t>SOUTHERN-OCEAN; CLIMATE-CHANGE; WEDDELL SEA; EUPHAUSIA-CRYSTALLOROPHIAS; MESOSCALE DISTRIBUTION; PHYSICAL-ENVIRONMENT; CALANOID COPEPODS; PELAGIC COPEPODS; AUSTRAL SUMMER; NORTH-ATLANTIC</t>
  </si>
  <si>
    <t>Inter-annual variations in zooplankton community structure in Prydz Bay were investigated using multivariate analysis based on samples collected with a 330-mu m mesh, 0.5-m(2) Norpac net during the austral summer from 1999 to 2006. Two distinct communities, an oceanic and a neritic community, were consistently identified in all surveys. Oceanic communities had higher diversity and were indicated by species such as Haloptilus ocellatus, Heterorhabdus austrinus, Thysanoessa macrura, Rhincalanus gigas, Scolecithricella minor and Oikopleura sp.. Neritic communities were indicated by Euphausia crystallorophias and Stephos longipes and were characterized by fewer but more abundant species. In 1999 and 2006, a transitional community was also distinguished near the continental shelf edge, where ice coverage was more extensive than either the oceanic or neritic regions. Significant inter-annual variations in community structure (mainly involving species abundance rather than species composition) were found in both oceanic and neritic communities, being more obvious in the latter. The timing and amplitude of sea ice retreat (polynya appearance), and its effect on food availability, had strong influences on zooplankton community structure. In oceanic communities during years with earlier ice retreat, the extra time available for phytoplankton blooms to accumulate resulted in a higher proportion of large copepods (Calanoides acutus, Calanus propinquus, Metridia gerlachei) (especially the younger copepodites) in the zooplankton assemblage. In neritic communities, zooplankton such as the ice krill E. crystallorophias, and large copepods (C. acutus, C. propinquus, M. gerlachei), also showed higher abundance and earlier developmental stages in years with larger polynya. On the other hand, in years with later ice retreat, smaller polynya, and less time for phytoplankton blooms to form, the abundance of large copepods was lower and older age classes were more common.</t>
  </si>
  <si>
    <t>[Yang, Guang; Li, Chaolun; Sun, Song] Chinese Acad Sci, Key Lab Marine Ecol &amp; Environm Sci, Inst Oceanol, Qingdao 266071, Peoples R China; [Yang, Guang] Chinese Acad Sci, Grad Univ, Beijing 100049, Peoples R China</t>
  </si>
  <si>
    <t>Chinese Academy of Sciences; Institute of Oceanology, CAS; Chinese Academy of Sciences; University of Chinese Academy of Sciences, CAS</t>
  </si>
  <si>
    <t>Li, CL (corresponding author), Chinese Acad Sci, Key Lab Marine Ecol &amp; Environm Sci, Inst Oceanol, 7 Naihai Rd, Qingdao 266071, Peoples R China.</t>
  </si>
  <si>
    <t>lcl@qdio.ac.cn</t>
  </si>
  <si>
    <t>Li, Chao/GSM-8117-2022</t>
  </si>
  <si>
    <t>Li, Chao/0000-0001-6110-6210; Li, Chaolun/0000-0003-1890-0587</t>
  </si>
  <si>
    <t>NSFC [40821004]; National Key Technologies R&amp;D Program of China [2006BAB18B07]; China IPY program</t>
  </si>
  <si>
    <t>NSFC(National Natural Science Foundation of China (NSFC)); National Key Technologies R&amp;D Program of China(National Key Technology R&amp;D Program); China IPY program</t>
  </si>
  <si>
    <t>Thanks are due to all those who aided the collection of this data set: Y. Zhang, G. Zhang, H. Liu, P. Ji as well as the captain and crew of the RV 'Xuelong'. We would like to thank NOAA for providing the sea ice data. We are also grateful to J. Shi for providing the temperature and salinity data and to C. Hu for the chlorophyll a data. Thanks also go to Dr. Angus Atkinson and Dr. Astrid Cornils for the help in species identification. Dr A. Atkinson, two anonymous referees and Editor In Chief Dieter Piepenburg substantially improved the final version of the manuscript. This research was supported by NSFC project (No. 40821004), National Key Technologies R&amp;D Program of China (No. 2006BAB18B07) and the China IPY program.</t>
  </si>
  <si>
    <t>10.1007/s00300-010-0948-z</t>
  </si>
  <si>
    <t>WOS:000290331300013</t>
  </si>
  <si>
    <t>Acevedo, J; Matus, R; Droguett, D; Vila, A; Aguayo-Lobo, A; Torres, D</t>
  </si>
  <si>
    <t>Acevedo, Jorge; Matus, Ricardo; Droguett, Daniela; Vila, Alejandro; Aguayo-Lobo, Anelio; Torres, Daniel</t>
  </si>
  <si>
    <t>Vagrant Antarctic fur seals, Arctocephalus gazella, in southern Chile</t>
  </si>
  <si>
    <t>Antarctic fur seal; Vagrant; Magellan Strait; Tierra del Fuego; Chile</t>
  </si>
  <si>
    <t>POPULATION-CHANGES; GROWTH; ISLAND</t>
  </si>
  <si>
    <t>The Antarctic fur seal, Arctocephalus gazella, in the eastern South Pacific Ocean, first reported on Hoste Island, Cape Horn in 1973, and then on the Juan Fernandez Archipelago in 1982 and 1983, was recorded again in October and December 2009 on the southern coast of Chile. Three different individuals were seen simultaneously on a single day at Punta Dungenes, Magellan Strait, and a fourth individual was sighted at the northeastern coast of Almirantazgo Sound, Tierra del Fuego. These records represent the first sightings of live Arctocephalus gazella in southern Chile. Although it is difficult to establish both their origin and rationale for dispersion outside of their distribution range, the substantial breeding population recovery in South Georgia and food shortages during the breeding and post-breeding season are suggested as possible explanations.</t>
  </si>
  <si>
    <t>[Acevedo, Jorge] Fdn Ctr Estudios Cuaternario CEQUA, Punta Arenas, Chile; [Matus, Ricardo] Nat Patagonia, Punta Arenas, Chile; [Droguett, Daniela; Vila, Alejandro] Wildlife Conservat Soc Chile WCS, Punta Arenas, Chile; [Aguayo-Lobo, Anelio] Inst Antartico Chileno INACH, Punta Arenas, Chile; [Torres, Daniel] Univ Pedro Valdivia, Santiago, Chile</t>
  </si>
  <si>
    <t>Universidad Pedro de Valdivia</t>
  </si>
  <si>
    <t>Acevedo, J (corresponding author), Fdn Ctr Estudios Cuaternario CEQUA, Avda Bulnes 01890, Punta Arenas, Chile.</t>
  </si>
  <si>
    <t>jorge.acevedo@cequa.cl</t>
  </si>
  <si>
    <t>Acevedo, Jorge/AAV-3574-2020</t>
  </si>
  <si>
    <t>Acevedo, Jorge/0000-0002-6106-0838; Droguett, Daniela/0000-0002-2627-3790</t>
  </si>
  <si>
    <t>Wildlife Conservation Society</t>
  </si>
  <si>
    <t>We are particularly thankful to our Directors for their support in the preparation of this note and to the Wildlife Conservation Society for funding support of the Almirantazgo Sound expedition. We are also grateful to Carlos Olavarria for his support in the Magellan Strait survey, to Dr. Marthan Bester from the University of Pretoria, South Africa, and to Dr. Ian Boyd from the University of St. Andrews, United Kingdom, for help in the identification of the juvenile photographed in the Almirantazgo Sound. We especially thank to Caleb McClennen, Shannon Cunning, M. Bester, and Rodrigo Hucke-Gaete for their comments to improve this manuscript.</t>
  </si>
  <si>
    <t>10.1007/s00300-010-0951-4</t>
  </si>
  <si>
    <t>WOS:000290331300015</t>
  </si>
  <si>
    <t>Callejas, C; Gill, PR; Catalán, AI; Azziz, G; Castro-Sowinski, S; Batista, S</t>
  </si>
  <si>
    <t>Callejas, Cecilia; Gill, Paul R.; Catalan, Ana I.; Azziz, Gaston; Castro-Sowinski, Susana; Batista, Silvia</t>
  </si>
  <si>
    <t>Phylotype diversity in a benthic cyanobacterial mat community on King George Island, maritime Antarctica</t>
  </si>
  <si>
    <t>WORLD JOURNAL OF MICROBIOLOGY &amp; BIOTECHNOLOGY</t>
  </si>
  <si>
    <t>Antarctic environmental gradient; 16S rRNA gene; ARDRAs; Fildes Peninsula; Tychonema; Oscillatoriales</t>
  </si>
  <si>
    <t>BACTERIAL; GENES; RNA</t>
  </si>
  <si>
    <t>Cyanobacterial 16S ribosomal RNA gene diversity was examined in a benthic mat on Fildes Peninsula of King George Island (62A(0)09'54.4''S, 58A(0)57'20.9''W), maritime Antarctica. Environmental DNA was isolated from the mat, a clone library of PCR-amplified 16S rRNA gene fragments was prepared, and amplified ribosomal DNA restriction analysis (ARDRA) was done to assign clones to seven groups. Low cyanobacterial diversity in the mat was suggested in that 83% of the clones were represented by one ARDRA group. DNA sequences from this group had high similarity with 16S rRNA genes of Tychonema bourrellyi and T. bornetii isolates, whose geographic origins were southern Norway and Northern Ireland. Cyanobacterial morphotypes corresponding to Tychonema have not been reported in Antarctica, however, this morphotype was previously found at Ward Hunt Lake (83A(0)N), and in western Europe (52A(0)N). DNA sequences of three of the ARDRA groups had highest similarity with 16S rDNA sequences of the Tychonema group accounting for 9.4% of the clones. Sequences of the remaining three groups (7.6%) had highest similarity with 16S rRNA genes of uncultured cyanobacteria clones from benthic mats of Lake Fryxell and fresh meltwater on the McMurdo Ice Shelf.</t>
  </si>
  <si>
    <t>[Callejas, Cecilia; Gill, Paul R.; Catalan, Ana I.; Azziz, Gaston; Castro-Sowinski, Susana; Batista, Silvia] Minist Educ &amp; Cultura, Unidad Microbiol Mol, Inst Invest Biol Clemente Estable MEC, Unidad Asociada,Fac Ciencias, Montevideo 11600, Uruguay; [Callejas, Cecilia; Gill, Paul R.] Fac Ciencias, Lab Tecnol Mol, Montevideo 11400, Uruguay; [Castro-Sowinski, Susana] Fac Ciencias, Secc Bioquim, Montevideo 11400, Uruguay</t>
  </si>
  <si>
    <t>Universidad de la Republica, Uruguay; Instituto de Investigaciones Biologicas Clemente Estable Uruguay; Universidad de la Republica, Uruguay; Universidad de la Republica, Uruguay</t>
  </si>
  <si>
    <t>Gill, PR (corresponding author), Minist Educ &amp; Cultura, Unidad Microbiol Mol, Inst Invest Biol Clemente Estable MEC, Unidad Asociada,Fac Ciencias, Av Italia 3318, Montevideo 11600, Uruguay.</t>
  </si>
  <si>
    <t>prgill@iibce.edu.uy</t>
  </si>
  <si>
    <t>Batista, Silvia/ITO-0781-2023; Catalán, Ana/GPT-0559-2022; Azziz, Gastón/AAE-4878-2019; Batista, Silvia/HKO-7008-2023</t>
  </si>
  <si>
    <t>Batista, Silvia/0000-0002-8702-6566; Azziz, Gaston/0000-0002-8000-724X</t>
  </si>
  <si>
    <t>CSIC (Comision Sectorial de Investigacion Cientifica); IAU (Instituto Antartico Uruguayo)</t>
  </si>
  <si>
    <t>We are indebted to Professor Jiri Komarek, who guided us in the collection of samples, and for many useful discussions. We are especially grateful to the very helpful staff of the Base Cientifica Antartica Artigas and to Odile Volonterio and Rodrigo Ponce de Leon for logistics and organizational support. This study was supported by a grant from CSIC (Comision Sectorial de Investigacion Cientifica) and by the IAU (Instituto Antartico Uruguayo).</t>
  </si>
  <si>
    <t>0959-3993</t>
  </si>
  <si>
    <t>1573-0972</t>
  </si>
  <si>
    <t>WORLD J MICROB BIOT</t>
  </si>
  <si>
    <t>World J. Microbiol. Biotechnol.</t>
  </si>
  <si>
    <t>10.1007/s11274-010-0578-1</t>
  </si>
  <si>
    <t>760JP</t>
  </si>
  <si>
    <t>WOS:000290320900026</t>
  </si>
  <si>
    <t>Papanastasiou, DK; Burkholder, JB</t>
  </si>
  <si>
    <t>Papanastasiou, Dimitrios K.; Burkholder, James B.</t>
  </si>
  <si>
    <t>Rate Coefficients for the O(3P) + Cl2O Gas-Phase Reaction between 230 and 357 K</t>
  </si>
  <si>
    <t>INTERNATIONAL JOURNAL OF CHEMICAL KINETICS</t>
  </si>
  <si>
    <t>ANTARCTIC OZONE; CHLORINE; ATOMS; CLO; DEPLETION; KINETICS; PRODUCT</t>
  </si>
  <si>
    <t>Rate coefficients, k, for the gas-phase reaction of O(P-3) atoms with Cl2O (dichlorine monoxide) over a range of temperatures (230-357 K) at pressures between 12 and 32 Torr (N-2) are reported. Rate coefficients were measured under pseudo-first-order conditions in O(P-3) using pulsed laser photolysis to produce O(P-3) atoms and atomic resonance fluorescence to detect its temporal profile. The rate coefficient temperature dependence is given by the Arrhenius expression k(T) = (1.51 +/- 0.20) x 10(-11) exp[-(477 +/- 30)/T] cm(3) molecule(-1) s(-1), and k(296 K) was measured to be (2.93 +/- 0.30) x 10(-12) cm(3) molecule(-1) s(-1). The quoted uncertainty limits are at the 2 sigma (95% confidence) level and include estimated systematic errors. The rate coefficients determined in the present study, under conditions that minimized secondary losses of O(P-3), are compared with previous results from other laboratories and the discrepancies are discussed. (C) 2011 Wiley Periodicals, Inc.* Int J Chem Kinet 43: 312-321, 2011</t>
  </si>
  <si>
    <t>[Papanastasiou, Dimitrios K.; Burkholder, James B.] Natl Ocean &amp; Atmospher Adm, Div Chem Sci, Earth Syst Res Lab, Boulder, CO 80305 USA; [Papanastasiou, Dimitrios K.] Univ Colorado, Cooperat Inst Res Environm Sci, Boulder, CO 80309 USA</t>
  </si>
  <si>
    <t>National Oceanic Atmospheric Admin (NOAA) - USA; University of Colorado System; University of Colorado Boulder</t>
  </si>
  <si>
    <t>Burkholder, JB (corresponding author), Natl Ocean &amp; Atmospher Adm, Div Chem Sci, Earth Syst Res Lab, 325 Broadway, Boulder, CO 80305 USA.</t>
  </si>
  <si>
    <t>James.B.Burkholder@noaa.gov</t>
  </si>
  <si>
    <t>Papanastasiou, Dimitrios K./AAC-7225-2021; Burkholder, James B/H-4914-2013</t>
  </si>
  <si>
    <t>Papanastasiou, Dimitrios K./0000-0003-3963-162X;</t>
  </si>
  <si>
    <t>NOAA; NASA</t>
  </si>
  <si>
    <t>We thank Edward J. Dunlea for helpful discussions. This work was supported in part by NOAA's Climate Goal and NASA's Atmospheric Composition program.</t>
  </si>
  <si>
    <t>0538-8066</t>
  </si>
  <si>
    <t>INT J CHEM KINET</t>
  </si>
  <si>
    <t>Int. J. Chem. Kinet.</t>
  </si>
  <si>
    <t>10.1002/kin.20556</t>
  </si>
  <si>
    <t>Chemistry, Physical</t>
  </si>
  <si>
    <t>756BU</t>
  </si>
  <si>
    <t>WOS:000289987500004</t>
  </si>
  <si>
    <t>Tibbetts, SM; Olsen, RE; Lall, SP</t>
  </si>
  <si>
    <t>Tibbetts, S. M.; Olsen, R. E.; Lall, S. P.</t>
  </si>
  <si>
    <t>Effects of partial or total replacement of fish meal with freeze-dried krill (Euphausia superba) on growth and nutrient utilization of juvenile Atlantic cod (Gadus morhua) and Atlantic halibut (Hippoglossus hippoglossus) fed the same practical diets</t>
  </si>
  <si>
    <t>AQUACULTURE NUTRITION</t>
  </si>
  <si>
    <t>cod; euphausia; feed attractant; fish meal replacement; halibut; krill</t>
  </si>
  <si>
    <t>SALMON SALMO-SALAR; TURBOT SCOPHTHALMUS-MAXIMUS; TROUT ONCORHYNCHUS-MYKISS; EUROPEAN SEA-BASS; L. FED DIETS; FEED-UTILIZATION; RAINBOW-TROUT; ANTARCTIC KRILL; APPARENT DIGESTIBILITY; LIPID LEVEL</t>
  </si>
  <si>
    <t>Studies were conducted with juvenile (28 g) Atlantic cod (Gadus morhua) and halibut (Hippoglossus hippoglossus) fed fish meal (FM) based diets with partial (0%, 25%, 50% and 75%) or total (100%) replacement of FM with freeze-dried krill (FDK). Addition of dietary FDK significantly stimulated feeding activity in both species and resulted in higher feed consumption and intakes of digestible protein (DP) and energy (DE). This is a significant finding on the feed attractant properties of FDK because it occurred despite having 2-4 MJ kg(-1) higher levels of DE in the FDK diets which could have had an intake suppression effect. In addition, it indicates that the soluble protein fraction of krill thought to be responsible for its attractant properties and is routinely lost or greatly reduced during commercial processing of krill meals, is retained by freeze-drying. Supplementation of FDK significantly improved growth rates, digestibility and nutrient utilization. Levels exceeding 25-50% FM replacement, however, generally did not significantly increase growth performance or nutrient utilization. In addition, feed formulations with high FDK (&gt; 75% replacement) are likely to be cost-prohibitive as long as the market price remains higher than FM.</t>
  </si>
  <si>
    <t>[Tibbetts, S. M.; Lall, S. P.] Natl Res Council Canada, Inst Marine Biosci, Halifax, NS B3H 3Z1, Canada; [Olsen, R. E.] Matre Aquaculture Res Stn, Inst Marine Res, Matredal, Norway</t>
  </si>
  <si>
    <t>National Research Council Canada; International Business Machines (IBM); Institute of Marine Research - Norway</t>
  </si>
  <si>
    <t>Lall, SP (corresponding author), Natl Res Council Canada, Inst Marine Biosci, 1411 Oxford St, Halifax, NS B3H 3Z1, Canada.</t>
  </si>
  <si>
    <t>Santosh.Lall@nrc-cnrc.gc.ca</t>
  </si>
  <si>
    <t>Olsen, Rolf Erik/0000-0002-6633-5837; Olsen, Rolf/0000-0001-7523-3165</t>
  </si>
  <si>
    <t>Norwegian Research Council [172641]</t>
  </si>
  <si>
    <t>Norwegian Research Council(Research Council of Norway)</t>
  </si>
  <si>
    <t>This project was funded in part by a grant from the Norwegian Research Council (no. 172641). We acknowledge the generous donation of freeze-dried whole Antarctic krill by Aqion (Colorado Springs, CO, USA), juvenile cod by the New Brunswick Aquarium and Marine Centre (Shippagan, NB, Canada) and juvenile halibut by Scotian Halibut Ltd. (Clarke's Harbour, NS, Canada). We are grateful for technical assistance provided by Joyce Miley, Stefanie Colombo and Laura Garrison. The critical review and valuable suggestions of Dr. Neil Ross and two anonymous reviewers during the preparation of this manuscript is also greatly appreciated.</t>
  </si>
  <si>
    <t>WILEY-HINDAWI</t>
  </si>
  <si>
    <t>ADAM HOUSE, 3RD FL, 1 FITZROY SQ, LONDON, WIT 5HE, ENGLAND</t>
  </si>
  <si>
    <t>1353-5773</t>
  </si>
  <si>
    <t>1365-2095</t>
  </si>
  <si>
    <t>AQUACULT NUTR</t>
  </si>
  <si>
    <t>Aquac. Nutr.</t>
  </si>
  <si>
    <t>10.1111/j.1365-2095.2010.00753.x</t>
  </si>
  <si>
    <t>744TX</t>
  </si>
  <si>
    <t>WOS:000289118500020</t>
  </si>
  <si>
    <t>Cui, SS; Lin, XZ; Shen, JH</t>
  </si>
  <si>
    <t>Cui, Shuo-shuo; Lin, Xue-zheng; Shen, Ji-hong</t>
  </si>
  <si>
    <t>Effects of co-expression of molecular chaperones on heterologous soluble expression of the cold-active lipase Lip-948</t>
  </si>
  <si>
    <t>PROTEIN EXPRESSION AND PURIFICATION</t>
  </si>
  <si>
    <t>Cold-active lipase; Molecular chaperone; Co-expression; Soluble expression</t>
  </si>
  <si>
    <t>NEWLY SYNTHESIZED PROTEINS; ESCHERICHIA-COLI; TRIGGER FACTOR; RECOMBINANT PROTEINS; FUNCTIONAL EXPRESSION; ADAPTED ENZYMES; TEMPERATURE; PSEUDOMONAS; CLONING; AGGREGATION</t>
  </si>
  <si>
    <t>The cold-active lipase gene Lip-948, cloned from Antarctic psychrotrophic bacterium Psychrobacter sp. G, was ligated into plasmid pColdI. The recombinant plasmid pColdI + Lip-948 was then transformed into Escherichia coli BL21. SDS-PAGE analysis showed that there was substantive expression of lipase LIP-948 in E. coli with a yield of about 39% of total protein, most of which was present in the inclusion body. The soluble protein LIP-948 only consisted of 1.7% of total LIP-948 with a specific activity of 66.51 U/mg. Co-expression of molecular chaperones with the pColdI + Lip-948 were also carried out. The results showed that co-expression of different chaperones led to an increase or decrease in the formation of soluble LIP-948 in varying degrees. Co-expression of pColdI + Lip-948 with chaperone pTf16 and pGro7 decreased the amount of soluble LIP-948, while the soluble expression was enhanced when pColdI + Lip-948 was co-expressed with chaperone team plasmids (pKJE7, pG-Tf2, pG-KJE8), respectively. LIP-948 was most efficiently expressed in soluble form when it was co-expressed with pG-KJE8, which was up to 19.8% of intracellular soluble proteins and with a specific activity of 108.77 U/mg. The soluble LIP-948 was purified with amylase affinity chromatography and its enzymatic characters were studied. The optimal temperature and pH of LIP-948 was 35 degrees C and 8, respectively. The activity of LIP-948 dropped dramatically after incubation at 50 degrees C for 15 min and was enhanced by Sr2+, Ca2+. It preferentially hydrolyzed 4-nitrophenyl esters with the shorter carbon chain. (c) 2011 Elsevier Inc. All rights reserved.</t>
  </si>
  <si>
    <t>[Lin, Xue-zheng] SOA, Inst Oceanog 1, Qingdao 266061, Peoples R China; SOA, Key Lab Marine Bioact Substances, Qingdao 266061, Peoples R China</t>
  </si>
  <si>
    <t>First Institute of Oceanography, Ministry of Natural Resources</t>
  </si>
  <si>
    <t>Lin, XZ (corresponding author), SOA, Inst Oceanog 1, Qingdao 266061, Peoples R China.</t>
  </si>
  <si>
    <t>linxz@fio.org.cn</t>
  </si>
  <si>
    <t>National High Technology Research and Development Program [2007AA091905]; Basic Scientific Research Foundation of FIO, SOA [2007T11]</t>
  </si>
  <si>
    <t>National High Technology Research and Development Program(National High Technology Research and Development Program of China); Basic Scientific Research Foundation of FIO, SOA</t>
  </si>
  <si>
    <t>This work was supported by a grant from National High Technology Research and Development Program (2007AA091905) and Basic Scientific Research Foundation of FIO, SOA (2007T11).</t>
  </si>
  <si>
    <t>1046-5928</t>
  </si>
  <si>
    <t>1096-0279</t>
  </si>
  <si>
    <t>PROTEIN EXPRES PURIF</t>
  </si>
  <si>
    <t>Protein Expr. Purif.</t>
  </si>
  <si>
    <t>10.1016/j.pep.2011.01.009</t>
  </si>
  <si>
    <t>Biochemical Research Methods; Biochemistry &amp; Molecular Biology; Biotechnology &amp; Applied Microbiology</t>
  </si>
  <si>
    <t>737TU</t>
  </si>
  <si>
    <t>WOS:000288591900006</t>
  </si>
  <si>
    <t>Rivers, DO; Kendrick, GA; Walker, DI</t>
  </si>
  <si>
    <t>Rivers, David O.; Kendrick, Gary A.; Walker, Diana I.</t>
  </si>
  <si>
    <t>Microsites play an important role for seedling survival in the seagrass Amphibolis antarctica</t>
  </si>
  <si>
    <t>Amphibolis antarctica; Gaps; Microsite; Recruitment; Seagrass</t>
  </si>
  <si>
    <t>WESTERN-AUSTRALIA; RECRUITMENT; GRIFFITHII; DISPERSAL; POPULATIONS; LIMITATION; FLOW; CANOPY; BED</t>
  </si>
  <si>
    <t>The contribution of recruitment to local population dynamics of plants is limited by production of seeds or availability of suitable sites for establishment of seedlings. Viviparous seedlings of the seagrass Amphibolis antarctica have been observed in great numbers within gaps in meadows of other seagrass species. We conducted a field experiment to assess the extent to which production of viviparous seedlings or availability of suitable sites limits recruitment of A. antarctica into gaps in seagrass meadows. At each of six gaps, seedlings of A. antarctica were transplanted at two densities onto three substrata; sand, seagrass matte (exposed rhizomes and sheath material) and established seagrass meadow. Seedling survival was tracked over 2 months and seedling survival half-lives were compared among treatments. Planting density had no effect on total survivorship, suggesting that increased seedling production would not increase recruitment rates. Physical dislodgement of seedlings by wave and current forces was the primary factor impeding successful recruitment. Of the substrata tested, the best potential establishment sites were associated with the matte of dead seagrass rhizome and sheath fibre. Seedlings entangled in seagrass matte fibres required greater force to remove, and we propose that the entangling nature of matte enhances seedling survival and establishment. The force needed to dislodge seedlings from sand was constantly exceeded by the current velocities acting upon seedlings during the study, and we suggest that the 100% loss of seedlings from sand was driven by hydrodynamic forcing. Seedling loss in the seagrass meadow plots was accelerated by contact with adult seagrass, which increased the rate of seedling dislodgement through the sweeping of leaves across the substratum. Recruitment in the population of A. antarctica examined in this study was limited by the availability of suitable establishment sites, such as those provided by the seagrass matte substratum along the fringe of meadow gaps. The ability of A. antarctic seedlings to recruit to seagrass meadow gaps allows local population persistence of this species in areas dominated by other seagrass species. Crown Copyright (C) 2011 Published by Elsevier B.V. All rights reserved.</t>
  </si>
  <si>
    <t>[Rivers, David O.; Kendrick, Gary A.] Univ Western Australia, Oceans Inst, Crawley 6009, Australia; [Rivers, David O.; Kendrick, Gary A.; Walker, Diana I.] Univ Western Australia, Sch Plant Biol, Crawley 6009, Australia</t>
  </si>
  <si>
    <t>University of Western Australia; University of Western Australia</t>
  </si>
  <si>
    <t>Rivers, DO (corresponding author), Univ Western Australia, Oceans Inst, Crawley 6009, Australia.</t>
  </si>
  <si>
    <t>riverd01@student.uwa.edu.au</t>
  </si>
  <si>
    <t>Kendrick, Gary Andrew/B-3460-2011; Walker, Diana I/A-6606-2008</t>
  </si>
  <si>
    <t>Kendrick, Gary Andrew/0000-0002-0276-6064;</t>
  </si>
  <si>
    <t>Western Australian Marine Science Institute; Faculty of Natural and Agricultural Science, University of Western Australia</t>
  </si>
  <si>
    <t>Financial support for this study was provided by the Western Australian Marine Science Institute and the Faculty of Natural and Agricultural Science, University of Western Australia. We are grateful for field assistance provided by W. Chisholm, B. Fitzpatrick, R. Hovey, M. Mohring, L. Rivers, M. Rule, B. Saunders, and J. Statton. We thank R. Lowe for assistance with deployment and data analysis of the ADCP. Assistance with data analysis was provided by the UWA Statistics Clinic, School of Mathematics. We thank A. Irving and one anonymous reviewer for constructive comments that improved the manuscript. [ST]</t>
  </si>
  <si>
    <t>MAY 31</t>
  </si>
  <si>
    <t>10.1016/j.jembe.2011.03.005</t>
  </si>
  <si>
    <t>771PJ</t>
  </si>
  <si>
    <t>WOS:000291172900005</t>
  </si>
  <si>
    <t>Papanastasiou, DK; Feierabend, KJ; Burkholder, JB</t>
  </si>
  <si>
    <t>Papanastasiou, Dimitrios K.; Feierabend, Karl J.; Burkholder, James B.</t>
  </si>
  <si>
    <t>Cl2O photochemistry: Ultraviolet/vis absorption spectrum temperature dependence and O(3P) quantum yield at 193 and 248 nm</t>
  </si>
  <si>
    <t>JOURNAL OF CHEMICAL PHYSICS</t>
  </si>
  <si>
    <t>DICHLORINE MONOXIDE CL2O; CHLORINE MONOXIDE; CROSS-SECTIONS; SELF-REACTION; OZONE DEPLETION; ANTARCTIC OZONE; PHOTODISSOCIATION; CLO; UV; PHOTOLYSIS</t>
  </si>
  <si>
    <t>The photochemistry of Cl2O (dichlorine monoxide) was studied using measurements of its UV/vis absorption spectrum temperature dependence and the O(P-3) atom quantum yield, Phi(O)(Cl2O)(lambda), in its photolysis at 193 and 248 nm. The Cl2O UV/vis absorption spectrum was measured over the temperature range 201-296 K between 200 and 500 nm using diode array spectroscopy. Cl2O absorption cross sections, sigma(Cl2O)(lambda, T), at temperatures &lt;296 K were determined relative to its well established room temperature values. A wavelength and temperature dependent parameterization of the Cl2O spectrum using the sum of six Gaussian functions, which empirically represent transitions from the ground (1)A(1) electronic state to excited states, is presented. The Gaussian functions are found to correlate well with published theoretically calculated vertical excitation energies. O(3P) quantum yields in the photolysis of Cl2O at 193 and 248 nm were measured using pulsed laser photolysis combined with atomic resonance fluorescence detection of O(P-3) atoms. O(P-3) quantum yields were measured to be 0.85 +/- 0.15 for 193 nm photolysis at 296 K and 0.20 +/- 0.03 at 248 nm, which was also found to be independent of temperature (220-352 K) and pressure (17 and 28 Torr, N-2). The quoted uncertainties are at the 2 sigma (95% confidence) level and include estimated systematic errors. ClO radical temporal profiles obtained following the photolysis of Cl2O at 248 nm, as reported previously in Feierabend et al. [J. Phys. Chem. A 114, 12052, (2010)], were interpreted to establish a &lt;5% upper-limit for the O + Cl-2 photodissociation channel, which indicates that O(P-3) is primarily formed in the three-body, 0 + 2Cl, photodissociation channel at 248 nm. The analysis also indirectly provided a Cl atom quantum yield of 1.2 +/- 0.1 at 248 nm. The results from this work are compared with previous studies where possible. (C) 2011 American Institute of Physics. [doi:10.1063/1.3592662]</t>
  </si>
  <si>
    <t>[Papanastasiou, Dimitrios K.; Feierabend, Karl J.; Burkholder, James B.] Natl Ocean &amp; Atmospher Adm, Earth Syst Res Lab, Div Chem Sci, Boulder, CO 80305 USA; [Papanastasiou, Dimitrios K.; Feierabend, Karl J.] Univ Colorado, Cooperat Inst Res Environm Sci, Boulder, CO 80309 USA</t>
  </si>
  <si>
    <t>Burkholder, JB (corresponding author), Natl Ocean &amp; Atmospher Adm, Earth Syst Res Lab, Div Chem Sci, 325 Broadway, Boulder, CO 80305 USA.</t>
  </si>
  <si>
    <t>This work was supported in part by NOAA's Climate Goal and NASA's Atmospheric Composition Program.</t>
  </si>
  <si>
    <t>AMER INST PHYSICS</t>
  </si>
  <si>
    <t>MELVILLE</t>
  </si>
  <si>
    <t>CIRCULATION &amp; FULFILLMENT DIV, 2 HUNTINGTON QUADRANGLE, STE 1 N O 1, MELVILLE, NY 11747-4501 USA</t>
  </si>
  <si>
    <t>0021-9606</t>
  </si>
  <si>
    <t>J CHEM PHYS</t>
  </si>
  <si>
    <t>J. Chem. Phys.</t>
  </si>
  <si>
    <t>MAY 28</t>
  </si>
  <si>
    <t>10.1063/1.3592662</t>
  </si>
  <si>
    <t>Chemistry, Physical; Physics, Atomic, Molecular &amp; Chemical</t>
  </si>
  <si>
    <t>Chemistry; Physics</t>
  </si>
  <si>
    <t>770SD</t>
  </si>
  <si>
    <t>WOS:000291107900032</t>
  </si>
  <si>
    <t>Meredith, NP; Horne, RB; Lam, MM; Denton, MH; Borovsky, JE; Green, JC</t>
  </si>
  <si>
    <t>Meredith, Nigel P.; Horne, Richard B.; Lam, Mai Mai; Denton, Michael H.; Borovsky, Joseph E.; Green, Janet C.</t>
  </si>
  <si>
    <t>Energetic electron precipitation during high-speed solar wind stream driven storms</t>
  </si>
  <si>
    <t>COROTATING INTERACTION REGIONS; RECURRENT GEOMAGNETIC STORMS; OUTER RADIATION BELT; MAGNETIC STORMS; RELATIVISTIC ELECTRONS; PARTICLE-PRECIPITATION; PLASMASPHERIC HISS; CHORUS EMISSIONS; PLASMA SHEET; ACCELERATION</t>
  </si>
  <si>
    <t>Electron precipitation from the Earth's inner magnetosphere transmits solar variability to the Earth's upper atmosphere and may affect surface level climate. Here we conduct a superposed epoch analysis of energetic electrons observed by the NOAA POES spacecraft during 42 high-speed solar wind stream (HSS) driven geomagnetic storms to determine the temporal evolution and global distribution of the precipitating flux. The flux of trapped and precipitating E &gt; 30 keV electrons increases immediately following storm onset and remains elevated during the passage of the HSS. In contrast, the trapped and precipitating relativistic electrons (E &gt; 1 MeV) drop out following storm onset and subsequently increase during the recovery phase to levels which eventually exceed the prestorm levels. There is no evidence for enhanced precipitation of relativistic electrons during the MeV flux drop out, suggesting that flux drop outs during the main phase of HSS-driven storms are not due to precipitation to the atmosphere. On average, the flux of precipitating E &gt; 30 keV electrons is enhanced by a factor of similar to 10 during the passage of the high-speed stream at all geographic longitudes. In contrast, the precipitating relativistic electron count rate is observed to peak in the region poleward of the South Atlantic Anomaly. During the passage of the high-speed stream, the flux of precipitating E &gt; 30 keV electrons peaks in the region from 2100 to 1200 magnetic local time at low L (4 &lt; L &lt; 7) and in the prenoon sector at high L (7 &lt; L &lt; 9), suggesting that chorus waves are responsible for the precipitation of E &gt; 30 keV electrons in both regions.</t>
  </si>
  <si>
    <t>[Meredith, Nigel P.; Horne, Richard B.] British Antarctic Survey, NERC, Cambridge CB3 0ET, England; [Lam, Mai Mai] Univ Leicester, Dept Phys &amp; Astron, Leicester LE1 7RH, Leics, England; [Denton, Michael H.] Univ Lancaster, Dept Phys, Lancaster LA1 4YW, England; [Borovsky, Joseph E.] Los Alamos Natl Lab, Los Alamos, NM 87545 USA; [Green, Janet C.] NOAA, Space Weather Predict Ctr, Boulder, CO 80305 USA</t>
  </si>
  <si>
    <t>UK Research &amp; Innovation (UKRI); Natural Environment Research Council (NERC); NERC British Antarctic Survey; University of Leicester; Lancaster University; United States Department of Energy (DOE); Los Alamos National Laboratory; National Oceanic Atmospheric Admin (NOAA) - USA</t>
  </si>
  <si>
    <t>Meredith, NP (corresponding author), British Antarctic Survey, NERC, Madingley Rd, Cambridge CB3 0ET, England.</t>
  </si>
  <si>
    <t>nmer@bas.ac.uk; r.horne@bas.ac.uk; mml9@ion.le.ac.uk; m.denton@lancaster.ac.uk; jborovsky@lanl.gov; janet.green@noaa.gov</t>
  </si>
  <si>
    <t>Horne, Richard B/U-3764-2019; Meredith, Nigel P/C-5806-2018</t>
  </si>
  <si>
    <t>Horne, Richard B/0000-0002-0412-6407; Denton, Michael/0000-0002-1748-3710; Meredith, Nigel/0000-0001-5032-3463</t>
  </si>
  <si>
    <t>Natural Environment Research Council; STFC [ST/G002401/1/]; Natural Environment Research Council [bas0100023] Funding Source: researchfish; Science and Technology Facilities Council [ST/H002480/1, ST/G002401/1] Funding Source: researchfish; NERC [bas0100023] Funding Source: UKRI; STFC [ST/H002480/1, ST/G002401/1] Funding Source: UKRI</t>
  </si>
  <si>
    <t>Natural Environment Research Council(UK Research &amp; Innovation (UKRI)Natural Environment Research Council (NERC)); STFC(UK Research &amp; Innovation (UKRI)Science &amp; Technology Facilities Council (STFC)); Natural Environment Research Council(UK Research &amp; Innovation (UKRI)Natural Environment Research Council (NERC)); Science and Technology Facilities Council(UK Research &amp; Innovation (UKRI)Science &amp; Technology Facilities Council (STFC)); NERC(UK Research &amp; Innovation (UKRI)Natural Environment Research Council (NERC)); STFC(UK Research &amp; Innovation (UKRI)Science &amp; Technology Facilities Council (STFC))</t>
  </si>
  <si>
    <t>We thank the NSSDC Omniweb for providing the geomagnetic indices and solar wind parameters used in this study. This work was supported, in part, by the Natural Environment Research Council. J.E.B. and M. H. D. would like to thank all at BAS for their hospitality during their visit in Spring 2010. Work at Lancaster was supported by STFC grant ST/G002401/1/.</t>
  </si>
  <si>
    <t>A05223</t>
  </si>
  <si>
    <t>10.1029/2010JA016293</t>
  </si>
  <si>
    <t>770RX</t>
  </si>
  <si>
    <t>WOS:000291107300004</t>
  </si>
  <si>
    <t>Durant, AJ; Le Quéré, C; Hope, C; Friend, AD</t>
  </si>
  <si>
    <t>Durant, A. J.; Le Quere, C.; Hope, C.; Friend, A. D.</t>
  </si>
  <si>
    <t>Economic value of improved quantification in global sources and sinks of carbon dioxide</t>
  </si>
  <si>
    <t>PHILOSOPHICAL TRANSACTIONS OF THE ROYAL SOCIETY A-MATHEMATICAL PHYSICAL AND ENGINEERING SCIENCES</t>
  </si>
  <si>
    <t>carbon; emissions; budget; measurement; climate; economics</t>
  </si>
  <si>
    <t>CO2; EMISSIONS; TRACKING; FLUXES; CYCLE</t>
  </si>
  <si>
    <t>On average, about 45 per cent of global annual anthropogenic carbon dioxide (CO2) emissions remain in the atmosphere, while the remainder are taken up by carbon reservoirs on land and in the oceans-the CO2 'sinks'. As sink size and dynamics are highly variable in space and time, cross-verification of reported anthropogenic CO2 emissions with atmospheric CO2 measurements is challenging. Highly variable CO2 sinks also limit the capability to detect anomolous changes in natural carbon reservoirs. This paper argues that significant uncertainty reduction in annual estimates of the global carbon balance could be achieved rapidly through coordinated up-scaling of existing methods, and that this uncertainty reduction would provide incentive for accurate reporting of CO2 emissions at the country level. We estimate that if 5 per cent of global CO2 emissions go unreported and undetected, the associated marginal economic impacts could reach approximately US$20 billion each year by 2050. The net present day value of these impacts aggregated until 2200, and discounted back to the present would have a mean value exceeding US$10 trillion. The costs of potential impacts of unreported emissions far outweigh the costs of enhancement of measurement infrastructure to reduce uncertainty in the global carbon balance.</t>
  </si>
  <si>
    <t>[Durant, A. J.] Univ Cambridge, Dept Chem, Ctr Atmospher Sci, Cambridge CB2 1EW, England; [Durant, A. J.] Norwegian Inst Air Res, N-2027 Kjeller, Norway; [Durant, A. J.] Michigan Technol Univ, Dept Geol &amp; Min Engn &amp; Sci, Houghton, MI 49931 USA; [Le Quere, C.] Univ E Anglia, Sch Environm Sci, Norwich NR4 7TJ, Norfolk, England; [Le Quere, C.] British Antarctic Survey, Cambridge CB3 0ET, England; [Hope, C.] Univ Cambridge, Judge Business Sch, Cambridge CB2 1AG, England; [Friend, A. D.] Univ Cambridge, Dept Geog, Cambridge CB2 3EN, England</t>
  </si>
  <si>
    <t>University of Cambridge; NILU; Michigan Technological University; University of East Anglia; UK Research &amp; Innovation (UKRI); Natural Environment Research Council (NERC); NERC British Antarctic Survey; University of Cambridge; University of Cambridge</t>
  </si>
  <si>
    <t>Durant, AJ (corresponding author), Univ Cambridge, Dept Chem, Ctr Atmospher Sci, Lensfield Rd, Cambridge CB2 1EW, England.</t>
  </si>
  <si>
    <t>adam.durant@ch.cam.ac.uk</t>
  </si>
  <si>
    <t>Le Quéré, Corinne/C-2631-2017; Durant, Adam J/C-7883-2014</t>
  </si>
  <si>
    <t>Le Quéré, Corinne/0000-0003-2319-0452; Friend, Andrew/0000-0002-9029-1045</t>
  </si>
  <si>
    <t>Natural Environment Research Council; European Community [212774, 238366]; UK Department of Energy and Climate Change; NERC [bas010013] Funding Source: UKRI; Natural Environment Research Council [bas010013] Funding Source: researchfish</t>
  </si>
  <si>
    <t>Natural Environment Research Council(UK Research &amp; Innovation (UKRI)Natural Environment Research Council (NERC)); European Community; UK Department of Energy and Climate Change; NERC(UK Research &amp; Innovation (UKRI)Natural Environment Research Council (NERC)); Natural Environment Research Council(UK Research &amp; Innovation (UKRI)Natural Environment Research Council (NERC))</t>
  </si>
  <si>
    <t>A.J.D. acknowledges the Natural Environment Research Council for support during the writing of this manuscript. Development of the PAGE09 model received funding from the European Community's Seventh Framework Programme, as part of the ClimateCost Project (Full Costs of Climate Change, grant agreement 212774; www/climatecost.eu), and from the UK Department of Energy and Climate Change. A.D.F. received funding from the European Community's Seventh Framework Programme (FP7/2007-2013) under grant agreement no. 238366. The authors thank Ralph Keeling and an anonymous reviewer for thoughtful and constructive reviews that improved the manuscript, and Euan Nisbet for editorial coordination.</t>
  </si>
  <si>
    <t>1364-503X</t>
  </si>
  <si>
    <t>1471-2962</t>
  </si>
  <si>
    <t>PHILOS T R SOC A</t>
  </si>
  <si>
    <t>Philos. Trans. R. Soc. A-Math. Phys. Eng. Sci.</t>
  </si>
  <si>
    <t>10.1098/rsta.2011.0002</t>
  </si>
  <si>
    <t>751LK</t>
  </si>
  <si>
    <t>WOS:000289619100007</t>
  </si>
  <si>
    <t>Wolff, EW</t>
  </si>
  <si>
    <t>Wolff, Eric W.</t>
  </si>
  <si>
    <t>Greenhouse gases in the Earth system: a palaeoclimate perspective</t>
  </si>
  <si>
    <t>ice cores; carbon dioxide; methane; nitrous oxide; quaternary; pre-industrial</t>
  </si>
  <si>
    <t>ATMOSPHERIC CO2 CONCENTRATION; VOSTOK ICE CORE; ANTARCTIC ICE; AGE DIFFERENCE; NITROUS-OXIDE; POLAR ICE; CLIMATE; METHANE; AIR; CH4</t>
  </si>
  <si>
    <t>While the trends in greenhouse gas concentrations in recent decades are clear, their significance is only revealed when viewed in the context of a longer time period. Fortunately, the air bubbles in polar ice cores provide an unusually direct method of determining the concentrations of stable gases over a period of (so far) 800 000 years. Measurements on different cores with varying characteristics, as well as an overlap of ice-core and atmospheric measurements covering the same time period, show that the ice-core record provides a faithful record of changing atmospheric composition. The mixing ratio of CO2 is now 30 per cent higher than any value observed in the ice-core record, while methane is more than double any observed value; the rate of change also appears extraordinary compared with natural changes. Before the period when anthropogenic changes have dominated, there are very interesting natural changes in concentration, particularly across glacial/interglacial cycles, and these can be used to understand feedbacks in the Earth system. The phasing of changes in temperature and CO2 across glacial/interglacial transitions is consistent with the idea that CO2 acts as an important amplifier of climate changes in the natural system. Even larger changes are inferred to have occurred in periods earlier than the ice cores cover, and these events might be used to constrain assessments of the way the Earth could respond to higher than present concentrations of CO2, and to a large release of carbon: however, more certainty about CO2 concentrations beyond the time period covered by ice cores is needed before such constraints can be fully realized.</t>
  </si>
  <si>
    <t>Wolff, EW (corresponding author), British Antarctic Survey, High Cross,Madingley Rd, Cambridge CB3 0ET, England.</t>
  </si>
  <si>
    <t>ewwo@bas.ac.uk</t>
  </si>
  <si>
    <t>Natural Environment Research Council; NERC [bas0100024, NE/E007600/1] Funding Source: UKRI; Natural Environment Research Council [bas0100024, NE/E007600/1] Funding Source: researchfish</t>
  </si>
  <si>
    <t>I thank my colleagues in EPICA and other ice-core teams who have produced and freely discussed the data reviewed in this article. This study is part of the British Antarctic Survey Polar Science for Planet Earth Programme and the QUEST-DESIRE project, both funded by the Natural Environment Research Council.</t>
  </si>
  <si>
    <t>10.1098/rsta.2010.0225</t>
  </si>
  <si>
    <t>WOS:000289619100017</t>
  </si>
  <si>
    <t>Katz, ME; Cramer, BS; Toggweiler, JR; Esmay, G; Liu, CJ; Miller, KG; Rosenthal, Y; Wade, BS; Wright, JD</t>
  </si>
  <si>
    <t>Katz, Miriam E.; Cramer, Benjamin S.; Toggweiler, J. R.; Esmay, Gar; Liu, Chengjie; Miller, Kenneth G.; Rosenthal, Yair; Wade, Bridget S.; Wright, James D.</t>
  </si>
  <si>
    <t>Impact of Antarctic Circumpolar Current Development on Late Paleogene Ocean Structure</t>
  </si>
  <si>
    <t>DRAKE PASSAGE; THERMOHALINE CIRCULATION; NORTH-ATLANTIC; OLIGOCENE; TRANSITION; ISOTOPES; FORAMINIFERA; GREENHOUSE; ICEHOUSE; CLIMATE</t>
  </si>
  <si>
    <t>Global cooling and the development of continental-scale Antarctic glaciation occurred in the late middle Eocene to early Oligocene (similar to 38 to 28 million years ago), accompanied by deep-ocean reorganization attributed to gradual Antarctic Circumpolar Current (ACC) development. Our benthic foraminiferal stable isotope comparisons show that a large delta(13)C offset developed between mid-depth (similar to 600 meters) and deep (&gt;1000 meters) western North Atlantic waters in the early Oligocene, indicating the development of intermediate-depth delta(13)C and O(2) minima closely linked in the modern ocean to northward incursion of Antarctic Intermediate Water. At the same time, the ocean's coldest waters became restricted to south of the ACC, probably forming a bottom-ocean layer, as in the modern ocean. We show that the modern four-layer ocean structure (surface, intermediate, deep, and bottom waters) developed during the early Oligocene as a consequence of the ACC.</t>
  </si>
  <si>
    <t>[Katz, Miriam E.] Rensselaer Polytech Inst, Dept Earth &amp; Environm Sci, Troy, NY 12180 USA; [Cramer, Benjamin S.] Theiss Res, Eugene, OR USA; [Toggweiler, J. R.] NOAA, Geophys Fluid Dynam Lab, Princeton, NJ USA; [Esmay, Gar; Miller, Kenneth G.; Rosenthal, Yair; Wright, James D.] Rutgers State Univ, Dept Earth &amp; Planetary Sci, Piscataway, NJ 08854 USA; [Liu, Chengjie] ExxonMobil Explorat, Houston, TX 77210 USA; [Rosenthal, Yair] Rutgers State Univ, Inst Marine &amp; Coastal Sci, New Brunswick, NJ 08901 USA; [Wade, Bridget S.] Univ Leeds, Sch Earth &amp; Environm, Leeds LS2 9JT, W Yorkshire, England</t>
  </si>
  <si>
    <t>Rensselaer Polytechnic Institute; National Oceanic Atmospheric Admin (NOAA) - USA; Rutgers University System; Rutgers University New Brunswick; Exxon Mobil Corporation; Rutgers University System; Rutgers University New Brunswick; University of Leeds</t>
  </si>
  <si>
    <t>Katz, ME (corresponding author), Rensselaer Polytech Inst, Dept Earth &amp; Environm Sci, Troy, NY 12180 USA.</t>
  </si>
  <si>
    <t>katzm@rpi.edu</t>
  </si>
  <si>
    <t>Cramer, Benjamin S/A-5303-2008; Toggweiler, J. R./O-5883-2019; Wright, James/AAF-7180-2019; Wade, Bridget S/F-4987-2014</t>
  </si>
  <si>
    <t>Toggweiler, J. R./0000-0001-6345-5756; Wade, Bridget S/0000-0002-7245-8614; Wright, James/0000-0001-5212-9146</t>
  </si>
  <si>
    <t>NSF [OCE 06-23256, OCE 09-28607, EAR03-07112, EAR05-06720]; Joint Oceanographic Institutions, Inc.; NERC [NE/G014817/1] Funding Source: UKRI; Natural Environment Research Council [NE/G014817/1] Funding Source: researchfish; Division Of Ocean Sciences; Directorate For Geosciences [0928607] Funding Source: National Science Foundation</t>
  </si>
  <si>
    <t>NSF(National Science Foundation (NSF)); Joint Oceanographic Institutions, Inc.; NERC(UK Research &amp; Innovation (UKRI)Natural Environment Research Council (NERC)); Natural Environment Research Council(UK Research &amp; Innovation (UKRI)Natural Environment Research Council (NERC)); Division Of Ocean Sciences; Directorate For Geosciences(National Science Foundation (NSF)NSF - Directorate for Geosciences (GEO))</t>
  </si>
  <si>
    <t>This research was supported by NSF grants OCE 06-23256 (M. E. K., K. G. M., B. S. W., and J.D.W.), OCE 09-28607 (B. S. C. and M. E. K.), EAR03-07112 (K. G. M.), and EAR05-06720 (K. G. M.). This research used samples provided by the ODP, which is sponsored by NSF and participating countries under management of the Joint Oceanographic Institutions, Inc. The authors declare that they have no competing financial interests.</t>
  </si>
  <si>
    <t>MAY 27</t>
  </si>
  <si>
    <t>10.1126/science.1202122</t>
  </si>
  <si>
    <t>769FN</t>
  </si>
  <si>
    <t>WOS:000290996700042</t>
  </si>
  <si>
    <t>Van de Vijver, B; Zidarova, R</t>
  </si>
  <si>
    <t>Van De Vijver, Bart; Zidarova, Ralitsa</t>
  </si>
  <si>
    <t>Five new taxa in the genus Pinnularia sectio Distantes (Bacillariophyta) from Livingston Island (South Shetland Islands)</t>
  </si>
  <si>
    <t>PHYTOTAXA</t>
  </si>
  <si>
    <t>Byers Peninsula; Maritime Antarctic Region</t>
  </si>
  <si>
    <t>SPINE-BEARING</t>
  </si>
  <si>
    <t>The non-marine diatom flora of Livingston Island (South Shetland Islands, Maritime Antarctic Region) is currently under revision. The taxonomy and morphology of all Pinnularia taxa belonging to the section Distantes present in the samples from Livingston Island have been studied. Eleven different Pinnularia taxa from this section have been recorded. In addition to the cosmopolitan Pinnularia borealis var. borealis, P. borealis var. scalaris and P. rabenhorstii and three already described (sub) Antarctic taxa (P. australorabenhorstii, P. obaesa and P. rabenhorstii var. subantarctica), five new taxa are noted here based on their unique morphological features. The new taxa are: Pinnularia australoborealis sp. nov., P. borealis var. pseudolanceolata var. nov., P. laterotundata sp. nov., P. perlanceolata sp. nov., and P. quesadae sp. nov. These results confirm the presence of a highly specific non-marine diatom flora in the Antarctic Region contradicting the view concerning diatom cosmopolitanism.</t>
  </si>
  <si>
    <t>[Van De Vijver, Bart] Natl Bot Garden Belgium, Dept Bryophytes &amp; Thallophytes, B-1860 Domein Van Bouchout, Meise, Belgium; [Zidarova, Ralitsa] BASc, Inst Biodivers &amp; Ecosyst Res, Sofia 1113, Bulgaria</t>
  </si>
  <si>
    <t>Van de Vijver, B (corresponding author), Natl Bot Garden Belgium, Dept Bryophytes &amp; Thallophytes, B-1860 Domein Van Bouchout, Meise, Belgium.</t>
  </si>
  <si>
    <t>vandevijver@br.fgov.be; ralliez@abv.bg</t>
  </si>
  <si>
    <t>Zidarova, Ralitsa/I-3793-2017</t>
  </si>
  <si>
    <t>FWO [G.0533.07]; WETLANET project; Ministerio de Ciencia y Tecnologia, Spain [POL2006-06635]</t>
  </si>
  <si>
    <t>FWO(FWO); WETLANET project; Ministerio de Ciencia y Tecnologia, Spain(Spanish Government)</t>
  </si>
  <si>
    <t>The authors would like to thank Mr. Pierre Compere for correcting the Latin diagnoses. Part of this research was funded within the FWO project G.0533.07 and by the WETLANET project. Samples were taken in the framework of the IPY-Limnopolar Project POL2006-06635 (Ministerio de Ciencia y Tecnologia, Spain). Prof. Dr. A. Quesada is thanked for taking several samples at the Byers Peninsula. Mrs. Myriam de Haan is thanked for her assistance with the Scanning Electron Microscopy.</t>
  </si>
  <si>
    <t>250F Marua Road Mt Wellington, AUCKLAND, ST LUKES 1023, NEW ZEALAND</t>
  </si>
  <si>
    <t>1179-3155</t>
  </si>
  <si>
    <t>1179-3163</t>
  </si>
  <si>
    <t>Phytotaxa</t>
  </si>
  <si>
    <t>MAY 26</t>
  </si>
  <si>
    <t>10.11646/phytotaxa.24.1.6</t>
  </si>
  <si>
    <t>814FG</t>
  </si>
  <si>
    <t>WOS:000294432500006</t>
  </si>
  <si>
    <t>Rignot, E; Mouginot, J; Scheuchl, B</t>
  </si>
  <si>
    <t>Rignot, E.; Mouginot, J.; Scheuchl, B.</t>
  </si>
  <si>
    <t>Antarctic grounding line mapping from differential satellite radar interferometry</t>
  </si>
  <si>
    <t>ICE-SHELF; PETERMANN-GLETSCHER; WEST ANTARCTICA; MASS-BALANCE; ZONE; GREENLAND; GLACIERS; STREAM; MIGRATION; MOTION</t>
  </si>
  <si>
    <t>The delineation of an ice sheet grounding line, i.e., the transition boundary where ice detaches from the bed and becomes afloat in the ocean, is critical to ice sheet mass budget calculations, numerical modeling of ice sheet dynamics, ice-ocean interactions, oceanic tides, and subglacial environments. Here, we present 15 years of comprehensive, high-resolution mapping of grounding lines in Antarctica using differential satellite synthetic-aperture radar interferometry (DInSAR) data from the Earth Remote Sensing Satellites 1-2 (ERS-1/2), RADARSAT-1 and 2, and the Advanced Land Observing System (ALOS) PALSAR for years 1994 to 2009. DInSAR directly measures the vertical motion of floating ice shelves in response to tidal oceanic forcing with millimeter precision, at a sample spacing better than 50 m, simultaneously over areas several 100 km wide; in contrast with earlier methods that detect abrupt changes in surface slope in satellite visible imagery or altimetry data. On stagnant and slow-moving areas, we find that breaks in surface slope are reliable indicators of grounding lines; but on most fast-moving glaciers and ice streams, our DInSAR results reveal that prior mappings have positioning errors ranging from a few km to over 100 km. A better agreement is found with ICESat's data, also based on measurements of vertical motion, but with a detection noise one order of magnitude larger than with DInSAR. Overall, the DInSAR mapping of Antarctic grounding lines completely redefines the coastline of Antarctica. Citation: Rignot, E., J. Mouginot, and B. Scheuchl (2011), Antarctic grounding line mapping from differential satellite radar interferometry, Geophys. Res. Lett., 38, L10504, doi: 10.1029/2011GL047109.</t>
  </si>
  <si>
    <t>[Rignot, E.; Mouginot, J.; Scheuchl, B.] Univ Calif Irvine, Dept Earth Syst Sci, Irvine, CA 92697 USA; [Rignot, E.] CALTECH, Jet Prop Lab, Pasadena, CA USA</t>
  </si>
  <si>
    <t>University of California System; University of California Irvine; National Aeronautics &amp; Space Administration (NASA); NASA Jet Propulsion Laboratory (JPL); California Institute of Technology</t>
  </si>
  <si>
    <t>Rignot, E (corresponding author), Univ Calif Irvine, Dept Earth Syst Sci, Croul Hall, Irvine, CA 92697 USA.</t>
  </si>
  <si>
    <t>erignot@uci.edu</t>
  </si>
  <si>
    <t>Mouginot, Jeremie/G-7045-2015; Rignot, Eric/A-4560-2014</t>
  </si>
  <si>
    <t>Mouginot, Jeremie/0000-0001-9155-5455; Rignot, Eric/0000-0002-3366-0481; Scheuchl, Bernd/0000-0001-5947-7709</t>
  </si>
  <si>
    <t>National Aeronautics and Space Administration; ESA; JAXA; CSA; MDA; ASF</t>
  </si>
  <si>
    <t>National Aeronautics and Space Administration(National Aeronautics &amp; Space Administration (NASA)); ESA(European Space Agency); JAXA; CSA; MDA(Muscular Dystrophy Association); ASF</t>
  </si>
  <si>
    <t>This work was performed at the Earth System Science Department of Physical Sciences, University of California Irvine and at the California Institute of Technology's Jet Propulsion Laboratory under a contract with the National Aeronautics and Space Administration's Cryospheric Science Program and satellite data grants from ESA, JAXA, CSA, MDA and ASF.</t>
  </si>
  <si>
    <t>L10504</t>
  </si>
  <si>
    <t>10.1029/2011GL047109</t>
  </si>
  <si>
    <t>770PU</t>
  </si>
  <si>
    <t>WOS:000291101700002</t>
  </si>
  <si>
    <t>McKee, DC; Yuan, XJ; Gordon, AL; Huber, BA; Dong, ZQ</t>
  </si>
  <si>
    <t>McKee, Darren C.; Yuan, Xiaojun; Gordon, Arnold L.; Huber, Bruce A.; Dong, Zhaoqian</t>
  </si>
  <si>
    <t>Climate impact on interannual variability of Weddell Sea Bottom Water</t>
  </si>
  <si>
    <t>SOUTHERN-OCEAN; DEEP-WATER; TEMPORAL VARIABILITY; ANTARCTIC DIPOLE; ICE INTERACTION; CIRCULATION; GYRE; ENSO; FLOW; STRATIFICATION</t>
  </si>
  <si>
    <t>Bottom water formed in the Weddell Sea plays a significant role in ventilating the global abyssal ocean, forming a central component of the global overturning circulation. To place Weddell Sea Bottom Water in the context of larger scale climate fluctuations, we analyze the temporal variability of an 8-year (April 1999 through January 2007) time series of bottom water temperature relative to the El Nino/Southern Oscillation (ENSO), Southern Annular Mode (SAM), and Antarctic Dipole (ADP). In addition to a pronounced seasonal cycle, the temperature record reveals clear interannual variability with anomalously cold pulses in 1999 and 2002 and no cold event in 2000. Correlations of the time series with ENSO, SAM, and ADP indices peak with the indices leading by 14-20 months. Secondary weaker correlations with the SAM index exist at 1-6 month lead time. A multivariate EOF analysis of surface variables shows that the leading mode represents characteristic traits of out-of-phase SAM and ENSO impact patterns and is well separated from other modes in terms of variance explained. The leading principal component correlates with the bottom water temperature at similar time scales as did the climate indices, implying impact from large-scale climate. Two physical mechanisms could link the climate forcing to the bottom water variability. First, anomalous winds may alter production of dense shelf water by modulating open-water area over the shelf. Second, surface winds may alter the volume of dense water exported from the shelf by governing the Weddell Gyre's cyclonic vigor.</t>
  </si>
  <si>
    <t>[McKee, Darren C.; Yuan, Xiaojun; Gordon, Arnold L.; Huber, Bruce A.] Columbia Univ, Lamont Doherty Earth Observ, Palisades, NY 10964 USA; [Dong, Zhaoqian] Polar Res Inst China, Shanghai 200129, Peoples R China; [McKee, Darren C.; Gordon, Arnold L.] Columbia Univ, Dept Earth &amp; Environm Sci, New York, NY USA</t>
  </si>
  <si>
    <t>Columbia University; Polar Research Institute of China; Columbia University</t>
  </si>
  <si>
    <t>McKee, DC (corresponding author), Columbia Univ, Lamont Doherty Earth Observ, 61 Rte 9W, Palisades, NY 10964 USA.</t>
  </si>
  <si>
    <t>dcm2117@columbia.edu</t>
  </si>
  <si>
    <t>Yuan, Xiaojun/AAI-7770-2020; Gordon, Arnold L./H-1049-2011</t>
  </si>
  <si>
    <t>Huber, Bruce/0000-0001-6413-1614; Gordon, Arnold L./0000-0001-6480-6095; Yuan, Xiaojun/0000-0002-6530-1619</t>
  </si>
  <si>
    <t>Cooperative Institute for Climate Applications Research (CICAR), National Oceanic and Atmospheric Administration, U.S. Department of Commerce [NA08OAR4320754]; NSF [ANT 07-39509, OPP 02-30284]; Ministry of Science and Technology, China [2006BAB18B02]; Office of Polar Programs (OPP); Directorate For Geosciences [0739509] Funding Source: National Science Foundation</t>
  </si>
  <si>
    <t>Cooperative Institute for Climate Applications Research (CICAR), National Oceanic and Atmospheric Administration, U.S. Department of Commerce(National Oceanic Atmospheric Admin (NOAA) - USA); NSF(National Science Foundation (NSF)); Ministry of Science and Technology, China(Ministry of Science and Technology, ChinaMinistry of Science, ICT &amp; Future Planning, Republic of Korea); Office of Polar Programs (OPP); Directorate For Geosciences(National Science Foundation (NSF)NSF - Directorate for Geosciences (GEO))</t>
  </si>
  <si>
    <t>We would like to thank the two anonymous reviewers whose insightful comments greatly improved this manuscript. We would also like to thank Doug Martinson for his help in developing the bootstrapping methods used. This research was funded in full or in part under the Cooperative Institute for Climate Applications Research (CICAR) award number NA08OAR4320754 from the National Oceanic and Atmospheric Administration, U.S. Department of Commerce. The statements, findings, conclusions, and recommendations are those of the author(s) and do not necessarily reflect the views of the National Oceanic and Atmospheric Administration or the Department of Commerce. Additionally, McKee was supported in part by the LDEO Climate Center, Yuan was supported by NSF grants ANT 07-39509 and OPP 02-30284, and Dong was supported by the Program on Sustaining Science and Technology (grant 2006BAB18B02) from the Ministry of Science and Technology, China. Lamont-Doherty Earth Observatory contribution 7455.</t>
  </si>
  <si>
    <t>C05020</t>
  </si>
  <si>
    <t>10.1029/2010JC006484</t>
  </si>
  <si>
    <t>770RD</t>
  </si>
  <si>
    <t>WOS:000291105300002</t>
  </si>
  <si>
    <t>Spencer, CJ; Harris, RA; Sachan, HK; Saxena, A</t>
  </si>
  <si>
    <t>Spencer, Christopher J.; Harris, Ron A.; Sachan, Himanshu Kumar; Saxena, Anubhooti</t>
  </si>
  <si>
    <t>Depositional provenance of the Greater Himalayan Sequence, Garhwal Himalaya, India: Implications for tectonic setting</t>
  </si>
  <si>
    <t>JOURNAL OF ASIAN EARTH SCIENCES</t>
  </si>
  <si>
    <t>Geochemistry; Provenance; Himalayan orogen; Greater Himalayan Sequence</t>
  </si>
  <si>
    <t>METASEDIMENTARY ROCKS; ISOTOPIC CONSTRAINTS; NORTHWEST HIMALAYA; SEDIMENTARY-ROCKS; FLUID INCLUSION; STRATIGRAPHY; EVOLUTION; GONDWANA; AGE; GEOCHEMISTRY</t>
  </si>
  <si>
    <t>The Greater Himalayan Sequence in the Garhwal Region of India is a 14-20 km thick succession of various pelitic and psammitic metasediments which contain individual units that are traceable for at least 250 km along the strike of the Himalayan range in northwestern India. Bulk rock geochemical analyses show a chemical index of alteration (CIA) values of 57-93 with an average of 67, average (La/Yb)(N) = 18.6, average (La/Sm)(N) = 3.7, Cr/Th range between 0.2 and 214.5, and Th/Sc range between 0.2 and 10.3. The various geochemical tectonic indicators reveal a signature akin to an active continental margin. A low degree of weathering and high concentrations of incompatible/compatible element ratios respectively point to a proximal and primarily a silicic source region. The occurrence of three-phase halite bearing primary fluid inclusions in the quartz grains of metasediments indicate their provenance from a magmatic terrain. Potential source regions of the Greater Himalayan Sequence are the East African Orogeny, the East Antarctic Orogeny, and/or the Bhimpedian Orogeny of Northern India. Fluid inclusions in the Greater Himalayan Sequence (three-phase halite bearing inclusions, moderately high temperature bi-aqueous inclusions, and carbonic-aqueous inclusions) estimate maximum salinity at similar to 33 wt.% NaCl. This occurrence of fluid inclusions is also consistent with a magmatic terrain. (C) 2011 Elsevier Ltd. All rights reserved.</t>
  </si>
  <si>
    <t>[Spencer, Christopher J.; Harris, Ron A.] Brigham Young Univ, Dept Geol Sci, Provo, UT 84602 USA; [Sachan, Himanshu Kumar; Saxena, Anubhooti] Wadia Inst Himalayan Geol, Dehra Dun 248001, Uttar Pradesh, India</t>
  </si>
  <si>
    <t>Brigham Young University; Department of Science &amp; Technology (India); Wadia Institute of Himalayan Geology (WIHG)</t>
  </si>
  <si>
    <t>Spencer, CJ (corresponding author), Brigham Young Univ, Dept Geol Sci, Provo, UT 84602 USA.</t>
  </si>
  <si>
    <t>chrisspencer@byu.edu</t>
  </si>
  <si>
    <t>Sachan, Himanshu Kumar/AGR-0479-2022; Spencer, Christopher/E-4345-2013</t>
  </si>
  <si>
    <t>Sachan, Himanshu Kumar/0000-0002-4160-1836; Spencer, Christopher/0000-0003-4264-3701</t>
  </si>
  <si>
    <t>1367-9120</t>
  </si>
  <si>
    <t>1878-5786</t>
  </si>
  <si>
    <t>J ASIAN EARTH SCI</t>
  </si>
  <si>
    <t>J. Asian Earth Sci.</t>
  </si>
  <si>
    <t>MAY 25</t>
  </si>
  <si>
    <t>10.1016/j.jseaes.2011.02.001</t>
  </si>
  <si>
    <t>773FA</t>
  </si>
  <si>
    <t>WOS:000291291200011</t>
  </si>
  <si>
    <t>Holland, PR; Corr, HFJ; Pritchard, HD; Vaughan, DG; Arthern, RJ; Jenkins, A; Tedesco, M</t>
  </si>
  <si>
    <t>Holland, Paul R.; Corr, Hugh F. J.; Pritchard, Hamish D.; Vaughan, David G.; Arthern, Robert J.; Jenkins, Adrian; Tedesco, Marco</t>
  </si>
  <si>
    <t>The air content of Larsen Ice Shelf</t>
  </si>
  <si>
    <t>PENINSULA SUMMER TEMPERATURES; HEMISPHERE ANNULAR MODE; ANTARCTIC PENINSULA; FIRN</t>
  </si>
  <si>
    <t>The air content of glacial firn determines the effect and attribution of observed changes in ice surface elevation, but is currently measurable only using labor-intensive ground-based techniques. Here a novel method is presented for using radar sounding measurements to decompose the total thickness of floating ice shelves into thicknesses of solid ice and firn air (or firn water). The method is applied to a 1997/98 airborne survey of Larsen Ice Shelf, revealing large spatial gradients in air content that are consistent with existing measurements and local meteorology. The gradients appear to be governed by meltwater-induced firn densification. We find sufficient air in Larsen C Ice Shelf for increased densification to account for its previously observed surface lowering, and the rate of lowering superficially agrees with published trends in melting. This does not preclude a contribution to the lowering from oceanic basal melting, but a modern repeat of the survey could conclusively distinguish atmosphere-led from ocean-led change. The technique also holds promise for the calibration of firn-density models, derivation of ice thickness from surface elevation measurements, and calculation of the sea-level contribution of changes in grounded-ice discharge. Citation: Holland, P. R., H. F. J. Corr, H. D. Pritchard, D. G. Vaughan, R. J. Arthern, A. Jenkins, and M. Tedesco (2011), The air content of Larsen Ice Shelf, Geophys. Res. Lett., 38, L10503, doi: 10.1029/2011GL047245.</t>
  </si>
  <si>
    <t>[Holland, Paul R.; Corr, Hugh F. J.; Pritchard, Hamish D.; Vaughan, David G.; Arthern, Robert J.; Jenkins, Adrian] British Antarctic Survey, Cambridge CB3 0ET, England; [Tedesco, Marco] CUNY City Coll, New York, NY 10031 USA</t>
  </si>
  <si>
    <t>UK Research &amp; Innovation (UKRI); Natural Environment Research Council (NERC); NERC British Antarctic Survey; City University of New York (CUNY) System; City College of New York (CUNY)</t>
  </si>
  <si>
    <t>Vaughan, David/C-8348-2011; Jenkins, Adrian/IUN-2406-2023; Tedesco, Marco/F-7986-2015; Pritchard, Hamish Daniel/AAU-4696-2021; Corr, Hugh/C-5398-2011; Holland, Paul R/G-2796-2012</t>
  </si>
  <si>
    <t>Vaughan, David/0000-0002-9065-0570; Jenkins, Adrian/0000-0002-9117-0616</t>
  </si>
  <si>
    <t>L10503</t>
  </si>
  <si>
    <t>10.1029/2011GL047245</t>
  </si>
  <si>
    <t>770PT</t>
  </si>
  <si>
    <t>Green Accepted, Bronze, Green Published</t>
  </si>
  <si>
    <t>WOS:000291101600003</t>
  </si>
  <si>
    <t>Hogg, OT; Barnes, DKA; Griffiths, HJ</t>
  </si>
  <si>
    <t>Hogg, Oliver T.; Barnes, David K. A.; Griffiths, Huw J.</t>
  </si>
  <si>
    <t>Highly Diverse, Poorly Studied and Uniquely Threatened by Climate Change: An Assessment of Marine Biodiversity on South Georgia's Continental Shelf</t>
  </si>
  <si>
    <t>GEOGRAPHICALLY SEPARATED POPULATIONS; SEAWATER TEMPERATURES; ECOLOGICAL RELEVANCE; SCOTIA SEA; OCEAN; LIMITS; BIOGEOGRAPHY; COMMUNITIES; INDICATORS; EVOLUTION</t>
  </si>
  <si>
    <t>We attempt to quantify how significant the polar archipelago of South Georgia is as a source of regional and global marine biodiversity. We evaluate numbers of rare, endemic and range-edge species and how the faunal structure of South Georgia may respond to some of the fastest warming waters on the planet. Biodiversity data was collated from a comprehensive review of reports, papers and databases, collectively representing over 125 years of polar exploration. Classification of each specimen was recorded to species level and fully geo-referenced by depth, latitude and longitude. This information was integrated with physical data layers (e.g. temperature, salinity and flow) providing a visualisation of South Georgia's biogeography across spatial, temporal and taxonomic scales, placing it in the wider context of the Southern Hemisphere. This study marks the first attempt to map the biogeography of an archipelago south of the Polar Front. Through it we identify the South Georgian shelf as the most speciose region of the Southern Ocean recorded to date. Marine biodiversity was recorded as rich across taxonomic levels with 17,732 records yielding 1,445 species from 436 families, 51 classes and 22 phyla. Most species recorded were rare, with 35% recorded only once and 86% recorded,10 times. Its marine fauna is marked by the cumulative dominance of endemic and range-edge species, potentially at their thermal tolerance limits. Consequently, our data suggests the ecological implications of environmental change to the South Georgian marine ecosystem could be severe. If sea temperatures continue to rise, we suggest that changes will include depth profile shifts of some fauna towards cooler Antarctic Winter Water (90-150 m), the loss of some range-edge species from regional waters, and the wholesale extinction at a global scale of some of South Georgia's endemic species.</t>
  </si>
  <si>
    <t>[Hogg, Oliver T.; Barnes, David K. A.; Griffiths, Huw J.] British Antarctic Survey, Nat Environm Res Council, Cambridge CB3 0ET, England</t>
  </si>
  <si>
    <t>Hogg, OT (corresponding author), British Antarctic Survey, Nat Environm Res Council, Cambridge CB3 0ET, England.</t>
  </si>
  <si>
    <t>olgg@bas.ac.uk</t>
  </si>
  <si>
    <t>Griffiths, Huw J/0000-0003-1764-223X; Hogg, Oliver/0000-0003-1146-0590</t>
  </si>
  <si>
    <t>Darwin Initiative (DEFRA); Government of South Georgia; South Georgia Heritage Trust; South Sandwich Islands; Natural Environment Research Council [bas0100025] Funding Source: researchfish; NERC [bas0100025] Funding Source: UKRI</t>
  </si>
  <si>
    <t>Darwin Initiative (DEFRA)(Department for Environment, Food &amp; Rural Affairs (DEFRA)); Government of South Georgia; South Georgia Heritage Trust; South Sandwich Islands; Natural Environment Research Council(UK Research &amp; Innovation (UKRI)Natural Environment Research Council (NERC)); NERC(UK Research &amp; Innovation (UKRI)Natural Environment Research Council (NERC))</t>
  </si>
  <si>
    <t>This work was funded by grants from the Darwin Initiative (DEFRA), the Government of South Georgia and South Sandwich Islands, and the South Georgia Heritage Trust. The funders had no role in study design, data collection and analysis, decision to publish, or preparation of the manuscript.</t>
  </si>
  <si>
    <t>e19795</t>
  </si>
  <si>
    <t>10.1371/journal.pone.0019795</t>
  </si>
  <si>
    <t>769IQ</t>
  </si>
  <si>
    <t>Green Published, Green Submitted, Green Accepted, gold</t>
  </si>
  <si>
    <t>WOS:000291006500008</t>
  </si>
  <si>
    <t>Thomas, R; Frederick, E; Li, J; Krabill, W; Manizade, S; Paden, J; Sonntag, J; Swift, R; Yungel, J</t>
  </si>
  <si>
    <t>Thomas, R.; Frederick, E.; Li, J.; Krabill, W.; Manizade, S.; Paden, J.; Sonntag, J.; Swift, R.; Yungel, J.</t>
  </si>
  <si>
    <t>Accelerating ice loss from the fastest Greenland and Antarctic glaciers</t>
  </si>
  <si>
    <t>PINE ISLAND GLACIER; FORCE-PERTURBATION ANALYSIS; JAKOBSHAVN ISBRAE; WEST ANTARCTICA; PENINSULA; SHELVES; RETREAT; LEVEL</t>
  </si>
  <si>
    <t>Ice discharge from the fastest glaciers draining the Greenland and Antarctic ice sheets - Jakobshavn Isbrae (JI) and Pine Island Glacier (PIG)- continues to increase, and is now more than double that needed to balance snowfall in their catchment basins. Velocity increase probably resulted from decreased buttressing from thinning (and, for JI, breakup) of their floating ice tongues, and from reduced basal drag as grounding lines on both glaciers retreat. JI flows directly into the ocean as it becomes afloat, and here creep rates are proportional to the cube of bed depth. Rapid thinning of the PIG ice shelf increases the likelihood of its breakup, and subsequent rapid increase in discharge velocity. Results from a simple model indicate that JI velocities should almost double to &gt;20 km a(-1) by 2015, with velocities on PIG increasing to &gt;10 km a(-1) after breakup of its ice shelf. These high velocities would probably be sustained over many decades as the glaciers retreat within their long, very deep troughs. Resulting sea-level rise would average about 1.5 mm a(-1). Citation: Thomas, R., E. Frederick, J. Li, W. Krabill, S. Manizade, J. Paden, J. Sonntag, R. Swift, and J. Yungel (2011), Accelerating ice loss from the fastest Greenland and Antarctic glaciers, Geophys. Res. Lett., 38, L10502, doi:10.1029/2011GL047304.</t>
  </si>
  <si>
    <t>[Thomas, R.; Frederick, E.; Krabill, W.; Swift, R.] SIGMA Space Inc, NASA Wallops Flight Facil, Wallops Isl, VA 23337 USA; [Li, J.; Paden, J.] Univ Kansas, Ctr Remote Sensing Ice Sheets, Lawrence, KS 66044 USA; [Manizade, S.; Yungel, J.] URS Corp, NASA Wallops Flight Facil, Wallops Isl, VA 23337 USA; [Sonntag, J.] URS Corp, NASA Goddard Space Flight Ctr, Greenbelt, MD 20771 USA</t>
  </si>
  <si>
    <t>National Aeronautics &amp; Space Administration (NASA); NASA Goddard Space Flight Center; Wallops Flight Facility; University of Kansas; URS Corporation; National Aeronautics &amp; Space Administration (NASA); NASA Goddard Space Flight Center; Wallops Flight Facility; National Aeronautics &amp; Space Administration (NASA); NASA Goddard Space Flight Center; URS Corporation</t>
  </si>
  <si>
    <t>Thomas, R (corresponding author), SIGMA Space Inc, NASA Wallops Flight Facil, Bldg N-159, Wallops Isl, VA 23337 USA.</t>
  </si>
  <si>
    <t>robert_thomas@hotmail.com; earl.b.frederick@nasa.gov; jiluli@ku.edu; william.b.krabill@nasa.gov; serdar.s.manizade@nasa.gov; paden@cresis.ku.edu; john.g.sonntag@nasa.gov; robert.n.swift@nasa.gov; james.k.yungel@nasa.gov</t>
  </si>
  <si>
    <t>NASA [NAG5-12659, NAG5-12980, NNX09AR77G, NNG10HP19C]; NSF [OPP-01222520, ANT-0424589]; NASA [NNX09AR77G, 108790] Funding Source: Federal RePORTER</t>
  </si>
  <si>
    <t>NASA(National Aeronautics &amp; Space Administration (NASA)); NSF(National Science Foundation (NSF)); NASA(National Aeronautics &amp; Space Administration (NASA))</t>
  </si>
  <si>
    <t>Financial support for ATM surveys was provided by NASA's IceBridge Project and Cryospheric Sciences Program, and we thank the dedicated NASA P3 and DC8 flight crews, whose efforts allowed the safe and efficient collection of this data over some of the most isolated and extreme regions on this planet. Students, staff, and faculty at the Center for Remote Sensing of Ice Sheets (CReSIS) assisted with development of radars and associated signal processing techniques, with partial support from NASA grants NAG5-12659, NAG5-12980, NNX09AR77G and NNG10HP19C, and NSF grants OPP-01222520 and ANT-0424589.</t>
  </si>
  <si>
    <t>MAY 24</t>
  </si>
  <si>
    <t>L10502</t>
  </si>
  <si>
    <t>10.1029/2011GL047304</t>
  </si>
  <si>
    <t>770PS</t>
  </si>
  <si>
    <t>WOS:000291101400003</t>
  </si>
  <si>
    <t>Melbourne-Thomas, J; Johnson, CR; Fulton, EA</t>
  </si>
  <si>
    <t>Melbourne-Thomas, J.; Johnson, C. R.; Fulton, E. A.</t>
  </si>
  <si>
    <t>Regional-scale scenario analysis for the Meso-American Reef system: Modelling coral reef futures under multiple stressors</t>
  </si>
  <si>
    <t>ECOLOGICAL MODELLING</t>
  </si>
  <si>
    <t>Coral reef dynamics; Ecosystem model; Scenario analysis; Multiple stressors; Decision support; Meso-American Reef system</t>
  </si>
  <si>
    <t>LIMITED GROWTH; NUTRIENT ENRICHMENT; IMPACTS; MANAGEMENT; PHOSPHORUS; INTENSITY; SEDIMENT; NITROGEN; DYNAMICS; VARIABILITY</t>
  </si>
  <si>
    <t>Coral reefs worldwide are under threat from a wide variety of stressors and disturbances, many of which act in a synergistic manner to affect reef health. The future of coral reef systems at local, regional and global scales is highly uncertain, which poses a challenge to decision makers in designing appropriate strategies for managing human activities that affect reef resilience. Scenario analysis using simulation models can inform decision making by exploring possible futures under alternative management frameworks. Here, we use a spatially explicit, regional-scale simulation model for coral reefs in the Meso-American Reef system to explore the effects of multiple stressors and disturbances on reef state. Two complementary approaches to scenario analysis help to characterize potential reef responses to the combined impacts of climate and land-use change in the Meso-American Reef region. Sedimentation and nutrification emerge as key factors in decreasing the resilience of reef systems to climate change effects. The average community composition of degraded reef systems exposed to high levels of stress and disturbance tends to be more predictable than community composition on reefs that are subject to lower levels of stress and disturbance because degraded reefs tend to a common composition. This observation applies at both subregional (10(4)-10(5) m) and regional (10(6) m) scales and reflects a finite bound to the effects of degradation on coral reef communities. (C) 2011 Elsevier B.V. All rights reserved.</t>
  </si>
  <si>
    <t>[Melbourne-Thomas, J.; Johnson, C. R.] Univ Tasmania, Inst Marine &amp; Antarctic Studies, Hobart, Tas 7001, Australia; [Fulton, E. A.] CSIRO Wealth Oceans Flagship Marine &amp; Atmospher R, Hobart, Tas 7001, Australia</t>
  </si>
  <si>
    <t>University of Tasmania; Commonwealth Scientific &amp; Industrial Research Organisation (CSIRO)</t>
  </si>
  <si>
    <t>jessica.MelbourneThomas@utas.edu.au</t>
  </si>
  <si>
    <t>Melbourne-Thomas, Jess/N-2437-2019; Fulton, Beth/AAJ-1398-2021; Fulton, Beth/A-2871-2008; Melbourne-Thomas, Jessica/G-7995-2012; Johnson, Craig/E-1788-2013</t>
  </si>
  <si>
    <t>Melbourne-Thomas, Jess/0000-0001-6585-876X; Fulton, Beth/0000-0002-5904-7917; Johnson, Craig/0000-0002-9511-905X</t>
  </si>
  <si>
    <t>CSIRO-UTAS; CSIRO; Modelling and Decision Support (MDS) working group of the Coral Reef Targeted Research and Capacity Building for Management Program (CRTR-CBMP)</t>
  </si>
  <si>
    <t>CSIRO-UTAS(Commonwealth Scientific &amp; Industrial Research Organisation (CSIRO)); CSIRO(Commonwealth Scientific &amp; Industrial Research Organisation (CSIRO)); Modelling and Decision Support (MDS) working group of the Coral Reef Targeted Research and Capacity Building for Management Program (CRTR-CBMP)</t>
  </si>
  <si>
    <t>This work has been supported by the Modelling and Decision Support (MDS) working group of the Coral Reef Targeted Research and Capacity Building for Management Program (CRTR-CBMP). The first author was supported by a joint CSIRO-UTAS PhD Scholarship in Quantitative Marine Science (QMS) and a CSIRO Fellowship in Marine Ecosystem Modelling.</t>
  </si>
  <si>
    <t>0304-3800</t>
  </si>
  <si>
    <t>1872-7026</t>
  </si>
  <si>
    <t>ECOL MODEL</t>
  </si>
  <si>
    <t>Ecol. Model.</t>
  </si>
  <si>
    <t>10.1016/j.ecolmodel.2011.03.008</t>
  </si>
  <si>
    <t>768GA</t>
  </si>
  <si>
    <t>WOS:000290920500009</t>
  </si>
  <si>
    <t>Welch, DW; Melnychuk, MC; Payne, JC; Rechisky, EL; Porter, AD; Jackson, GD; Ward, BR; Vincent, SP; Wood, CC; Semmens, J</t>
  </si>
  <si>
    <t>Welch, David W.; Melnychuk, Michael C.; Payne, John C.; Rechisky, Erin L.; Porter, Aswea D.; Jackson, George D.; Ward, Bruce R.; Vincent, Stephen P.; Wood, Chris C.; Semmens, Jayson</t>
  </si>
  <si>
    <t>In situ measurement of coastal ocean movements and survival of juvenile Pacific salmon</t>
  </si>
  <si>
    <t>acoustic arrays; Pacific Ocean Shelf Tracking; mark-recapture</t>
  </si>
  <si>
    <t>COHO SALMON; SOCKEYE-SALMON; ONCORHYNCHUS-KISUTCH; CONTINENTAL-SHELF; MARINE MIGRATION; CHINOOK SALMON; WILD SALMON; WEST-COAST; BEHAVIOR; POPULATION</t>
  </si>
  <si>
    <t>Many salmon populations in both the Pacific and Atlantic Oceans have experienced sharply decreasing returns and high ocean mortality in the past two decades, with some populations facing extirpation if current marine survival trends continue. Our inability to monitor the movements of marine fish or to directly measure their survival precludes experimental tests of theories concerning the factors regulating fish populations, and thus limits scientific advance in many aspects of fisheries management and conservation. Here we report a large-scale synthesis of survival and movement rates of free-ranging juvenile salmon across four species, 13 river watersheds, and 44 release groups of salmon smolts (&gt;3,500 fish tagged in total) in rivers and coastal ocean waters, including an assessment of where mortality predominantly occurs during the juvenile migration. Of particular importance, our data indicate that, over the size range of smolts tagged, (i) smolt survival was not strongly related to size at release, (ii) tag burden did not appear to strongly reduce the survival of smaller animals, and (iii) for at least some populations, substantial mortality occurred much later in the migration and more distant from the river of origin than generally expected. Our findings thus have implications for determining where effort should be invested to improve the accuracy of salmon forecasting, to understand the mechanisms driving salmon declines, and to predict the impact of climate change on salmon stocks.</t>
  </si>
  <si>
    <t>[Welch, David W.; Rechisky, Erin L.; Porter, Aswea D.] Kintama Res Serv, Nanaimo, BC V9S 3B3, Canada; [Ward, Bruce R.] Univ British Columbia, Fisheries Ctr, Minist Environm, Fisheries Sci Sect, Vancouver, BC V6T 1Z4, Canada; [Payne, John C.] Vancouver Aquarium Marine Sci Ctr, Pacific Ocean Shelf Tracking Program, Vancouver, BC V6G 3E2, Canada; [Jackson, George D.] Weimar Coll, Dept Hlth Sci, Weimar, CA 95736 USA; [Vincent, Stephen P.] Seymour Salmonid Soc, N Vancouver, BC V7J 3V5, Canada; [Wood, Chris C.] Fisheries &amp; Oceans Canada, Pacific Biol Stn, Nanaimo, BC V9T 6N7, Canada; [Semmens, Jayson] Univ Tasmania, Aquaculture &amp; Coasts Ctr, Inst Marine &amp; Antarctic Studies, Hobart, Tas 7001, Australia</t>
  </si>
  <si>
    <t>University of British Columbia; Fisheries &amp; Oceans Canada; University of Tasmania</t>
  </si>
  <si>
    <t>Welch, DW (corresponding author), Kintama Res Serv, Nanaimo, BC V9S 3B3, Canada.</t>
  </si>
  <si>
    <t>david.welch@kintama.com</t>
  </si>
  <si>
    <t>Wood, Chris M/C-3021-2009; Jackson, George D/AAI-7315-2021; Melnychuk, Michael Colin/A-4680-2013</t>
  </si>
  <si>
    <t>Wood, Chris M/0000-0002-9542-2219; Melnychuk, Michael Colin/0000-0002-6088-7657; Semmens, Jayson/0000-0003-1742-6692</t>
  </si>
  <si>
    <t>Census of Marine Life; Gordon and Betty Moore Foundation; Pacific Salmon Commission; Pacific Salmon Foundation; Canadian National Railway; British Columbia Pacific Salmon Forum; US Department of Energy (Bonneville Power Administration); Northwest Power Planning and Conservation Council</t>
  </si>
  <si>
    <t>Census of Marine Life; Gordon and Betty Moore Foundation(Gordon and Betty Moore Foundation); Pacific Salmon Commission; Pacific Salmon Foundation; Canadian National Railway; British Columbia Pacific Salmon Forum; US Department of Energy (Bonneville Power Administration)(United States Department of Energy (DOE)); Northwest Power Planning and Conservation Council</t>
  </si>
  <si>
    <t>This work is a contribution to the Census of Marine Life and was supported by funding from the Census of Marine Life, Gordon and Betty Moore Foundation, Pacific Salmon Commission, Pacific Salmon Foundation, Canadian National Railway, the British Columbia Pacific Salmon Forum, the US Department of Energy (Bonneville Power Administration), and the Northwest Power Planning and Conservation Council. All work involving live fish was annually reviewed and approved as meeting or exceeding the standards laid out by the Canadian Council on Animal Care. Protocols were approved by the Pacific Region Animal Care Committee (Fisheries and Oceans Canada) in 2004 (04-026) and 2005 (05-004), and by the Animal Care Committee of Malaspina University-College (now Vancouver Island University) in 2006 (2006-08), 2007 (2006-08-R1), and 2008 (2006-08-R2).</t>
  </si>
  <si>
    <t>10.1073/pnas.1014044108</t>
  </si>
  <si>
    <t>768CB</t>
  </si>
  <si>
    <t>WOS:000290908000041</t>
  </si>
  <si>
    <t>Hansen, JO; Shearer, KD; Overland, M; Penn, MH; Krogdahl, Å; Mydland, LT; Storebakken, T</t>
  </si>
  <si>
    <t>Hansen, Jon Ovrvum; Shearer, Karl D.; Overland, Margareth; Penn, Michael H.; Krogdahl, Ashild; Mydland, Liv Torunn; Storebakken, Trond</t>
  </si>
  <si>
    <t>Replacement of LT fish meal with a mixture of partially deshelled krill meal and pea protein concentrates in diets for Atlantic salmon (Salmo salar)</t>
  </si>
  <si>
    <t>Atlantic salmon; Krill; Digestibility; Fluoride</t>
  </si>
  <si>
    <t>EUPHAUSIA-SUPERBA DANA; RAINBOW-TROUT; ANTARCTIC KRILL; NUTRIENT DIGESTIBILITIES; FEED-INTAKE; GELATINIZED STARCH; GROWTH; FLUORIDE; L.; OXYTETRACYCLINE</t>
  </si>
  <si>
    <t>The aim of the study was to investigate how the replacement of LT-fish meal by a 3.5:1 mixture of an experimentally produced partially deshelled krill meal (PDKM) and a pea protein concentrate (PPC) affected growth rate, digestibility of main nutrients and minerals, fluoride accumulation and histology in Atlantic salmon (Salmo solar). Five extruded diets were fed to salmon with an average weight of 546 g. distributed into 15 tanks equipped with flow through sea water. During extrusion, increased krill meal resulted in increased lipid content in the feed mash and subsequently decreased pellet expansion and decreased pellet water stability. The salmon had an optimum growth rate with a PDKM/PPC inclusion of 400 g kg(-1). Starch digestibility decreased and lipid digestibility increased with increasing PDKM/PPC inclusion. Fluoride in faeces increased linearly with increasing dietary fluoride levels. Plasma cholesterol decreased with increased PDKM/PPC inclusion, whereas no major differences were seen for triglycerides, free fatty acids, glucose, or bile acids. Fish fed increased dietary PDKM/PPC showed an increased prevalence of mild to moderate nephrosis. (C) 2011 Elsevier B.V. All rights reserved.</t>
  </si>
  <si>
    <t>[Hansen, Jon Ovrvum; Shearer, Karl D.; Overland, Margareth; Mydland, Liv Torunn; Storebakken, Trond] Norwegian Univ Life Sci, Aquaculture Prot Ctr, CoE, Dept Anim &amp; Aquaculture Sci, NO-1432 As, Norway; [Penn, Michael H.; Krogdahl, Ashild] Norwegian Sch Vet Sci, Aquaculture Prot Ctr, CoE, Dept Basic Sci &amp; Aquat Med, NO-0033 Oslo, Norway</t>
  </si>
  <si>
    <t>Norwegian University of Life Sciences; Norwegian University of Life Sciences</t>
  </si>
  <si>
    <t>Storebakken, T (corresponding author), Norwegian Univ Life Sci, Aquaculture Prot Ctr, CoE, Dept Anim &amp; Aquaculture Sci, POB 5003, NO-1432 As, Norway.</t>
  </si>
  <si>
    <t>Øverland, Margareth/G-3451-2012; storebakken, trond/E-8050-2011; Mydland, Liv Torunn/AAO-2783-2020</t>
  </si>
  <si>
    <t>KrillSea Group AS, Alesund, Norway; Norwegian University of Life Sciences</t>
  </si>
  <si>
    <t>The research was supported by KrillSea Group AS, Alesund, Norway. We are grateful to Dr. Johan Hogset Jansen for verification of the histology findings. J. Ovrum Hansen was supported by a PhD grant from The Norwegian University of Life Sciences.</t>
  </si>
  <si>
    <t>MAY 21</t>
  </si>
  <si>
    <t>10.1016/j.aquaculture.2011.02.038</t>
  </si>
  <si>
    <t>768JO</t>
  </si>
  <si>
    <t>WOS:000290930500015</t>
  </si>
  <si>
    <t>Bahr, A; Nürnberg, D; Schönfeld, J; Garbe-Schönberg, D</t>
  </si>
  <si>
    <t>Bahr, Andre; Nuernberg, Dirk; Schoenfeld, Joachim; Garbe-Schoenberg, Dieter</t>
  </si>
  <si>
    <t>Hydrological variability in Florida Straits during Marine Isotope Stage 5 cold events</t>
  </si>
  <si>
    <t>ATLANTIC MERIDIONAL CIRCULATION; INTERTROPICAL CONVERGENCE ZONE; SEA-SURFACE TEMPERATURE; NORTH-ATLANTIC; THERMOHALINE CIRCULATION; PLANKTONIC-FORAMINIFERA; TROPICAL ATLANTIC; ABRUPT CHANGES; GULF-STREAM; OCEAN</t>
  </si>
  <si>
    <t>Modeling and proxy studies indicate that a reduction of Atlantic Meridional Overturning Circulation (AMOC) strength profoundly impacts temperatures and salinities in the (sub) tropical Atlantic, especially on subsurface levels. While previous studies focused on prominent periods of AMOC reduction during the last deglaciation, we aim to test whether similar reconfigurations of the subtropical hydrography occurred during the moderate climatic alterations punctuating the last interglacial Marine Isotope Stage (MIS) 5. Here, we present temperature and salinity records from a Florida Straits core by combining delta O-18 and Mg/Ca analyses on surface (Globigerinoides ruber, white) and deep-dwelling (Globorotalia crassaformis) foraminifera covering MIS 5 in high resolution. The data reveal increasing salinities at intermediate depths during interglacial cooling episodes, decoupled from relatively stable surface conditions. This probably indicates the spatial expansion of saline subtropical gyre waters due to enhanced Ekman downwelling and might also point to a changed density structure and altered geostrophic balance in Florida Straits. Notably, these oceanographic alterations are not consistently occurring during periods of AMOC reduction. The data suggest that the expansion of gyre waters into Florida Straits was impeded by the increasing influence of Antarctic Intermediate Water (AAIW) from MIS 5.5 to similar to 107 kyr BP. Afterward, increasingly positive benthic delta C-13 values imply a recession of AAIW, allowing the temporary expansion of gyre waters into Florida Straits. We argue that the inferred transient subtropical salt accumulation and warm pool expansion might have played a pivotal role in reinvigorating meridional overturning and dampen the severity of interglacial cold phases.</t>
  </si>
  <si>
    <t>[Bahr, Andre; Nuernberg, Dirk; Schoenfeld, Joachim] Leibniz Inst Marine Sci IFM GEOMAR, D-24148 Kiel, Germany; [Garbe-Schoenberg, Dieter] Univ Kiel, Inst Geosci, D-24118 Kiel, Germany</t>
  </si>
  <si>
    <t>Bahr, A (corresponding author), Leibniz Inst Marine Sci IFM GEOMAR, Wischhofstr 1-3, D-24148 Kiel, Germany.</t>
  </si>
  <si>
    <t>a.bahr@em.uni-frankfurt.de</t>
  </si>
  <si>
    <t>Garbe-Schönberg, Dieter/AAO-3827-2020; Garbe-Schönberg, Dieter/E-2439-2016</t>
  </si>
  <si>
    <t>Garbe-Schönberg, Dieter/0000-0001-9006-9463; Bahr, Andre/0000-0001-5890-8773</t>
  </si>
  <si>
    <t>German Research Foundation (DFG) [SPP1266]</t>
  </si>
  <si>
    <t>We kindly acknowledge the support and cooperation of captain and crew during R/V Sonne Cruise 164 (RASTA). Lulzim Haxhiaj (stable isotope laboratory, IFM-GEOMAR), Karin Kiessling (ICP-OES Laboratory, Kiel University), and Nadine Gehre provided valuable laboratory assistance. The contributions of Hanno Kinkel (Kiel), Jenny Lezius (Bremerhaven), and Jorg Steinlochner (Stuttgart) to establish the stratigraphy of core SO164-17-2 are gratefully acknowledged. We thank Cyrus Karas, Carsten Eden, and Sascha Flogel for helpful discussions during the progress of this study as well as Editor Chris Charles and two anonymous reviewers for their constructive comments which significantly improved the manuscript. This work has been financed by the German Research Foundation (DFG) in the framework of the German Research Priority Program SPP1266 (INTERDYNAMIK, Project LOOP, Nu 60/17-1).</t>
  </si>
  <si>
    <t>PA2214</t>
  </si>
  <si>
    <t>10.1029/2010PA002015</t>
  </si>
  <si>
    <t>768CN</t>
  </si>
  <si>
    <t>WOS:000290909200001</t>
  </si>
  <si>
    <t>Krumpen, T; Hölemann, JA; Willmes, S; Maqueda, MAM; Busche, T; Dmitrenko, IA; Gerdes, R; Haas, C; Heinemann, G; Hendricks, S; Kassens, H; Rabenstein, L; Schröder, D</t>
  </si>
  <si>
    <t>Krumpen, T.; Hoelemann, J. A.; Willmes, S.; Maqueda, M. A. Morales; Busche, T.; Dmitrenko, I. A.; Gerdes, R.; Haas, C.; Heinemann, G.; Hendricks, S.; Kassens, H.; Rabenstein, L.; Schroeder, D.</t>
  </si>
  <si>
    <t>Sea ice production and water mass modification in the eastern Laptev Sea</t>
  </si>
  <si>
    <t>TIME-DEPENDENT MODEL; POLYNYA FLUX MODEL; INTERANNUAL VARIABILITY; COASTAL POLYNYA; THICKNESS; SATELLITE; WIND; WINTER; SIZE; HYDROGRAPHY</t>
  </si>
  <si>
    <t>A simple polynya flux model driven by standard atmospheric forcing is used to investigate the ice formation that took place during an exceptionally strong and consistent western New Siberian (WNS) polynya event in 2004 in the Laptev Sea. Whether formation rates are high enough to erode the stratification of the water column beneath is examined by adding the brine released during the 2004 polynya event to the average winter density stratification of the water body, preconditioned by summers with a cyclonic atmospheric forcing (comparatively weakly stratified water column). Beforehand, the model performance is tested through a simulation of a well-documented event in April 2008. Neglecting the replenishment of water masses by advection into the polynya area, we find the probability for the occurrence of density-driven convection down to the bottom to be low. Our findings can be explained by the distinct vertical density gradient that characterizes the area of the WNS polynya and the apparent lack of extreme events in the eastern Laptev Sea. The simple approach is expected to be sufficiently rigorous, since the simulated event is exceptionally strong and consistent, the ice production and salt rejection rates are likely to be overestimated, and the amount of salt rejected is distrusted over a comparatively weakly stratified water column. We conclude that the observed erosion of the halocline and formation of vertically mixed water layers during a WNS polynya event is therefore predominantly related to wind-and tidally driven turbulent mixing processes.</t>
  </si>
  <si>
    <t>[Krumpen, T.; Gerdes, R.; Hendricks, S.] Alfred Wegener Inst, Dept Sea Ice Phys, D-27570 Bremerhaven, Germany; [Hoelemann, J. A.] Alfred Wegener Inst, Dept Observat Oceanog, D-27570 Bremerhaven, Germany; [Willmes, S.; Heinemann, G.; Schroeder, D.] Univ Trier, Dept Environm Meteorol, D-54286 Trier, Germany; [Maqueda, M. A. Morales] Natl Oceanog Ctr, Liverpool L3 5DA, Merseyside, England; [Busche, T.] German Aerosp Ctr, Microwave &amp; Radar Inst, D-82234 Wesseling, Germany; [Dmitrenko, I. A.; Kassens, H.] Univ Kiel, Leibniz Inst Marine Sci, D-24148 Kiel, Germany; [Haas, C.] Univ Alberta, Dept Earth &amp; Atmospher Sci, Edmonton, AB T6G 2E3, Canada; [Rabenstein, L.] Swiss Fed Inst Technol, Inst Geophys, CH-8092 Zurich, Switzerland</t>
  </si>
  <si>
    <t>Helmholtz Association; Alfred Wegener Institute, Helmholtz Centre for Polar &amp; Marine Research; Helmholtz Association; Alfred Wegener Institute, Helmholtz Centre for Polar &amp; Marine Research; Universitat Trier; NERC National Oceanography Centre; Helmholtz Association; German Aerospace Centre (DLR); University of Kiel; Helmholtz Association; GEOMAR Helmholtz Center for Ocean Research Kiel; University of Alberta; Swiss Federal Institutes of Technology Domain; ETH Zurich</t>
  </si>
  <si>
    <t>Krumpen, T (corresponding author), Alfred Wegener Inst, Dept Sea Ice Phys, Busse Str 24, D-27570 Bremerhaven, Germany.</t>
  </si>
  <si>
    <t>tkrumpen@awi.de</t>
  </si>
  <si>
    <t>Hendricks, Stefan/D-5168-2011; Maqueda, Miguel Angel Morales/AAJ-8138-2020; Rabenstein, Lasse/D-5006-2011; Krumpen, Thomas/D-5163-2011; Willmes, Sascha/J-5796-2012; Hoelemann, Jens/N-3608-2016</t>
  </si>
  <si>
    <t>Hendricks, Stefan/0000-0002-1412-3146; Krumpen, Thomas/0000-0001-6234-8756; Hoelemann, Jens/0000-0001-5102-4086; Dmitrenko, Igor/0000-0001-8388-7839</t>
  </si>
  <si>
    <t>BMBF [03G0639A]; Alfred Wegener Institute; German Federal Ministry of Economics and Technology (BMWi); Natural Environment Research Council [noc010012] Funding Source: researchfish</t>
  </si>
  <si>
    <t>BMBF(Federal Ministry of Education &amp; Research (BMBF)); Alfred Wegener Institute; German Federal Ministry of Economics and Technology (BMWi)(Federal Ministry for Economic Affairs and Energy (BMWi)); Natural Environment Research Council(UK Research &amp; Innovation (UKRI)Natural Environment Research Council (NERC))</t>
  </si>
  <si>
    <t>This work was carried out as part of the German-Russian cooperation System Laptev Sea, funded by the BMBF under grant 03G0639A and the Alfred Wegener Institute. Envisat satellite data and AVHRR images were obtained through ESA Project EO-500  Formation, transport and distribution of sediment-laden sea ice in the Arctic Shelf seas and the U.S. National Oceanic and Administration (NOAA) Comprehesive Large Array data Stewardship System (CLASS), respectively. Thanks to the Arctic and Antarctic Research Institute (AARI) for the provision of the hydrographic data set, the German Aerospace Center (DLR) for the provision of the TerraSAR-X imagery (grand COA0388), and the German Federal Ministry of Economics and Technology (BMWi) for their support. The authors also very much appreciate numerous helpful comments and suggestions made by Sonke Maus from the GFI, University Bergen, and Sergey Kirillov from the AARI.</t>
  </si>
  <si>
    <t>C05014</t>
  </si>
  <si>
    <t>10.1029/2010JC006545</t>
  </si>
  <si>
    <t>767RO</t>
  </si>
  <si>
    <t>WOS:000290873900002</t>
  </si>
  <si>
    <t>Janin, M; Hémond, C; Guillou, H; Maia, M; Johnson, KTM; Bollinger, C; Liorzou, C; Mudholkar, A</t>
  </si>
  <si>
    <t>Janin, M.; Hemond, C.; Guillou, H.; Maia, M.; Johnson, K. T. M.; Bollinger, C.; Liorzou, C.; Mudholkar, A.</t>
  </si>
  <si>
    <t>Hot spot activity and tectonic settings near Amsterdam-St. Paul plateau (Indian Ocean)</t>
  </si>
  <si>
    <t>SECULAR VARIATION; TRIPLE JUNCTION; MANTLE PLUMES; LAVA FLOWS; MOTION; RIDGE; CALIBRATION; 40AR/39AR; HOTSPOT; AGE</t>
  </si>
  <si>
    <t>The Amsterdam-St. Paul (ASP) plateau is located in the central part of the Indian Ocean and results from the interaction between the ASP hot spot and the Southeast Indian Ridge (SEIR). It is located near the diffuse boundary between the Capricorn and Australian plates. The seamount chain of the Dead Poets (CDP) is northeast of the ASP plateau and may represent older volcanism related to the ASP hot spot; this chain consists of two groups of seamounts: (1) large flat-topped seamounts formed 8-10 Ma and (2) smaller conical seamounts formed during the last 2 Myr. The ASP hot spot has produced two pulses of magmatism that have been ponded under the ASP plateau and erupted along the divergent boundary between the Capricorn and Australian plates. The N65 degrees orientation of the CDP as well as the seamount's elongated shapes support an opening motion between the Capricorn and Australian plates along a suture oriented in the N155 degrees direction. This motion compared to the Antarctic plate amounts to an apparent velocity of 7.7 cm/yr northeastward for the Capricorn-Australian block. This motion does not fit with a fixed plume model. We suggest, therefore, that the ASP plume experienced a motion of about 1-2 cm/yr to the SW, which is opposite to the asthenospheric flow in this region and suggests a deep-seated plume.</t>
  </si>
  <si>
    <t>[Janin, M.; Hemond, C.; Maia, M.; Bollinger, C.; Liorzou, C.] Univ Europeenne Bretagne, Brest, France; [Janin, M.; Hemond, C.; Maia, M.; Bollinger, C.; Liorzou, C.] Univ Brest, CNRS, UMR 6538, Inst Univ Europeen Mer, F-29280 Plouzane, France; [Guillou, H.] CNRS, LSCE IPSL, Lab CEA CNRS UVSQ Domaine, F-91198 Gif Sur Yvette, France; [Johnson, K. T. M.] Univ Hawaii, Sch Ocean &amp; Earth Sci &amp; Technol, Honolulu, HI 96822 USA; [Mudholkar, A.] Natl Inst Oceanog, Panaji 403004, Goa, India</t>
  </si>
  <si>
    <t>Universite de Bretagne Occidentale; Centre National de la Recherche Scientifique (CNRS); CNRS - National Institute for Earth Sciences &amp; Astronomy (INSU); Universite de Bretagne Occidentale; Institut Universitaire Europeen de la Mer (IUEM); Universite Paris Saclay; CEA; Centre National de la Recherche Scientifique (CNRS); University of Hawaii System; Council of Scientific &amp; Industrial Research (CSIR) - India; CSIR - National Institute of Oceanography (NIO)</t>
  </si>
  <si>
    <t>Janin, M (corresponding author), Univ Europeenne Bretagne, Brest, France.</t>
  </si>
  <si>
    <t>Maia, Marcia/A-7076-2010</t>
  </si>
  <si>
    <t>Guillou, Herve/0000-0002-4811-7668</t>
  </si>
  <si>
    <t>Centre National de la Recherche Scientifique-Institut Nationale des Sciences de l'Univers; IPEV; EXTRAPLAC</t>
  </si>
  <si>
    <t>We thank Captain Duchesne, the crew of the Marion Dufresne II, and the PLURIEL scientific party for their help with the acquisition and treatment of the data. This manuscript benefited from constructive comments from A. Hofmann and J. Dyment. We are also indebted to F. Frey and A. Koppers, who helped improve the manuscript. The PLURIEL cruise was funded by the Centre National de la Recherche Scientifique-Institut Nationale des Sciences de l'Univers through the program SEDIT, by IPEV, and by the program EXTRAPLAC.</t>
  </si>
  <si>
    <t>MAY 20</t>
  </si>
  <si>
    <t>B05206</t>
  </si>
  <si>
    <t>10.1029/2010JB007800</t>
  </si>
  <si>
    <t>848CL</t>
  </si>
  <si>
    <t>WOS:000297026000001</t>
  </si>
  <si>
    <t>Evans, W; Hales, B; Strutton, PG</t>
  </si>
  <si>
    <t>Evans, Wiley; Hales, Burke; Strutton, Peter G.</t>
  </si>
  <si>
    <t>Seasonal cycle of surface ocean pCO2 on the Oregon shelf</t>
  </si>
  <si>
    <t>NORTHEAST PACIFIC; CONTINENTAL-SHELF; UPWELLING SYSTEM; CARBON-DIOXIDE; ORGANIC-MATTER; EL-NINO; CALIFORNIA; EVOLUTION; EXCHANGE; NEWPORT</t>
  </si>
  <si>
    <t>Previous work has shown that the Oregon shelf is a sink for atmospheric carbon dioxide (CO2) during the upwelling season; however, until now, summertime variability in CO2 exchange and sign of the flux for the rest of the year were unknown. Observations of the partial pressure of CO2 (pCO(2)) in surface waters from August 2007 to May 2010 from ships and a buoy were used with historical data to produce a composite seasonal cycle for the central Oregon midshelf. These data indicate that the region is highly variable, at times being either a sink or strong source for atmospheric CO2. Interannual wind variability was an important determining factor in shaping the sink/source nature of this system. Late summer and early autumn was most variable relative to the rest of the year. Winter pCO(2) was near or slightly below atmospheric levels. Strong shelf-wide undersaturated conditions were first observed in early spring and lasted until the upwelling season became developed. Peak upwelling season pCO(2) ranged from &lt;200 mu atm to &gt;1000 mu atm. In July 2008, ship and buoy data revealed previously unobserved high-pCO(2) waters (similar to 1000 mu atm) at the surface. These conditions persisted for nearly 2 months and drove this system to be only a weak net annual atmospheric CO2 sink of -0.3 +/- 6.8 mol m(-2) yr(-1). These data showed, for the first time, the seasonal cycle of surface ocean pCO(2) on the central Oregon midshelf and the impact of heretofore undocumented pCO(2) levels on an estimate of sea-air CO2 flux for this region.</t>
  </si>
  <si>
    <t>[Evans, Wiley; Hales, Burke] Oregon State Univ, Coll Ocean &amp; Atmospher Sci, Corvallis, OR 97331 USA; [Strutton, Peter G.] Univ Tasmania, Inst Marine &amp; Antarctic Studies, Hobart, Tas 7001, Australia</t>
  </si>
  <si>
    <t>Oregon State University; University of Tasmania</t>
  </si>
  <si>
    <t>Evans, W (corresponding author), Oregon State Univ, Coll Ocean &amp; Atmospher Sci, 104 Ocean Admin Bldg, Corvallis, OR 97331 USA.</t>
  </si>
  <si>
    <t>wevans@coas.oregonstate.edu</t>
  </si>
  <si>
    <t>Strutton, Peter/C-4466-2011; Evans, Wiley/U-8250-2018</t>
  </si>
  <si>
    <t>Strutton, Peter/0000-0002-2395-9471; Evans, Wiley/0000-0002-5450-0903</t>
  </si>
  <si>
    <t>NSF [OCE-0752576]; Directorate For Geosciences; Division Of Ocean Sciences [0836807] Funding Source: National Science Foundation</t>
  </si>
  <si>
    <t>NSF(National Science Foundation (NSF)); Directorate For Geosciences; Division Of Ocean Sciences(National Science Foundation (NSF)NSF - Directorate for Geosciences (GEO))</t>
  </si>
  <si>
    <t>We thank the crews of the OSU R/V Wecoma and R/V Elakha and of the NOAA ships McArthur II and Miller Freeman. We thank the OrCOOS program for providing the buoy and Walt Waldorf for his help with buoy deployments. We thank Bill Peterson for allowing our participation in his NH Line surveys. We thank Mike DeGrandpre, Cory Beatty, and Katherine Harris for sharing SAMI pCO2 data from the last buoy deployment presented in this paper. This work was supported by NSF Chemical Oceanography award OCE-0752576.</t>
  </si>
  <si>
    <t>C05012</t>
  </si>
  <si>
    <t>10.1029/2010JC006625</t>
  </si>
  <si>
    <t>767RN</t>
  </si>
  <si>
    <t>WOS:000290873800001</t>
  </si>
  <si>
    <t>Feldstein, SB</t>
  </si>
  <si>
    <t>Feldstein, Steven B.</t>
  </si>
  <si>
    <t>Subtropical Rainfall and the Antarctic Ozone Hole</t>
  </si>
  <si>
    <t>HEMISPHERE CLIMATE-CHANGE; TROPOSPHERE; EDDIES; FLOW</t>
  </si>
  <si>
    <t>Penn State Univ, University Pk, PA 16802 USA</t>
  </si>
  <si>
    <t>Pennsylvania Commonwealth System of Higher Education (PCSHE); Pennsylvania State University; Pennsylvania State University - University Park</t>
  </si>
  <si>
    <t>Feldstein, SB (corresponding author), Penn State Univ, University Pk, PA 16802 USA.</t>
  </si>
  <si>
    <t>sbf1@meteo.psu.edu</t>
  </si>
  <si>
    <t>10.1126/science.1206834</t>
  </si>
  <si>
    <t>766FO</t>
  </si>
  <si>
    <t>WOS:000290766600030</t>
  </si>
  <si>
    <t>Lishman, B; Sammonds, P; Feltham, D</t>
  </si>
  <si>
    <t>Lishman, Ben; Sammonds, Peter; Feltham, Danny</t>
  </si>
  <si>
    <t>A rate and state friction law for saline ice</t>
  </si>
  <si>
    <t>COULOMBIC SHEAR FAULTS; LOW SLIDING VELOCITIES; SEA-ICE; DEPENDENT FRICTION; STICK-SLIP; RHEOLOGY; FRACTURE; MECHANISM</t>
  </si>
  <si>
    <t>Sea ice friction models are necessary to predict the nature of interactions between sea ice floes. These interactions are of interest on a range of scales, for example, to predict loads on engineering structures in icy waters or to understand the basin-scale motion of sea ice. Many models use Amonton's friction law due to its simplicity. More advanced models allow for hydrodynamic lubrication and refreezing of asperities; however, modeling these processes leads to greatly increased complexity. In this paper we propose, by analogy with rock physics, that a rate-and state-dependent friction law allows us to incorporate memory (and thus the effects of lubrication and bonding) into ice friction models without a great increase in complexity. We support this proposal with experimental data on both the laboratory (similar to 0.1 m) and ice tank (similar to 1 m) scale. These experiments show that the effects of static contact under normal load can be incorporated into a friction model. We find the parameters for a first-order rate and state model to be A = 0.310, B = 0.382, and mu(0) = 0.872. Such a model then allows us to make predictions about the nature of memory effects in moving ice-ice contacts.</t>
  </si>
  <si>
    <t>[Lishman, Ben; Sammonds, Peter] UCL, Dept Earth Sci, Rock &amp; Ice Phys Lab, London WC1E 6BT, England; [Sammonds, Peter; Feltham, Danny] UCL, Ctr Polar Observat &amp; Modelling, London WC1E 6BT, England; [Feltham, Danny] British Antarctic Survey, Cambridge CB3 0ET, England</t>
  </si>
  <si>
    <t>University of London; University College London; University of London; University College London; UK Research &amp; Innovation (UKRI); Natural Environment Research Council (NERC); NERC British Antarctic Survey</t>
  </si>
  <si>
    <t>Lishman, B (corresponding author), UCL, Dept Earth Sci, Rock &amp; Ice Phys Lab, Gower St, London WC1E 6BT, England.</t>
  </si>
  <si>
    <t>b.lishman@ucl.ac.uk</t>
  </si>
  <si>
    <t>Lishman, Ben/0000-0002-8384-8140; Feltham, Daniel/0000-0003-2289-014X</t>
  </si>
  <si>
    <t>National Environmental Research Council; European Community [022441(RII3)]; Leverhulme Trust; NERC [cpom20001, NE/E014259/1, earth010002, bas0100028] Funding Source: UKRI; Natural Environment Research Council [earth010002, bas0100028, earth010006, cpom20001, NE/E014259/1] Funding Source: researchfish</t>
  </si>
  <si>
    <t>National Environmental Research Council(UK Research &amp; Innovation (UKRI)Natural Environment Research Council (NERC)); European Community; Leverhulme Trust(Leverhulme Trust); NERC(UK Research &amp; Innovation (UKRI)Natural Environment Research Council (NERC)); Natural Environment Research Council(UK Research &amp; Innovation (UKRI)Natural Environment Research Council (NERC))</t>
  </si>
  <si>
    <t>This work was funded by the National Environmental Research Council. The ice tank work was supported by the European Community's Sixth Framework Programme through the grant to the budget of the Integrated Infrastructure Initiative HYDRALAB III, contract 022441(RII3). The authors would like to thank the Hamburg Ship Model Basin (HSVA), especially the ice tank crew, for the hospitality and technical and scientific support. D. F. would like to thank the Leverhulme Trust for the award of a prize that made his participation in the HSVA experiments possible. The authors would like to thank Steve Boon, Eleanor Bailey, Adrian Turner, and Alex Wilchinsky for their contributions to the ice tank work.</t>
  </si>
  <si>
    <t>MAY 19</t>
  </si>
  <si>
    <t>C05011</t>
  </si>
  <si>
    <t>10.1029/2010JC006334</t>
  </si>
  <si>
    <t>767RL</t>
  </si>
  <si>
    <t>WOS:000290873600001</t>
  </si>
  <si>
    <t>Miller, KJ; Rowden, AA; Williams, A; Haüssermann, V</t>
  </si>
  <si>
    <t>Miller, Karen J.; Rowden, Ashley A.; Williams, Alan; Hauessermann, Vreni</t>
  </si>
  <si>
    <t>Out of Their Depth? Isolated Deep Populations of the Cosmopolitan Coral Desmophyllum dianthus May Be Highly Vulnerable to Environmental Change</t>
  </si>
  <si>
    <t>OCEAN ACIDIFICATION; SCLERACTINIAN CORALS; INTEGRATED SOFTWARE; SECONDARY STRUCTURE; MARINE ECOSYSTEMS; SEA; CONNECTIVITY; DIVERSITY; SEQUENCES; SEAMOUNTS</t>
  </si>
  <si>
    <t>Deep sea scleractinian corals will be particularly vulnerable to the effects of climate change, facing loss of up to70% of their habitat as the Aragonite Saturation Horizon (below which corals are unable to form calcium carbonate skeletons) rises. Persistence of deep sea scleractinian corals will therefore rely on the ability of larvae to disperse to, and colonise, suitable shallow-water habitat. We used DNA sequence data of the internal transcribed spacer (ITS), the mitochondrial ribosomal subunit (16S) and mitochondrial control region (MtC) to determine levels of gene flow both within and among populations of the deep sea coral Desmophyllum dianthus in SE Australia, New Zealand and Chile to assess the ability of corals to disperse into different regions and habitats. We found significant genetic subdivision among the three widely separated geographic regions consistent with isolation and limited contemporary gene flow. Furthermore, corals from different depth strata (shallow &lt;600 m, mid 1000-1500 m, deep &gt;1500 m) even on the same or nearby seamounts were strongly differentiated, indicating limited vertical larval dispersal. Genetic differentiation with depth is consistent with the stratification of the Subantarctic Mode Water, Antarctic Intermediate Water, the Circumpolar Deep and North Pacific Deep Waters in the Southern Ocean, and we propose that coral larvae will be retained within, and rarely migrate among, these water masses. The apparent absence of vertical larval dispersal suggests deep populations of D. dianthus are unlikely to colonise shallow water as the aragonite saturation horizon rises and deep waters become uninhabitable. Similarly, assumptions that deep populations will act as refuges for shallow populations that are impacted by activities such as fishing or mining are also unlikely to hold true. Clearly future environmental management strategies must consider both regional and depth-related isolation of deep-sea coral populations.</t>
  </si>
  <si>
    <t>[Miller, Karen J.] Univ Tasmania, Inst Marine &amp; Antarctic Studies, Hobart, Tas, Australia; [Rowden, Ashley A.] Natl Inst Water &amp; Atmospher Res, Wellington, New Zealand; [Williams, Alan] Commonwealth Sci &amp; Ind Res Org, Hobart, Tas, Australia; [Hauessermann, Vreni] Pontificia Univ Catolica Valparaiso, Escuela Ciencias Mar, Fac Recursos Nat, Valparaiso, Chile; [Hauessermann, Vreni] Huinay Sci Field Stn, Puerto Montt, Chile</t>
  </si>
  <si>
    <t>University of Tasmania; National Institute of Water &amp; Atmospheric Research (NIWA) - New Zealand; Commonwealth Scientific &amp; Industrial Research Organisation (CSIRO); Pontificia Universidad Catolica de Valparaiso</t>
  </si>
  <si>
    <t>Miller, KJ (corresponding author), Univ Tasmania, Inst Marine &amp; Antarctic Studies, Hobart, Tas, Australia.</t>
  </si>
  <si>
    <t>Karen.Miller@utas.edu.au</t>
  </si>
  <si>
    <t>Miller, Karen/V-4098-2019; Rowden, Ashley/ABG-6010-2020; Miller, Karen/A-7902-2011; Williams, Alan/C-6999-2012; Rowden, Ashley/O-9358-2019</t>
  </si>
  <si>
    <t>Williams, Alan/0000-0002-2867-7713; Rowden, Ashley/0000-0003-2975-2524; Haussermann, Verena Susanne/0000-0001-9630-7477</t>
  </si>
  <si>
    <t>New Zealand Foundation for Research, Science and Technology; Ministry of Fisheries; Australian Government Department of Environment and Heritage; CSIRO Wealth; Global Census of Marine Life on Seamounts (CenSeam)</t>
  </si>
  <si>
    <t>New Zealand Foundation for Research, Science and Technology(New Zealand Foundation for Research, Science and Technology); Ministry of Fisheries; Australian Government Department of Environment and Heritage(Australian Government); CSIRO Wealth; Global Census of Marine Life on Seamounts (CenSeam)</t>
  </si>
  <si>
    <t>This research was supported by the Global Census of Marine Life on Seamounts (CenSeam), the NIWA project 'Seamounts: their importance for fisheries and marine ecosystems' funded by the New Zealand Foundation for Research, Science and Technology and the Ministry of Fisheries, the Australian Government Department of Environment and Heritage and the CSIRO Wealth from Oceans Flagship. The funders had no role in study design, data collection and analysis, decision to publish, or preparation of the manuscript.</t>
  </si>
  <si>
    <t>MAY 18</t>
  </si>
  <si>
    <t>e19004</t>
  </si>
  <si>
    <t>10.1371/journal.pone.0019004</t>
  </si>
  <si>
    <t>765PE</t>
  </si>
  <si>
    <t>Green Published, gold, Green Accepted</t>
  </si>
  <si>
    <t>WOS:000290720200004</t>
  </si>
  <si>
    <t>Rogers, M</t>
  </si>
  <si>
    <t>Rogers, Mike</t>
  </si>
  <si>
    <t>An Empire of Ice: Scott, Shackleton, and the Heroic Age of Antarctic Science</t>
  </si>
  <si>
    <t>LIBRARY JOURNAL</t>
  </si>
  <si>
    <t>REED BUSINESS INFORMATION</t>
  </si>
  <si>
    <t>360 PARK AVENUE SOUTH, NEW YORK, NY 10010 USA</t>
  </si>
  <si>
    <t>0363-0277</t>
  </si>
  <si>
    <t>LIBR J</t>
  </si>
  <si>
    <t>Libr. J.</t>
  </si>
  <si>
    <t>MAY 15</t>
  </si>
  <si>
    <t>Information Science &amp; Library Science</t>
  </si>
  <si>
    <t>Social Science Citation Index (SSCI)</t>
  </si>
  <si>
    <t>767BF</t>
  </si>
  <si>
    <t>WOS:000290829600162</t>
  </si>
  <si>
    <t>Sliwinska, KK; Heilmann-Clausen, C</t>
  </si>
  <si>
    <t>Sliwinska, Katarzyna K.; Heilmann-Clausen, Claus</t>
  </si>
  <si>
    <t>Early Oligocene cooling reflected by the dinoflagellate cyst Svalbardella cooksoniae</t>
  </si>
  <si>
    <t>Dinoflagellate cysts; Eastern North Sea; Early Oligocene; Oila cooling event; Paleoclimate; Sea level change; Svalbardella cooksoniae; Areosphaeridium diktyoplokum</t>
  </si>
  <si>
    <t>NORTH-SEA BASIN; NEW-JERSEY; EOCENE; SEQUENCE; STRATIGRAPHY; BIOSTRATIGRAPHY; CALIBRATION; STRATOTYPE; ANTARCTICA; TRANSITION</t>
  </si>
  <si>
    <t>The early Oligocene interval in several boreholes from the eastern North Sea and Denmark has been studied for dinoflagellate cysts. The cold water dinoflagellate cyst Svalbardella cooksoniae was recorded in a narrow lowermost Oligocene interval in all offshore sections. A critical evaluation of previous records of Svalbardella cooksoniae reveals that it is present in the same narrow interval of Chron 12r, close to the NP21/NP22 boundary in many high and mid latitude Northern Hemisphere sections, ranging from the Greenland Sea in the north to Italy in the south. The Svalbardella cooksoniae interval is closely associated with the LO of the dinoflagellate cyst Areosphaeridium diktyoplokum. The age of the Svalbardella cooksoniae event indicates that it is synchronous with the Oi1a oxygen isotope maximum of Pekar and Miller (1996) and Pekar et al. (2002). In the Danish land area the Svalbardella cooksoniae interval and hence the Oi1a event is shown to coincide with an unconformity. A regional comparison shows that synchronous unconformities are present also in Belgium and New Jersey. A slightly older regional unconformity occurring on both sides of the North Atlantic coincides with the Oi1 oxygen isotope maximum of Pekar and Miller (1996). The finding of a sedimentary package separated by two successive regional unconformities is interpreted to reflect a significant, temporary eustatic sea level rise, and hence a melting phase on the East Antarctic ice sheet between the Oi1 and Oi1a glacioeustatic sea level falls. The paleogeographic distribution and lower frequency of Svalbardella during the earliest Oligocene Oi1a event, as compared with the mid Oligocene Oi2b Svalbardella spp. event, suggest that the Oi1a glacial episode was less severe than the Oi2b glaciation. This is in agreement with recent ice volume estimates for the two events. (C) 2011 Elsevier B.V. All rights reserved.</t>
  </si>
  <si>
    <t>[Sliwinska, Katarzyna K.; Heilmann-Clausen, Claus] Aarhus Univ, Dept Earth Sci, DK-8000 Aarhus C, Denmark</t>
  </si>
  <si>
    <t>Aarhus University</t>
  </si>
  <si>
    <t>Sliwinska, KK (corresponding author), Aarhus Univ, Dept Earth Sci, Hoegh Guldbergs Gade 2, DK-8000 Aarhus C, Denmark.</t>
  </si>
  <si>
    <t>kasia.sliwinska@geo.au.dk</t>
  </si>
  <si>
    <t>Heilmann-Clausen, Claus/A-4848-2012; Śliwińska, Kasia Kamila/G-9097-2018</t>
  </si>
  <si>
    <t>Śliwińska, Kasia Kamila/0000-0001-5488-8832</t>
  </si>
  <si>
    <t>Aarhus University (Denmark); Fur Museum (Denmark)</t>
  </si>
  <si>
    <t>Kirsten Rosendal, Department of Earth Sciences (Aarhus University), prepared the samples and Bartosz Goledowski, Department of Earth Sciences (Aarhus University), made an outline for Fig. 1B. Katarzyna K. Sliwinska acknowledges financial support for her PhD project from the Aarhus University (Denmark) and Fur Museum (Denmark). The Norwegian Petroleum Directorate (NPD) is acknowledged for placing palynological preparations from the 11/10-1 well at our disposal. The first author thanks Mikkel Jurgens for inspiring discussions and criticism of the first version of the manuscript. Robert Knox (British Geological Survey) and a second anonymous reviewer are thanked for their thoughtful and constructive suggestions and corrections which substantially improved the manuscript</t>
  </si>
  <si>
    <t>10.1016/j.palaeo.2011.02.027</t>
  </si>
  <si>
    <t>773EY</t>
  </si>
  <si>
    <t>WOS:000291291000012</t>
  </si>
  <si>
    <t>Fielding, CR; Browne, GH; Field, B; Florindo, F; Harwood, DM; Krissek, LA; Levy, RH; Panter, KS; Passchier, S; Pekar, SF</t>
  </si>
  <si>
    <t>Fielding, Christopher R.; Browne, Greg H.; Field, Brad; Florindo, Fabio; Harwood, David M.; Krissek, Lawrence A.; Levy, Richard H.; Panter, Kurt S.; Passchier, Sandra; Pekar, Stephen F.</t>
  </si>
  <si>
    <t>Sequence stratigraphy of the ANDRILL AND-2A drillcore, Antarctica: A long-term, ice-proximal record of Early to Mid-Miocene climate, sea-level and glacial dynamism</t>
  </si>
  <si>
    <t>Miocene; Antarctica; Sequence stratigraphy; Cyclicity; Mid-Miocene Climatic Optimum; ANDRILL SMS project</t>
  </si>
  <si>
    <t>ORBITALLY-INDUCED OSCILLATIONS; OLIGOCENE BATHYMETRIC CHANGES; WESTERN ROSS SEA; ISOTOPE STRATIGRAPHY; MCMURDO SOUND; NEW-JERSEY; SHEET; PROJECT; SEDIMENTATION; TRANSITION</t>
  </si>
  <si>
    <t>Present understanding of Antarctic climate change during the Early to Mid-Miocene, including major cycles of glacial expansion and contraction, relies in large part on stable isotope proxies from deep sea core drilling. Here, we summarize the lithostratigraphy of the ANDRILL Southern McMurdo Sound Project drillcore AND-2A. This core offers a hitherto unavailable ice-proximal stratigraphic archive from a high-accommodation continental margin setting, and provides clear evidence of repeated fluctuations in climate, ice expansion/contraction and attendant sea-level change over the period c. 20.2-14.2 Ma, with a more fragmentary record of Late Miocene and Pliocene time. The core is divided into seventy-four high-frequency (fourth- or fifth-order) glacimarine sequences recording repeated advances and retreats of glaciers into and out of the Victoria Land Basin. The section can be resolved into thirteen longer-term, composite (third-order) sequences, which comprise packages of higher frequency sequences that show a consistent stratigraphic stacking pattern (Stratigraphic Motif). The distribution of the six recognized motifs indicates intervals of less and more ice-proximal, and temperate to subpolar/polar climate, through the Miocene period. The core demonstrates a dynamic climate regime throughout the Early to Mid-Miocene that may be correlated to some previously-recognized events such as the Mid-Miocene Climatic Optimum, and provides a detailed reference point from which to evaluate stable isotope proxy records from the deep-sea. (C) 2011 Elsevier B.V. All rights reserved.</t>
  </si>
  <si>
    <t>[Fielding, Christopher R.; Harwood, David M.] Univ Nebraska, Dept Earth &amp; Atmospher Sci, Lincoln, NE 68588 USA; [Browne, Greg H.; Field, Brad; Levy, Richard H.] GNS Sci, Lower Hutt, New Zealand; [Florindo, Fabio] Inst Nazl Geofis &amp; Vulcanol, I-00143 Rome, Italy; [Krissek, Lawrence A.] Ohio State Univ, Sch Earth Sci, Columbus, OH 43210 USA; [Panter, Kurt S.] Bowling Green State Univ, Dept Geol, Bowling Green, OH 43403 USA; [Passchier, Sandra] Montclair State Univ, Dept Earth &amp; Environm Sci, Montclair, NJ 07043 USA; [Pekar, Stephen F.] Queens Coll, Sch Earth &amp; Environm Sci, Flushing, NY 11367 USA</t>
  </si>
  <si>
    <t>University of Nebraska System; University of Nebraska Lincoln; GNS Science - New Zealand; Istituto Nazionale Geofisica e Vulcanologia (INGV); University System of Ohio; Ohio State University; University System of Ohio; Bowling Green State University; Montclair State University; City University of New York (CUNY) System; Queens College NY (CUNY)</t>
  </si>
  <si>
    <t>Fielding, CR (corresponding author), Univ Nebraska, Dept Earth &amp; Atmospher Sci, 214 Bessey Hall, Lincoln, NE 68588 USA.</t>
  </si>
  <si>
    <t>cfielding2@unl.edu</t>
  </si>
  <si>
    <t>Field, Brad D/F-1062-2011; Panter, Kurt S/B-4486-2010; Passchier, Sandra/AAQ-2243-2021; Passchier, Sandra/B-1993-2008; Levy, Richard H/E-2477-2011; Florindo, Fabio/AAU-2548-2021; Passchier, Sandra/GYU-2381-2022; Florindo, Fabio/F-4119-2010; Florindo, Fabio/M-1459-2019</t>
  </si>
  <si>
    <t>Passchier, Sandra/0000-0001-7204-7025; Passchier, Sandra/0000-0001-7204-7025; Florindo, Fabio/0000-0002-6058-9748; Florindo, Fabio/0000-0002-6058-9748; Field, Bradley/0000-0001-5254-6636; Levy, Richard/0000-0002-8783-0167; Panter, Kurt S./0000-0002-0990-5880</t>
  </si>
  <si>
    <t>National Science Foundation [0342484]; Webster Drilling and Exploration Ltd. Antarctica New Zealand; Raytheon Polar Services Corporation; Crary Science and Engineering Laboratory; US National Science Foundation (NSF); NZ Foundation for Research, Science and Technology (FRST); Italian Antarctic Research Program (PNRA); German Research Foundation (DFG); Alfred Wegener Institute for Polar and Marine Research (Awl</t>
  </si>
  <si>
    <t>National Science Foundation(National Science Foundation (NSF)); Webster Drilling and Exploration Ltd. Antarctica New Zealand; Raytheon Polar Services Corporation; Crary Science and Engineering Laboratory; US National Science Foundation (NSF)(National Science Foundation (NSF)); NZ Foundation for Research, Science and Technology (FRST)(New Zealand Foundation for Research, Science and Technology); Italian Antarctic Research Program (PNRA); German Research Foundation (DFG)(German Research Foundation (DFG)); Alfred Wegener Institute for Polar and Marine Research (Awl</t>
  </si>
  <si>
    <t>This paper is based on work supported by the National Science Foundation under Cooperative Agreement No. 0342484 through sub-awards administered by the ANDRILL Science Management Office (SMO) at University of Nebraska-Lincoln as part of the ANDRILL U.S. Science Support Program. We thank the SMS Drillsite and Science teams for their efforts in acquiring and characterizing the AND-2A core, and Steve Fischbein at the ANDRILL SMO for assistance with diagrams. The ANDRILL Program is a multinational collaboration between the Antarctic programs of Germany, Italy, New Zealand and the United States. Antarctica New Zealand is the project operator and developed the drilling system in collaboration with Alex Pyne at Victoria University of Wellington and Webster Drilling and Exploration Ltd. Antarctica New Zealand supported the drilling team at Scott Base; Raytheon Polar Services Corporation supported the science team at McMurdo Station and the Crary Science and Engineering Laboratory. The ANDRILL Science Management Office at the University of Nebraska-Lincoln provided science planning and operational support. Scientific studies are jointly supported by the US National Science Foundation (NSF), NZ Foundation for Research, Science and Technology (FRST), the Italian Antarctic Research Program (PNRA), the German Research Foundation (DFG) and the Alfred Wegener Institute for Polar and Marine Research (Awl). Editor David Bottjer and two anonymous referees are thanked for their reviews of the submitted manuscript.</t>
  </si>
  <si>
    <t>10.1016/j.palaeo.2011.03.026</t>
  </si>
  <si>
    <t>WOS:000291291000028</t>
  </si>
  <si>
    <t>Shadwick, EH; Thomas, H; Gratton, Y; Leong, D; Moore, SA; Papakyriakou, T; Prowe, AEF</t>
  </si>
  <si>
    <t>Shadwick, E. H.; Thomas, H.; Gratton, Y.; Leong, D.; Moore, S. A.; Papakyriakou, T.; Prowe, A. E. F.</t>
  </si>
  <si>
    <t>Export of Pacific carbon through the Arctic Archipelago to the North Atlantic</t>
  </si>
  <si>
    <t>Arctic Archipelago; Inorganic carbon system; International polar year (IPY)</t>
  </si>
  <si>
    <t>DISSOLVED ORGANIC-CARBON; NET COMMUNITY PRODUCTION; FRESH-WATER; OCEAN ACIDIFICATION; INORGANIC CARBON; BEAUFORT SEA; ANTHROPOGENIC CARBON; SEASONAL VARIABILITY; ATMOSPHERIC CO2; CANADIAN SHELF</t>
  </si>
  <si>
    <t>During an east-to-west transect through the Canadian Arctic Archipelago, dissolved inorganic carbon (DIC) and total alkalinity (TA) were measured. The watermass composition throughout the Archipelago is determined using TA and the seawater oxygen isotope fractionation (delta O-18) data, and the carbon characteristics of these waters are examined. The influence of the Mackenzie River is primarily limited to the upper water column in the western Archipelago while the fraction of sea-ice melt water in the surface waters increases eastward with maximum values at the outflows of Jones and Lancaster Sounds. The depth of Pacific-origin upper halocline waters increases eastward through the Archipelago. In the western Archipelago, non-conservative variations in deep water DIC are used to compute a subsurface carbon surplus, which appears to be fueled by organic matter produced in the surface layer and by benthic respiration. The eastward transport of carbon from the Pacific, via the Arctic Archipelago, to the North Atlantic is estimated, and the impact of increased export of sea-ice melt water to the North Atlantic is discussed. (C) 2011 Elsevier Ltd. All rights reserved.</t>
  </si>
  <si>
    <t>[Shadwick, E. H.; Thomas, H.; Leong, D.; Moore, S. A.] Dalhousie Univ, Dept Oceanog, Halifax, NS, Canada; [Gratton, Y.] Ctr Eau Terre &amp; Environm, Inst Natl Rech Sci, Quebec City, PQ, Canada; [Papakyriakou, T.] Univ Manitoba, Ctr Earth Observat Sci, Winnipeg, MB, Canada; [Prowe, A. E. F.] IFM GEOMAR, Leibniz Inst Meereswissensch, D-24105 Kiel, Germany</t>
  </si>
  <si>
    <t>Dalhousie University; University of Quebec; Institut national de la recherche scientifique (INRS); University of Manitoba; Helmholtz Association; GEOMAR Helmholtz Center for Ocean Research Kiel</t>
  </si>
  <si>
    <t>Shadwick, EH (corresponding author), CSIRO &amp; Antarctic Climate &amp; Ecosyst Cooperat Res, Hobart, Tas, Australia.</t>
  </si>
  <si>
    <t>elizabeth.shadwick@csiro.au</t>
  </si>
  <si>
    <t>Prowe, AE Friederike/AAH-2497-2021</t>
  </si>
  <si>
    <t>Prowe, AE Friederike/0000-0001-5281-4696; Shadwick, Elizabeth/0000-0003-4008-3333; Papakyriakou, Tim/0000-0002-2019-9104</t>
  </si>
  <si>
    <t>Natural Sciences and Engineering Research Council of Canada (NSERC); ArcticNet; MetOcean Data Systems</t>
  </si>
  <si>
    <t>Natural Sciences and Engineering Research Council of Canada (NSERC)(Natural Sciences and Engineering Research Council of Canada (NSERC)); ArcticNet; MetOcean Data Systems</t>
  </si>
  <si>
    <t>This research is part of the Canadian IPY initiatives and the Circumpolar Flaw Lead System (CFL) Study, and was supported by the Natural Sciences and Engineering Research Council of Canada (NSERC), ArcticNet, and MetOcean Data Systems. The authors are grateful for the enthusiastic cooperation of the crew of the CCGS Amundsen and colleagues on board. We wish to thank Al Mucci for his insight and contribution to the field program, Nick Bates, and two anonymous reviewers, for their helpful suggestions. This work contributes to IGBP/IHDP-LOICZ.</t>
  </si>
  <si>
    <t>10.1016/j.csr.2011.01.014</t>
  </si>
  <si>
    <t>761SX</t>
  </si>
  <si>
    <t>WOS:000290422400005</t>
  </si>
  <si>
    <t>Rivaro, P; Ianni, C; Massolo, S; Abelmoschi, ML; De Vittor, C; Frache, R</t>
  </si>
  <si>
    <t>Rivaro, Paola; Ianni, Carmela; Massolo, Serena; Abelmoschi, M. Luisa; De Vittor, Cinzia; Frache, Roberto</t>
  </si>
  <si>
    <t>Distribution of dissolved labile and particulate iron and copper in Terra Nova Bay polynya (Ross Sea, Antarctica) surface waters in relation to nutrients and phytoplankton growth</t>
  </si>
  <si>
    <t>Iron; Copper; Total particulate matter; Antarctica; Ross Sea; Terra Nova Bay polynya</t>
  </si>
  <si>
    <t>SOUTHERN-OCEAN; TRACE-METALS; MARINE-PHYTOPLANKTON; SHELF WATERS; ENRICHMENT EXPERIMENTS; STRIPPING VOLTAMMETRY; PLANKTON COMMUNITIES; ORGANIC COMPLEXATION; NORTHEAST PACIFIC; CHLOROPHYLL-A</t>
  </si>
  <si>
    <t>The distribution of the dissolved labile and of the particulate Fe and Cu together with dissolved oxygen, nutrients, chlorophyll a and total particulate matter was investigated in the surface waters of Terra Nova Bay polynya in mid-January 2003. The measurements were conducted within the framework of the Italian Climatic Long-term Interactions of the Mass balance in Antarctica (CLIMA) Project activities. The labile dissolved fraction was operationally defined by employing the chelating resin Chelex-100, which retains free and loosely bound trace metal species. The dissolved labile Fe ranges from below the detection limit (0.15 nM) to 3.71 nM, while the dissolved labile Cu from below the detection limit (0.10 nM) to 0.90 nM. The lowest concentrations for both metals were observed at 20 m depth (the shallowest depth for which metals were measured). The concentration of the particulate Fe was about 5 times higher than the dissolved Fe concentration, ranging from 0.56 to 24.83 nM with an average of 6.45 nM. The concentration of the particulate Cu ranged from 0.01 to 0.71 nM with an average of 0.17 nM. The values are in agreement with the previous data collected in the same area. We evaluated the role of the Fe and Cu as biolimiting metals. The N:dissolved labile Fe ratios (18,900-130,666) would or would not allow a complete nitrate removal, on the basis of the N:Fe requirement ratios that we calculated considering the N:P and the C:P ratios estimated for diatoms. This finding partially agrees with the Si:N ratio that we found (2.29). Moreover we considered a possible influence of the dissolved labile Cu on the Fe uptake process. (C) 2011 Elsevier Ltd. All rights reserved.</t>
  </si>
  <si>
    <t>[Rivaro, Paola; Ianni, Carmela; Massolo, Serena; Abelmoschi, M. Luisa; Frache, Roberto] Univ Genoa, Dipartimento Chim &amp; Chim Ind, I-16146 Genoa, Italy; [De Vittor, Cinzia] Ist Nazl Oceanog &amp; Geofis Sperimentale, Dipartimento Oceanog Biol, I-34014 Trieste, Italy</t>
  </si>
  <si>
    <t>University of Genoa; Istituto Nazionale di Oceanografia e di Geofisica Sperimentale</t>
  </si>
  <si>
    <t>Rivaro, P (corresponding author), Univ Genoa, Dipartimento Chim &amp; Chim Ind, Via Dodecaneso 31, I-16146 Genoa, Italy.</t>
  </si>
  <si>
    <t>rivaro@chimica.unige.it; ianni@chimica.unige.it; massolo@chimica.unige.it; abel@chimica.unige.it; cdevittor@ogs.trieste.it; frache@chimica.unige.it</t>
  </si>
  <si>
    <t>Rivaro, Paola/I-8305-2012</t>
  </si>
  <si>
    <t>De Vittor, Cinzia/0000-0001-8552-4396</t>
  </si>
  <si>
    <t>ENEA</t>
  </si>
  <si>
    <t>ENEA(ENEA, Italy)</t>
  </si>
  <si>
    <t>This study was carried out as part of the Italian National Program for Research in Antarctica (CLIMA Project) and was funded by ENEA through a joint research program. The help of the crew on the R.V. Italica is kindly acknowledged. We are grateful to the group of Giancarlo Spezie, scientific chief of the CLIMA Project and of the 2003 Antarctic Italian Cruise, for CTD data.</t>
  </si>
  <si>
    <t>10.1016/j.csr.2011.02.013</t>
  </si>
  <si>
    <t>WOS:000290422400012</t>
  </si>
  <si>
    <t>Bigler, M; Svensson, A; Kettner, E; Vallelonga, P; Nielsen, ME; Steffensen, JP</t>
  </si>
  <si>
    <t>Bigler, Matthias; Svensson, Anders; Kettner, Ernesto; Vallelonga, Paul; Nielsen, Maibritt E.; Steffensen, Jorgen Peder</t>
  </si>
  <si>
    <t>Optimization of High-Resolution Continuous Flow Analysis for Transient Climate Signals in Ice Cores</t>
  </si>
  <si>
    <t>TRACE-ELEMENT; SYSTEM; MELTER; CARBON; ION</t>
  </si>
  <si>
    <t>Over the past two decades, continuous flow analysis (CFA) systems have been refined and widely used to measure aerosol constituents in polar and alpine ice cores in very high-depth resolution. Here we present a newly designed system consisting of sodium, ammonium, dust particles, and electrolytic meltwater conductivity detection modules. The system is optimized for high-resolution determination of transient signals in thin layers of deep polar ice cores. Based on standard measurements and by comparing sections of early Holocene and glacial ice from Greenland, we find that the new system features a depth resolution in the ice of a few millimeters which is considerably better than other CFA systems. Thus, the new system can resolve ice strata down to 10 mm thickness and has the potential of identifying annual layers in both Greenland and Antarctic ice cores throughout the last glacial cycle.</t>
  </si>
  <si>
    <t>[Bigler, Matthias; Svensson, Anders; Kettner, Ernesto; Vallelonga, Paul; Nielsen, Maibritt E.; Steffensen, Jorgen Peder] Univ Copenhagen, Niels Bohr Inst, Ctr Ice &amp; Climate, DK-2100 Copenhagen O, Denmark; [Bigler, Matthias] Univ Bern, Inst Phys, CH-3012 Bern, Switzerland; [Bigler, Matthias] Univ Bern, Oeschger Ctr Climate Change Res, CH-3012 Bern, Switzerland</t>
  </si>
  <si>
    <t>University of Copenhagen; Niels Bohr Institute; University of Bern; University of Bern</t>
  </si>
  <si>
    <t>Bigler, M (corresponding author), Univ Copenhagen, Niels Bohr Inst, Ctr Ice &amp; Climate, Juliane Maries Vej 30, DK-2100 Copenhagen O, Denmark.</t>
  </si>
  <si>
    <t>bigler@climate.unibe.ch</t>
  </si>
  <si>
    <t>Steffensen, Jorgen Peder/JFS-7831-2023; Svensson, Anders/A-2643-2010; Bigler, Matthias/HTT-3872-2023; Bishnoi, Mamta/AAQ-8346-2021; Vallelonga, Paul/I-9650-2016</t>
  </si>
  <si>
    <t>Steffensen, Jorgen Peder/0000-0002-5516-1093; Svensson, Anders/0000-0002-4364-6085; Bigler, Matthias/0000-0003-0184-4013; Bishnoi, Mamta/0000-0003-4987-0536; Vallelonga, Paul/0000-0003-1055-7235</t>
  </si>
  <si>
    <t>Denmark (SNF); Belgium (FNRS-CFB); France (IPEV); France (INSU/CNRS); Germany (AWI); Iceland (Rannls); Japan (MEXT); Sweden (SPRS); Switzerland (SNF); U.S. (NSF, Office of Polar)</t>
  </si>
  <si>
    <t>Denmark (SNF); Belgium (FNRS-CFB)(Fonds de la Recherche Scientifique - FNRS); France (IPEV); France (INSU/CNRS)(Centre National de la Recherche Scientifique (CNRS)); Germany (AWI); Iceland (Rannls); Japan (MEXT)(Ministry of Education, Culture, Sports, Science and Technology, Japan (MEXT)); Sweden (SPRS); Switzerland (SNF); U.S. (NSF, Office of Polar)(National Science Foundation (NSF))</t>
  </si>
  <si>
    <t>NGRIP is directed and organized by the Department of Geophysics at the Niels Bohr Institute for Astronomy, Physics and Geophysics, University of Copenhagen. It is supported by funding agencies in Denmark (SNF), Belgium (FNRS-CFB), France (IPEV and INSU/CNRS), Germany (AWI), Iceland (Rannls), Japan (MEXT), Sweden (SPRS), Switzerland (SNF), and the U.S. (NSF, Office of Polar Programs).</t>
  </si>
  <si>
    <t>10.1021/es200118j</t>
  </si>
  <si>
    <t>761UQ</t>
  </si>
  <si>
    <t>WOS:000290426900045</t>
  </si>
  <si>
    <t>Mahaney, WC; Hart, KM; Dohm, JM; Hancock, RGV; Costa, P; O'Reilly, SS; Kelleher, BP; Schwartz, S; Lanson, B</t>
  </si>
  <si>
    <t>Mahaney, William C.; Hart, Kris M.; Dohm, James M.; Hancock, Ronald G. V.; Costa, Pedro; O'Reilly, Shane S.; Kelleher, Brian P.; Schwartz, Stephane; Lanson, Bruno</t>
  </si>
  <si>
    <t>Aluminum extracts in Antarctic paleosols: Proxy data for organic compounds and bacteria and implications for Martian paleosols</t>
  </si>
  <si>
    <t>SEDIMENTARY GEOLOGY</t>
  </si>
  <si>
    <t>Antarctic and Martian paleosols; Fe-Al extracts; Al-p vs. C; Organic proxy data</t>
  </si>
  <si>
    <t>NORTHERN PLAINS; MARS; SOILS; FE; AL; EVOLUTION; ANALOGS; REGION; IRON</t>
  </si>
  <si>
    <t>Pyrophosphate-extractable Al has been used to establish the presence of organically-complexed compounds in middle latitude and tropical soils and paleosols on Earth. As proxy data used to establish the presence of organic molecules and trace movement within profiles, it has proved an accurate indicator of downward translocation in Spodosols (podzols). Antarctic paleosols, dating from Middle to Early Miocene age (15-20 Ma), are mineralic weathering profiles lacking A and B horizons. These profiles exhibit pavement/Cox/Cz/Cu horizons, largely with sandy silt textures, little clay, and exceedingly low concentrations of organic matter. Recent chemical investigations of 33 soil samples from the New Mountain and Aztec Mountain areas near the Inland Ice, adjacent to the Taylor Glacier, show that pyrophosphate-extractable Al concentrations vary in phase with organic carbon as determined by loss-on-ignition. While Al-extract concentrations in selected samples are low (&lt;0.15%), increasing values above nil approximately correlate positively with increases in bacterial populations of several common phylum, the extreme high numbers with more advanced biota including fossil Coleoptera. Available data suggest Al-p extracts may target samples which may have undergone minor chelation, and which over long periods of time might have a cumulative weathering effect resulting in the accumulation of small concentrations of organic matter. As such, Al-p extracts may prove useful in targeting the presence of life once in situ investigations of paleosols begin on Mars. (C) 2011 Elsevier B.V. All rights reserved.</t>
  </si>
  <si>
    <t>[Mahaney, William C.] Quaternary Surveys, Thornhill, ON L4J 1J4, Canada; [Hart, Kris M.; O'Reilly, Shane S.; Kelleher, Brian P.] Dublin City Univ, Sch Chem Sci, Dublin 9, Ireland; [Dohm, James M.] Univ Arizona, Dept Hydrol &amp; Water Resources, Tucson, AZ 85721 USA; [Hancock, Ronald G. V.] McMaster Univ, Dept Anthropol, Hamilton, ON L8S 4K1, Canada; [Costa, Pedro] Univ Lisbon, Dept Geol, P-1699 Lisbon, Portugal; [Schwartz, Stephane; Lanson, Bruno] Univ Grenoble 1, CNRS, IS Terre, Grenoble, France</t>
  </si>
  <si>
    <t>Dublin City University; University of Arizona; McMaster University; Universidade de Lisboa; Centre National de la Recherche Scientifique (CNRS); Communaute Universite Grenoble Alpes; Universite Grenoble Alpes (UGA)</t>
  </si>
  <si>
    <t>Mahaney, WC (corresponding author), Quaternary Surveys, 26 Thornhill Ave, Thornhill, ON L4J 1J4, Canada.</t>
  </si>
  <si>
    <t>arkose@rogers.com; hart.kris2@mail.dcu.ie; jmd@hwr.arizona.edu; ronhancock@ca.inter.net; ppcosta@fc.ul.pt; shane.oreilly8@mail.dcu.ie; brian.kelleher@dcu.ie; schwartz@ujf-grenoble.fr; bruno.lanson@ujf-grenoble.fr</t>
  </si>
  <si>
    <t>SCHWARTZ, Stéphane/F-6787-2011; Dohm, James M/A-3831-2014; O'Reilly, Shane/AAC-8698-2019; Costa, Pedro JM/I-1216-2012; Kelleher, Brian/D-6224-2012; O'Reilly, Shane/L-8918-2013; Lanson, Bruno/A-4207-2009</t>
  </si>
  <si>
    <t>SCHWARTZ, Stéphane/0000-0001-7942-7071; O'Reilly, Shane/0000-0001-6303-4329; Costa, Pedro JM/0000-0001-6573-0539; O'Reilly, Shane/0000-0001-6303-4329; Lanson, Bruno/0000-0003-1187-3221</t>
  </si>
  <si>
    <t>Quaternary Surveys, Toronto; New Zealand Antarctic Programme [KIWI-105]; Irish Environmental Protection Agency; Science Foundation of Ireland [GEOF509]; Geological Survey of Ireland</t>
  </si>
  <si>
    <t>Quaternary Surveys, Toronto; New Zealand Antarctic Programme; Irish Environmental Protection Agency(Environmental Protection Agency Ireland (EPA)); Science Foundation of Ireland(Science Foundation Ireland); Geological Survey of Ireland</t>
  </si>
  <si>
    <t>The research was funded by Quaternary Surveys, Toronto and the New Zealand Antarctic Programme-KIWI-105. The authors would also like to thank the Irish Environmental Protection Agency (STRIVE program), the Science Foundation of Ireland (GEOF509) and the Geological Survey of Ireland for funding. We also greatly appreciate the thoughtful reviews of both Dr. Alberto Fairen and an anonymous reviewer which ultimately resulted in an improved manuscript.</t>
  </si>
  <si>
    <t>0037-0738</t>
  </si>
  <si>
    <t>1879-0968</t>
  </si>
  <si>
    <t>SEDIMENT GEOL</t>
  </si>
  <si>
    <t>Sediment. Geol.</t>
  </si>
  <si>
    <t>10.1016/j.sedgeo.2011.02.007</t>
  </si>
  <si>
    <t>756YJ</t>
  </si>
  <si>
    <t>WOS:000290050400006</t>
  </si>
  <si>
    <t>Lastras, G; Acosta, J; Muñoz, A; Canals, M</t>
  </si>
  <si>
    <t>Lastras, G.; Acosta, J.; Munoz, A.; Canals, M.</t>
  </si>
  <si>
    <t>Submarine canyon formation and evolution in the Argentine Continental Margin between 44°30′S and 48°S</t>
  </si>
  <si>
    <t>GEOMORPHOLOGY</t>
  </si>
  <si>
    <t>Submarine canyon; Contourite depositional system; Argentina Continental Margin; Gullies; Canyon formation</t>
  </si>
  <si>
    <t>SOUTH-ATLANTIC; CURRENTS; SEA</t>
  </si>
  <si>
    <t>In the framework of the Vulnerable Marine Ecosystems (VME) of the High Seas of the South West Atlantic, large areas of the Argentine Continental Margin (ACM) between 44 degrees 30 ' S and 48 degrees S have been swath-mapped for the first time, obtaining full data coverage of the seafloor in this region between the outermost continental shelf and the middle slope down to 1600 m water depth. The slope is characterized by the presence of smooth terraces (Nagera, Perito Moreno and Piedra Buena) that widen towards the south, limited by morphological steps with evident signs of erosion in the form of scours. These terraces form part of the Argentine contourite depositional systems, generated by the interaction of the northwards flowing Antarctic water masses with the seafloor. Within the studied area, seven canyons and their multiple branches dissect the upper and middle continental slopes, from west to east, across the terraces and the steps. These canyons, which belong to the Patagonia submarine canyon system and are collected at a depth of similar to 3.5 km by a slope-parallel, SSW-NNE-oriented channel known as the Almirante Brown transverse canyon, display a large variety of morphologies. These include incisions from just a dozen of metres to 650 m, straight to highly meandering sections with sharp bends, well-developed levees and walls that reach 35 degrees in slope gradient, hanging branches, conspicuous axial incisions and multiple knickpoints. Only the northernmost canyon indents in the continental shelf, whereas the others start at the limit between the upper and middle slopes, and are often fed by small, straight, leveed gullies. The action of both across-slope processes represented by submarine canyons and along-slope processes represented by terracing and scouring conform the ACM as a peculiar mixed margin, with the presence of both contour and gravity currents at the same place at the same time. We propose that at present, along-slope erosion and transport mainly occurs along the Perito Moreno terrace, whereas across-slope processes are much more dominant in the Nagera terrace. Erosive bedforms such as crescent scours, generated by contour currents, contribute to the progressive bottom-up erosion of the Nagera terrace and act as an initial collector of across-slope transported sediment, that later, due to flow focusing and recurrence, incise and interconnect creating definitive canyons that progress upslope by retrogressive erosion until their head indents the shelf break. Changes in the balance between across-slope and along-slope transport would imply a disequilibrium in the combination of processes leading to canyon formation, producing canyon abandonment, and partial or total filling. These changes could be produced by a variation in the depth of the main interfaces of Antarctic water masses leading to either an increase or a decrease in the erosion and transport capacity of contour currents, and/or by an enhancement of across-slope transport related to an increase of sediment availability. (C) 2011 Elsevier B.V. All rights reserved.</t>
  </si>
  <si>
    <t>[Lastras, G.; Canals, M.] Univ Barcelona, GRC Geociencies Marines, E-08028 Barcelona, Spain; [Acosta, J.] Inst Espanol Oceanog, E-28002 Madrid, Spain; [Munoz, A.] TRAGSA Secretaria Gen Mar, E-28006 Madrid, Spain</t>
  </si>
  <si>
    <t>University of Barcelona; Spanish Institute of Oceanography</t>
  </si>
  <si>
    <t>Lastras, G (corresponding author), Univ Barcelona, GRC Geociencies Marines, E-08028 Barcelona, Spain.</t>
  </si>
  <si>
    <t>glastras@ub.edu</t>
  </si>
  <si>
    <t>Lastras, Galderic/A-6487-2013; Lastras, Galderic/HPF-8363-2023; Munoz Recio, Araceli/M-2521-2014; Canals, Miquel/F-4922-2013</t>
  </si>
  <si>
    <t>Lastras, Galderic/0000-0002-8756-3855; Lastras, Galderic/0000-0002-8756-3855; Munoz Recio, Araceli/0000-0002-8994-3093; Canals, Miquel/0000-0001-5267-7601</t>
  </si>
  <si>
    <t>IEO; SGM; GRACCIE-CONSOLIDER [CSD2007-00067]; Generalitat de Catalunya Grups de Recerca Consolidats [2009 SGR 1305]</t>
  </si>
  <si>
    <t>IEO; SGM; GRACCIE-CONSOLIDER; Generalitat de Catalunya Grups de Recerca Consolidats(Generalitat de Catalunya)</t>
  </si>
  <si>
    <t>We thank officers and crew of R/V Miguel Oliver (General Secretariat of the Sea, SGM) for their effort during the cruises to the Patagonian margin, as well as members of the Spanish Oceanographic Institute (IEO) who participated in the cruises. SGM provided ship time and technical support. The Cartography Group SGM-TRAGSA participated in the different cruises and processed the multi-beam data. This is a contribution to Atlantis Project, which is funded by IEO in collaboration with SGM. This research was also supported by GRACCIE-CONSOLIDER (ref. CSD2007-00067) and a Generalitat de Catalunya Grups de Recerca Consolidats grant (2009 SGR 1305). The authors thank reviewer Ho-Shing Yu and editor T. Oguchi who helped to improve this paper with their thoughtful comments.</t>
  </si>
  <si>
    <t>0169-555X</t>
  </si>
  <si>
    <t>1872-695X</t>
  </si>
  <si>
    <t>Geomorphology</t>
  </si>
  <si>
    <t>10.1016/j.geomorph.2010.12.027</t>
  </si>
  <si>
    <t>747SC</t>
  </si>
  <si>
    <t>WOS:000289338700002</t>
  </si>
  <si>
    <t>Harper, EM; Robinson, JH; Lee, DE</t>
  </si>
  <si>
    <t>Harper, Elizabeth M.; Robinson, Jeffrey H.; Lee, Daphne E.</t>
  </si>
  <si>
    <t>Drill hole analysis reveals evidence of targeted predation on modern brachiopods</t>
  </si>
  <si>
    <t>Gastropods; Rhynchonelliform brachiopods; Parasitism</t>
  </si>
  <si>
    <t>UNSUCCESSFUL PREDATION; GASTROPOD PREDATION; NATICID GASTROPODS; MYTILUS-EDULIS; PREY SELECTION; ASSOCIATIONS; ESCALATION; STRATEGIES; MURICIDAE; COMINELLA</t>
  </si>
  <si>
    <t>If drill holes are made in prey either by mistaken or opportunistic predators or parasites rather than those which do so on a more regular basis we might predict that such drill holes will commonly be incomplete or repaired and show no evidence of behavioural familiarity such as size selection or constancy of attack site. These predictions were used to examine the patterns of drill holes found in bulk samples of death assemblages of modern rhynchonelliform brachiopods from around New Zealand. Four samples, yielding data for five different taxa (four terebratulides and one rhynchonellide) were examined. In each the proportion of incomplete or repaired holes was low. Samples of Terebratella sanguinea (Fiordland) and Gyrothyris mawsoni (Antipodes Islands) show statistically significant evidence of both size selection and preferential drill hole siting. The sample of Notosaria nigricans (Waikawa) shows only evidence of size selection. Examination of drill hole morphology and the co-occurring gastropod fauna suggests that the distinctive countersunk holes in T. sanguinea and G. mawsoni were likely made by the trophonid gastropod Xymene ambiguus. Aquarium experiments demonstrate that the ranellid gastropod Argobuccinum tumidum is also capable of feeding on brachiopods but that the resulting hole is not likely to be readily recognisable in death assemblages. (C) 2011 Elsevier B.V. All rights reserved.</t>
  </si>
  <si>
    <t>[Harper, Elizabeth M.] Univ Cambridge, Dept Earth Sci, Cambridge CB2 3EQ, England; [Robinson, Jeffrey H.; Lee, Daphne E.] Univ Otago, Dept Geol, Otago 9016, New Zealand</t>
  </si>
  <si>
    <t>University of Cambridge; University of Otago</t>
  </si>
  <si>
    <t>Harper, EM (corresponding author), Univ Cambridge, Dept Earth Sci, Downing St, Cambridge CB2 3EQ, England.</t>
  </si>
  <si>
    <t>emh21@cam.ac.uk</t>
  </si>
  <si>
    <t>Harper, Elizabeth M/B-3890-2008</t>
  </si>
  <si>
    <t>Robinson, Jeffrey/0000-0002-6571-8596</t>
  </si>
  <si>
    <t>Newnham College, Cambridge</t>
  </si>
  <si>
    <t>The staff at Portobello Marine Laboratory, University of Otago are thanked for their help and the use of facilities; in particular Miles Lamare, Mike Barker, Rob Major and Paul Meredith for their assistance in collecting the brachiopods in Doubtful Sound and their helpful advice throughout, Bev Dickson for her practical help in the laboratory, and Fiona Higgins-Crane for the loan of an octopus. Kareen Schnabel loaned us the material and Jill Burnet identified gastropods present in the Antipodes NIWA Stations. We also thank Lloyd Peck, British Antarctic Survey, Cambridge for allowing us to examine his brachiopod collections, Alan Beu, GNS Science, Lower Hutt for verifying a gastropod identification, Keith Probert, University of Otago for information on the fauna of the Otago Shelf, and Kay Swann for drawing Fig. 1. This project was undertaken during the tenure of a Phyllis and Eileen Gibbs Travelling Fellowship awarded to EMH by Newnham College, Cambridge. Greg Dietl and Michael Kowalewski provided constructive and helpful reviews. This is Cambridge Earth Sciences Publication 2013.</t>
  </si>
  <si>
    <t>10.1016/j.palaeo.2011.02.029</t>
  </si>
  <si>
    <t>WOS:000291291000014</t>
  </si>
  <si>
    <t>Khazendar, A; Rignot, E; Larour, E</t>
  </si>
  <si>
    <t>Khazendar, A.; Rignot, E.; Larour, E.</t>
  </si>
  <si>
    <t>Acceleration and spatial rheology of Larsen C Ice Shelf, Antarctic Peninsula</t>
  </si>
  <si>
    <t>COLLAPSE; ASSIMILATION; STABILITY</t>
  </si>
  <si>
    <t>The disintegration of several Antarctic Peninsula ice shelves has focused attention on the state of the Larsen C Ice Shelf. Here, we use satellite observations to map ice shelf speed from the years 2000, 2006 and 2008 and apply inverse modeling to examine the spatial pattern of ice-shelf stiffness. Results show that the northern half of the ice shelf has been accelerating since 2000, speeding up by 15% between 2000 and 2006 alone. The distribution of ice stiffness exhibits large spatial variations that we link to tributary glacier flow and fractures. Our results reveal that ice down-flow from promontories is consistently softer, with the exception of Churchill Peninsula where we infer a stabilizing role for marine ice. We conclude that although Larsen C is not facing imminent collapse, it is undergoing significant change in the form of flow acceleration that is spatially related to thinning and fracture. Citation: Khazendar, A., E. Rignot, and E. Larour (2011), Acceleration and spatial rheology of Larsen C Ice Shelf, Antarctic Peninsula, Geophys. Res. Lett., 38, L09502, doi: 10.1029/2011GL046775.</t>
  </si>
  <si>
    <t>[Khazendar, A.; Rignot, E.; Larour, E.] CALTECH, Jet Prop Lab, Pasadena, CA 91109 USA; [Rignot, E.] Univ Calif Irvine, Irvine, CA USA</t>
  </si>
  <si>
    <t>California Institute of Technology; National Aeronautics &amp; Space Administration (NASA); NASA Jet Propulsion Laboratory (JPL); University of California System; University of California Irvine</t>
  </si>
  <si>
    <t>Khazendar, A (corresponding author), CALTECH, Jet Prop Lab, 4800 Oak Grove Dr, Pasadena, CA 91109 USA.</t>
  </si>
  <si>
    <t>ala.khazendar@jpl.nasa.gov</t>
  </si>
  <si>
    <t>Rignot, Eric/A-4560-2014</t>
  </si>
  <si>
    <t>Rignot, Eric/0000-0002-3366-0481</t>
  </si>
  <si>
    <t>National Aeronautics and Space Administration</t>
  </si>
  <si>
    <t>National Aeronautics and Space Administration(National Aeronautics &amp; Space Administration (NASA))</t>
  </si>
  <si>
    <t>We are very grateful to J.A. Griggs for kindly providing us with the data set of Larsen C thickness. We much appreciate the helpful comments of N.F. Glasser, B. Kulessa and two anonymous reviewers. This work was performed at the Jet Propulsion Laboratory, California Institute of Technology, under contract with the National Aeronautics and Space Administration, with support from NASA's Cryospheric Sciences Program.</t>
  </si>
  <si>
    <t>MAY 13</t>
  </si>
  <si>
    <t>L09502</t>
  </si>
  <si>
    <t>10.1029/2011GL046775</t>
  </si>
  <si>
    <t>764IW</t>
  </si>
  <si>
    <t>WOS:000290624100001</t>
  </si>
  <si>
    <t>Falco, P; Zambianchi, E</t>
  </si>
  <si>
    <t>Falco, P.; Zambianchi, E.</t>
  </si>
  <si>
    <t>Near-surface structure of the Antarctic Circumpolar Current derived from World Ocean Circulation Experiment drifter data</t>
  </si>
  <si>
    <t>EDDY MOMENTUM FLUX; SOUTHERN-OCEAN; SATELLITE ALTIMETRY; DRAKE PASSAGE; MEAN FLOW; GULF-STREAM; TRANSPORT; VARIABILITY; PACIFIC; BALANCE</t>
  </si>
  <si>
    <t>In this work, the dynamics of the Antarctic Circumpolar Currrent (ACC) are investigated on the basis of near-surface Lagrangian observations carried out under the framework of the World Ocean Circulation Experiment (WOCE) and contained within the WOCE drifter data set. Approximately 440 drifters that were deployed in the Southern Ocean, between 1995 and 2002, were considered during the study. The mean surface current field was derived using natural bicubic splines, whose application yielded a high-resolution mean flow which allowed a detailed description for ACC meridional shear as well as its jets. ACC volume transport was estimated using a novel approach that was based upon the surface transport that was computed on the basis of drifter data and by assuming an exponential form for vertical current shear. The volume transport was determined to be 133 Sv for an e folding depth of 1000 m. Lagrangian diffusivities and integral parameters were derived by assuming a broadly homogenous eddy field. The zonal and meridional diffusivity components were determined to be 9 x 10(7) and 2 x 10(7) cm(2) s(-1), respectively. The eddy field is described in terms of the eddy kinetic energy distribution.</t>
  </si>
  <si>
    <t>[Falco, P.; Zambianchi, E.] Univ Parthenope, Dipartimento Sci Ambiente, Ctr Direz, I-80143 Naples, Italy</t>
  </si>
  <si>
    <t>Parthenope University Naples</t>
  </si>
  <si>
    <t>Falco, P (corresponding author), Univ Parthenope, Dipartimento Sci Ambiente, Ctr Direz, Isola C4, I-80143 Naples, Italy.</t>
  </si>
  <si>
    <t>pierpaolo.falco@uniparthenope.it</t>
  </si>
  <si>
    <t>zambianchi, enrico/KGK-8209-2024</t>
  </si>
  <si>
    <t>zambianchi, enrico/0000-0001-5474-7466; Falco, Pierpaolo/0000-0002-5130-5440</t>
  </si>
  <si>
    <t>Italian National Programme for Antarctic Research (PNRA)</t>
  </si>
  <si>
    <t>The data analyzed in this work were obtained from the WOCE data bank maintained at the NOAA AOML. The authors acknowledge useful discussions with Francesco Bignami. This work was partly funded by the Italian National Programme for Antarctic Research (PNRA).</t>
  </si>
  <si>
    <t>MAY 11</t>
  </si>
  <si>
    <t>C05003</t>
  </si>
  <si>
    <t>10.1029/2010JC006349</t>
  </si>
  <si>
    <t>764IU</t>
  </si>
  <si>
    <t>WOS:000290623900001</t>
  </si>
  <si>
    <t>Gannoun, A; Boyet, M; Rizo, H; El Goresy, A</t>
  </si>
  <si>
    <t>Gannoun, Abdelmouhcine; Boyet, Maud; Rizo, Hanika; El Goresy, Ahmed</t>
  </si>
  <si>
    <t>146Sm-142Nd systematics measured in enstatite chondrites reveals a heterogeneous distribution of 142Nd in the solar nebula</t>
  </si>
  <si>
    <t>nucleosynthetic anomalies; early earth differentiation; early solar system; Nd-142 excess</t>
  </si>
  <si>
    <t>EARLY EARTH DIFFERENTIATION; PRESOLAR SILICON-CARBIDE; ND ISOTOPIC EVOLUTION; TERRESTRIAL PLANETS; NEUTRON-CAPTURE; CROSS-SECTIONS; P-PROCESS; S-PROCESS; LU-HF; METEORITES</t>
  </si>
  <si>
    <t>The short-lived Sm-146-Nd-142 chronometer (T-1/2 = 103 Ma) is used to constrain the early silicate evolution of planetary bodies. The composition of bulk terrestrial planets is then considered to be similar to that of primitive chondrites that represent the building blocks of rocky planets. However for many elements chondrites preserve small isotope differences. In this case it is not always clear to what extent these variations reflect the isotope heterogeneity of the protosolar nebula rather than being produced by the decay of parent isotopes. Here we present Sm-Nd isotopes data measured in a comprehensive suite of enstatite chondrites (EC). The EC preserve Nd-142/Nd-144 ratios that range from those of ordinary chondrites to values similar to terrestrial samples. The EC having terrestrial Nd-142/Nd-144 ratios are also characterized by small Sm-144 excesses, which is a pure p-process nuclide. The correlation between Sm-144 and Nd-142 for chondrites may indicate a heterogeneous distribution in the solar nebula of p-process matter synthesized in supernovae. However to explain the difference in Nd-142/Nd-144 ratios, 20% of the p-process contribution to Nd-142 is required, at odds with the value of 4% currently proposed in stellar models. This study highlights the necessity of obtaining high-precision Sm-144 measurements to interpret properly measured Nd-142 signatures. Another explanation could be that the chondrites sample material formed in different pulses of the lifetime of asymptotic giant branch stars. Then the isotope signature measured in SiC presolar would not represent the unique s-process signature of the material present in the solar nebula during accretion.</t>
  </si>
  <si>
    <t>[Gannoun, Abdelmouhcine; Boyet, Maud; Rizo, Hanika] Univ Clermont Ferrand, Univ Clermont Ferrand 2, Lab Magmas &amp; Volcans, F-63000 Clermont Ferrand, France; [Gannoun, Abdelmouhcine; Boyet, Maud; Rizo, Hanika] CNRS, Unite Mixte Rech 6524, Lab Magmas &amp; Volcans, F-63038 Clermont Ferrand, France; [Gannoun, Abdelmouhcine; Boyet, Maud; Rizo, Hanika] Inst Rech Dev, Lab Magmas &amp; Volcans, R 163, F-63038 Clermont Ferrand, France; [El Goresy, Ahmed] Univ Bayreuth, Bayer Geoinst, D-95440 Bayreuth, Germany</t>
  </si>
  <si>
    <t>Universite Clermont Auvergne (UCA); Centre National de la Recherche Scientifique (CNRS); Institut de Recherche pour le Developpement (IRD); Universite Clermont Auvergne (UCA); Universite Jean Monnet; Institut de Recherche pour le Developpement (IRD); University of Bayreuth</t>
  </si>
  <si>
    <t>Gannoun, A (corresponding author), Univ Clermont Ferrand, Univ Clermont Ferrand 2, Lab Magmas &amp; Volcans, BP 10448, F-63000 Clermont Ferrand, France.</t>
  </si>
  <si>
    <t>a.gannoun@opgc.univ-bpclermont.fr</t>
  </si>
  <si>
    <t>European Research Council under the European Community [209035]; European Research Council (ERC) [209035] Funding Source: European Research Council (ERC)</t>
  </si>
  <si>
    <t>European Research Council under the European Community(European Research Council (ERC)); European Research Council (ERC)(European Research Council (ERC)Spanish Government)</t>
  </si>
  <si>
    <t>We thank C. Bosq for providing clean lab facilities and D. Auclair for assistance with the mass spectrometer. We thank A. Bouvier, an anonymous reviewer, and the editor for their constructive comments. We thank K. W. Burton for improving the English. Helpful comments from R. Carlson on a first version of this manuscript are gratefully acknowledged. This article benefitted from fruitful discussions with F. Albarede, F. Moynier, G. Herzog, and T. Rauscher. We thank the meteorite curators of the Smithsonian Institution, the American Museum of Natural History, the Natural History Museum of London, and the National Aeronautics and Space Administration (NASA) for Antarctic meteorites. We thank the Geological Survey of Japan for providing us the isotopic standard JNdi-1. The research leading to these results has received funding from the European Research Council under the European Community's Seventh Framework Programme (FP7/2007-2013 Grant Agreement 209035).</t>
  </si>
  <si>
    <t>MAY 10</t>
  </si>
  <si>
    <t>10.1073/pnas.1017332108</t>
  </si>
  <si>
    <t>761YN</t>
  </si>
  <si>
    <t>WOS:000290439500017</t>
  </si>
  <si>
    <t>Salby, M; Titova, E; Deschamps, L</t>
  </si>
  <si>
    <t>Salby, Murry; Titova, Evgenia; Deschamps, Lilia</t>
  </si>
  <si>
    <t>Rebound of Antarctic ozone</t>
  </si>
  <si>
    <t>DEPLETION; TEMPERATURE; CIRCULATION; HOLE</t>
  </si>
  <si>
    <t>Restrictions on CFCs have led to a gradual decline of Equivalent Effective Stratospheric Chlorine (EESC). A rebound of Antarctic ozone, however, has remained elusive, masked by large interannual changes that dominate its current evolution. A positive response of ozone is not expected to emerge for at least 1-2 decades, possibly not for half a century. We show that interannual changes of the Antarctic ozone hole are accounted for almost perfectly by changes in dynamical forcing of the stratosphere. The close relationship enables dynamically-induced changes of ozone to be removed, unmasking the climate signal associated with CFCs. The component independent of dynamically-induced changes exhibits a clear upward trend over the last decade - the first signature of a rebound in Antarctic ozone. It enables ozone to be tracked relative to CFCs and other changes of climate. Citation: Salby, M., E. Titova, and L. Deschamps (2011), Rebound of Antarctic ozone, Geophys. Res. Lett., 38, L09702, doi: 10.1029/2011GL047266.</t>
  </si>
  <si>
    <t>[Salby, Murry; Titova, Evgenia] Macquarie Univ, Fac Sci, Sydney, NSW 2109, Australia; [Deschamps, Lilia] Bur Meteorol, Ctr Australian Weather &amp; Climate Res, Melbourne, Vic 3001, Australia</t>
  </si>
  <si>
    <t>Macquarie University; Commonwealth Scientific &amp; Industrial Research Organisation (CSIRO); Bureau of Meteorology - Australia</t>
  </si>
  <si>
    <t>Salby, M (corresponding author), Macquarie Univ, Fac Sci, Balaclava Rd, Sydney, NSW 2109, Australia.</t>
  </si>
  <si>
    <t>pcd@mq.edu.au</t>
  </si>
  <si>
    <t>MAY 6</t>
  </si>
  <si>
    <t>L09702</t>
  </si>
  <si>
    <t>10.1029/2011GL047266</t>
  </si>
  <si>
    <t>761ZX</t>
  </si>
  <si>
    <t>WOS:000290443100002</t>
  </si>
  <si>
    <t>Laken, B; Kniveton, D; Wolfendale, A</t>
  </si>
  <si>
    <t>Laken, Benjamin; Kniveton, Dominic; Wolfendale, Arnold</t>
  </si>
  <si>
    <t>Forbush decreases, solar irradiance variations, and anomalous cloud changes</t>
  </si>
  <si>
    <t>GALACTIC COSMIC-RAYS; VARIABILITY; COVER; CLIMATE; IMPACT; POLE</t>
  </si>
  <si>
    <t>Changes in the galactic cosmic ray (GCR) flux due to variations in solar activity may provide an indirect connection between the Sun's and the Earth's climates. Epoch superpositional (composite) analyses of high-magnitude GCR fluctuations, known as Forbush decrease (FD) events, have been widely used to test this hypothesis, with varied results. This work provides new information regarding the interpretation of this approach, suggesting that FD events do not isolate the impacts of GCR variations from those of solar irradiance changes. On average, irradiance changes of similar to 0.4 W m (2) outside the atmosphere occur around 2 days in advance of FD-associated GCR decreases. Using this 2 day gap to separate the effects of irradiance variations from GCR variations on cloud cover, we demonstrate small, but statistically significant, anomalous cloud changes occurring only over areas of the Antarctic plateau in association with the irradiance changes, which previous workers had attributed to GCR variations. Further analysis of the sample shows that these cloud anomalies occurred primarily during polar darkness, precluding the possibility of a causal link to a direct total solar irradiance effect. This work suggests that previous FD-based studies may have ineffectively isolated the impacts of GCR variations on the Earth's atmosphere.</t>
  </si>
  <si>
    <t>[Laken, Benjamin] Inst Astrofis Canarias, E-38205 San Cristobal La Laguna, Tenerife, Spain; [Kniveton, Dominic] Univ Sussex, Dept Geog, Brighton BN1 9QJ, E Sussex, England; [Wolfendale, Arnold] Univ Durham, Dept Phys, Durham DH1 3LE, England</t>
  </si>
  <si>
    <t>Instituto de Astrofisica de Canarias; University of Sussex; Durham University</t>
  </si>
  <si>
    <t>Laken, B (corresponding author), Inst Astrofis Canarias, E-38205 San Cristobal La Laguna, Tenerife, Spain.</t>
  </si>
  <si>
    <t>blaken@iac.es</t>
  </si>
  <si>
    <t>Laken, Benjamin/0000-0003-2021-6258</t>
  </si>
  <si>
    <t>John C. Taylor Charitable Foundation</t>
  </si>
  <si>
    <t>The authors would like to thank Enric Palle (Instituto de Astrofisica de Canarias), Jon Egil Kristjansson (University of Oslo), Jasa Calogovic (Hvar Observatory), and two anonymous reviewers for their comments. We also acknowledge the National Space Science Data Center OMNIWeb database and the National Oceanic and Atmospheric Administration's National Geophysical Data Center SPIDR project for access to relevant data sets. ACRIM data were obtained from http://www.acrim.com/Data%20Products.htm. The ISCCP D1 data are available from the ISCCP Web site at http://isccp.giss.nasa.gov/, maintained by the ISCCP research group at the NASA Goddard Institute for Space Studies. The authors also thank the John C. Taylor Charitable Foundation for support.</t>
  </si>
  <si>
    <t>D09201</t>
  </si>
  <si>
    <t>10.1029/2010JD014900</t>
  </si>
  <si>
    <t>761VE</t>
  </si>
  <si>
    <t>WOS:000290428300001</t>
  </si>
  <si>
    <t>Niciejewski, R; Skinner, W; Cooper, M; Marshall, A; Meier, RR; Stevens, MH; Ortland, D; Wu, Q</t>
  </si>
  <si>
    <t>Niciejewski, R.; Skinner, W.; Cooper, M.; Marshall, A.; Meier, R. R.; Stevens, M. H.; Ortland, D.; Wu, Q.</t>
  </si>
  <si>
    <t>Verification of large-scale rapid transport in the lower thermosphere: Tracking the exhaust plume of STS-107 from launch to the Antarctic</t>
  </si>
  <si>
    <t>RESOLUTION DOPPLER IMAGER; SPACE-SHUTTLE EXHAUST; WAVE-NUMBER SPECTRA; 2-DAY WAVE; WIND MEASUREMENTS; QUASI-2-DAY WAVE; TIME-SERIES; MESOSPHERE; STRATOSPHERE; TEMPERATURE</t>
  </si>
  <si>
    <t>New analysis of the Doppler shift of O-2 airglow spectra recorded by the TIMED Doppler Interferometer (TIDI) and the High Resolution Doppler Imager (HRDI) have provided conclusive evidence that the shuttle main engine exhaust plume generated in the lower thermosphere by the launch of STS-107 and imaged by the Global Ultraviolet Imager (GUVI) instrument on TIMED was transported to the Antarctic in similar to 80 h, supporting a key inference from the initial study by Stevens et al. (2005). These new results were aided by improved knowledge of the effects of instrumental and satellite artifacts imposed on the Doppler spectra. STS-107 launched on 16 January 2003, and the neutral wind near its launch trajectory and nearby volume was sampled within minutes by TIDI. These initial observations suggested that the northernmost end of the shuttle's exhaust plume would move northeast and that the southern end would move southeast, motions that were identified in imagery acquired during the next orbit of TIMED. The direction and magnitude of plume motion inferred from GUVI images obtained 12, 26, and 50 h after launch were again confirmed by TIDI and HRDI. The appearance of the plume over the Antarctic similar to 80 h after launch, inferred from earlier work by the appearance of iron ablated from the shuttle's main engines, was consistent with neutral winds measured by the satellite Doppler instruments over the Antarctic. The transport of the plume from the coast of Florida to the Antarctic was aided by the favorable phase and strong amplitude of a 2 day planetary wave of wave number three in the southern hemisphere on 18 January 2003. The existence of the 2 day wave was deduced from zonally averaged and combined TIDI and HRDI neutral wind observations. We conclude that the existence of strong and sustained winds in the MLT, significantly greater than expected from empirical and theoretical models, is indisputable and provides compelling evidence supporting the global-scale nature of thermospheric winds with magnitude greater than 100 m/s observed by Larsen (2002) from 40 years of sounding rocket chemical release experiments.</t>
  </si>
  <si>
    <t>[Niciejewski, R.; Skinner, W.; Cooper, M.; Marshall, A.] Univ Michigan, Space Phys Res Lab, Ann Arbor, MI 48109 USA; [Meier, R. R.] George Mason Univ, Dept Phys &amp; Astron, Fairfax, VA 22030 USA; [Stevens, M. H.] USN, Res Lab, Div Space Sci, Washington, DC 20375 USA; [Ortland, D.] NW Res Associates Inc, Bellevue, WA 98009 USA; [Wu, Q.] Natl Ctr Atmospher Res, Boulder, CO 80307 USA</t>
  </si>
  <si>
    <t>University of Michigan System; University of Michigan; George Mason University; United States Department of Defense; United States Navy; Naval Research Laboratory; NorthWest Research Associates; National Center Atmospheric Research (NCAR) - USA</t>
  </si>
  <si>
    <t>Niciejewski, R (corresponding author), Univ Michigan, Space Phys Res Lab, Ann Arbor, MI 48109 USA.</t>
  </si>
  <si>
    <t>niciejew@umich.edu</t>
  </si>
  <si>
    <t>Meier, Robert/G-4749-2014</t>
  </si>
  <si>
    <t>Meier, Robert/0000-0001-8497-7115</t>
  </si>
  <si>
    <t>NASA [NNX07AB72G, NNH09ZDA001N]; ASEE; ONR</t>
  </si>
  <si>
    <t>NASA(National Aeronautics &amp; Space Administration (NASA)); ASEE; ONR(Office of Naval Research)</t>
  </si>
  <si>
    <t>The authors wish to thank the SABER and GUVI Science and Data Processing teams for their careful processing, analysis, and validation of their data. This research was supported by NASA contracts NNX07AB72G and NNH09ZDA001N. One of us (R.N.) gratefully acknowledges support from ASEE and the 2005 ONR Summer Faculty Research Program for providing the initial funding for this study. R. R. M. and M. H. S. thank the NASA Guest Investigator Program for support.</t>
  </si>
  <si>
    <t>MAY 4</t>
  </si>
  <si>
    <t>A05302</t>
  </si>
  <si>
    <t>10.1029/2010JA016277</t>
  </si>
  <si>
    <t>761RE</t>
  </si>
  <si>
    <t>WOS:000290414900003</t>
  </si>
  <si>
    <t>Garnham, CP; Campbell, RL; Davies, PL</t>
  </si>
  <si>
    <t>Garnham, Christopher P.; Campbell, Robert L.; Davies, Peter L.</t>
  </si>
  <si>
    <t>Anchored clathrate waters bind antifreeze proteins to ice</t>
  </si>
  <si>
    <t>Ca2+ binding protein; repeats-in-toxin protein; thermal hysteresis; Antarctic bacterium; organized biohydration</t>
  </si>
  <si>
    <t>CRYSTAL-STRUCTURE; WINTER FLOUNDER; MECHANISM; ADSORPTION; HYDRATION; SURFACE; MODEL; CRYSTALLIZATION; FISHES; NMR</t>
  </si>
  <si>
    <t>The mechanism by which antifreeze proteins (AFPs) irreversibly bind to ice has not yet been resolved. The ice-binding site of an AFP is relatively hydrophobic, but also contains many potential hydrogen bond donors/acceptors. The extent to which hydrogen bonding and the hydrophobic effect contribute to ice binding has been debated for over 30 years. Here we have elucidated the ice-binding mechanism through solving the first crystal structure of an Antarctic bacterial AFP. This 34-kDa domain, the largest AFP structure determined to date, folds as a Ca2+-bound parallel beta-helix with an extensive array of ice-like surface waters that are anchored via hydrogen bonds directly to the polypeptide backbone and adjacent side chains. These bound waters make an excellent three-dimensional match to both the primary prism and basal planes of ice and in effect provide an extensive X-ray crystallographic picture of the AFP: ice interaction. This unobstructed view, free from crystal-packing artefacts, shows the contributions of both the hydrophobic effect and hydrogen bonding during AFP adsorption to ice. We term this mode of binding the anchored clathrate mechanism of AFP action.</t>
  </si>
  <si>
    <t>[Garnham, Christopher P.; Campbell, Robert L.; Davies, Peter L.] Queens Univ, Dept Biochem, Kingston, ON K7L 3N6, Canada</t>
  </si>
  <si>
    <t>Queens University - Canada</t>
  </si>
  <si>
    <t>Davies, PL (corresponding author), Queens Univ, Dept Biochem, Kingston, ON K7L 3N6, Canada.</t>
  </si>
  <si>
    <t>peter.davies@queensu.ca</t>
  </si>
  <si>
    <t>Campbell, Robert/0000-0002-5473-5876</t>
  </si>
  <si>
    <t>Canadian Institutes of Health Research; Natural Sciences and Engineering Research Council of Canada [PGS D3]</t>
  </si>
  <si>
    <t>Canadian Institutes of Health Research(Canadian Institutes of Health Research (CIHR)); Natural Sciences and Engineering Research Council of Canada(Natural Sciences and Engineering Research Council of Canada (NSERC)CGIAR)</t>
  </si>
  <si>
    <t>We thank Jean Jakoncic and Vivian Stojanoff of the X6A beamline at Brookhaven National Laboratories for help with X-ray data acquisition and processing and Jack Gilbert for the initial discovery of M. primoryensisAFP. We also thank Dr. John Allingham for access to a Rigaku home X-ray source for initial diffraction experiments. This work was funded by the Canadian Institutes of Health Research. C. P. G. is the recipient of an Natural Sciences and Engineering Research Council of Canada three-year Postgraduate Scholarship (PGS D3). P. L. D. holds a Canada Research Chair in protein engineering.</t>
  </si>
  <si>
    <t>MAY 3</t>
  </si>
  <si>
    <t>10.1073/pnas.1100429108</t>
  </si>
  <si>
    <t>758YF</t>
  </si>
  <si>
    <t>WOS:000290203100023</t>
  </si>
  <si>
    <t>Trivelpiece, WZ; Hinke, JT; Miller, AK; Reiss, CS; Trivelpiece, SG; Watters, GM</t>
  </si>
  <si>
    <t>Trivelpiece, Wayne Z.; Hinke, Jefferson T.; Miller, Aileen K.; Reiss, Christian S.; Trivelpiece, Susan G.; Watters, George M.</t>
  </si>
  <si>
    <t>Variability in krill biomass links harvesting and climate warming to penguin population changes in Antarctica</t>
  </si>
  <si>
    <t>KING-GEORGE-ISLAND; SOUTH-SHETLAND ISLANDS; CHINSTRAP PENGUINS; PYGOSCELIS-ANTARCTICA; SEA-ICE; REPRODUCTIVE SUCCESS; ADELIE; WHALES; ECOSYSTEMS; RESPONSES</t>
  </si>
  <si>
    <t>The West Antarctic Peninsula (WAP) and adjacent Scotia Sea support abundant wildlife populations, many of which were nearly extirpated by humans. This region is also among the fastest-warming areas on the planet, with 5-6 degrees C increases in mean winter air temperatures and associated decreases in winter sea-ice cover. These biological and physical perturbations have affected the ecosystem profoundly. One hypothesis guiding ecological interpretations of changes in top predator populations in this region, the sea-ice hypothesis, proposes that reductions in winter sea ice have led directly to declines in ice-loving species by decreasing their winter habitat, while populations of ice-avoiding species have increased. However, 30 y of field studies and recent surveys of penguins throughout the WAP and Scotia Sea demonstrate this mechanism is not controlling penguin populations; populations of both ice-loving Adelie and ice-avoiding chinstrap penguins have declined significantly. We argue in favor of an alternative, more robust hypothesis that attributes both increases and decreases in penguin populations to changes in the abundance of their main prey, Antarctic krill. Unlike many other predators in this region, Adelie and chinstrap penguins were never directly harvested by man; thus, their population trajectories track the impacts of biological and environmental changes in this ecosystem. Linking trends in penguin abundance with trends in krill biomass explains why populations of Adelie and chinstrap penguins increased after competitors (fur seals, baleen whales, and some fishes) were nearly extirpated in the 19th to mid-20th centuries and currently are decreasing in response to climate change.</t>
  </si>
  <si>
    <t>[Trivelpiece, Wayne Z.; Hinke, Jefferson T.; Miller, Aileen K.; Reiss, Christian S.; Trivelpiece, Susan G.; Watters, George M.] Natl Marine Fisheries Serv, Antarctic Ecosyst Res Div, SW Fisheries Sci Ctr, Natl Ocean &amp; Atmospher Adm, La Jolla, CA 92037 USA; [Hinke, Jefferson T.] Univ Calif San Diego, Scripps Inst Oceanog, La Jolla, CA 92093 USA</t>
  </si>
  <si>
    <t>National Oceanic Atmospheric Admin (NOAA) - USA; University of California System; University of California San Diego; Scripps Institution of Oceanography</t>
  </si>
  <si>
    <t>Trivelpiece, WZ (corresponding author), Natl Marine Fisheries Serv, Antarctic Ecosyst Res Div, SW Fisheries Sci Ctr, Natl Ocean &amp; Atmospher Adm, La Jolla, CA 92037 USA.</t>
  </si>
  <si>
    <t>Wayne.Trivelpiece@noaa.gov</t>
  </si>
  <si>
    <t>, Jefferson/AAG-1702-2021; Watters, George/HPE-2184-2023</t>
  </si>
  <si>
    <t>, Jefferson/0000-0002-3600-1414; Watters, George/0000-0002-6989-1273</t>
  </si>
  <si>
    <t>NOAA; National Science Foundation's Office of Polar Programs; Pew Charitable Trusts; Oceanites Foundation</t>
  </si>
  <si>
    <t>NOAA(National Oceanic Atmospheric Admin (NOAA) - USA); National Science Foundation's Office of Polar Programs(National Science Foundation (NSF)); Pew Charitable Trusts; Oceanites Foundation</t>
  </si>
  <si>
    <t>This research was conducted as part of the US Antarctic Marine Living Resources Program of the National Oceanic and Atmospheric Administration (NOAA). It was supported by the NOAA and by several grants from the National Science Foundation's Office of Polar Programs. Further support and assistance was provided by the Lenfest Ocean Program of the Pew Charitable Trusts and the Oceanites Foundation.</t>
  </si>
  <si>
    <t>10.1073/pnas.1016560108</t>
  </si>
  <si>
    <t>WOS:000290203100069</t>
  </si>
  <si>
    <t>Choy, EJ; Park, H; Kim, JH; Ahn, IY; Kang, CK</t>
  </si>
  <si>
    <t>Choy, Eun Jung; Park, Hyun; Kim, Jeong-Hoon; Ahn, In-Young; Kang, Chang-Keun</t>
  </si>
  <si>
    <t>Isotopic shift for defining habitat exploitation by the Antarctic limpet Nacella concinna from rocky coastal habitats (Marian Cove, King George Island)</t>
  </si>
  <si>
    <t>ESTUARINE COASTAL AND SHELF SCIENCE</t>
  </si>
  <si>
    <t>food availability; Antarctic limpet Nacella concinna; phytobenthos; tidal pools; rocky shores; King George Island</t>
  </si>
  <si>
    <t>STABLE CARBON; TROPHIC RELATIONSHIPS; DELTA-C-13 MEASUREMENTS; ORGANIC-MATTER; FOOD-WEB; DELTA-N-15; NITROGEN; RATIOS; ENRICHMENT; STREBEL</t>
  </si>
  <si>
    <t>delta C-13 and delta N-15 of the Antarctic limpet Nacella concinna tissues and their potential food sources were used to determine their dietary origins and their movements between diverse habitats of intertidal and subtidal rocky shores and tide pools of Marian Cove, King George Island, Antarctica in the austral summer. delta C-13 and delta N-15 of the organic matter sources of epilithic microalgae, macroalgae and suspended particulate organic matter (SPOM) were readily distinguishable to discern their relative contribution to the limpet diets, with the most depleted values being found in SPOM and the most enriched in macroalgae. The limpets exhibited a spatial trend in distribution due to their seasonal migration, with smaller individuals in the subtidal zone compared with larger ones on the intertidal sites. The limpet isotopes had relatively broad ranges of delta C-13 and delta N-15 (-26.6 to -12.8 parts per thousand and 2.6-7.1 parts per thousand, respectively), suggesting a dietary shift between habitats as well as size classes. The stable isotope ratios for each habitat seem likely to reflect the differing availabilities of the three potential food sources. Isotope mixing model results indicate a spatial shift in dietary mixture between habitats as well as limpet size classes. Epilithic microalgae and phytoplankton made great contributions to the diet of the subtidal limpets. Together with epilithic microalgae, macroalgae were significant contributors to the intertidal limpets where macroalgae were abundant. A higher contribution of macroalgae to the limpet diets was found in the tide pools. In contrast, while phytoplankton was an important food source for the limpet spat, a great dietary dependence on epilithic microalgae was found in the small-size limpets from the lower intertidal zone. Our results suggest that limpet grazing can determine microalgal and/or macroalgal abundance and coverage on the Antarctic rocky-shore ecosystem, and trophic structure of benthic food web can change along environmental gradients even at spatial scales of tens or hundreds of metres in the Antarctic. Crown Copyright (C) 2011 Published by Elsevier Ltd. All rights reserved.</t>
  </si>
  <si>
    <t>[Choy, Eun Jung; Park, Hyun; Kim, Jeong-Hoon; Ahn, In-Young] Korea Ocean Res &amp; Dev Inst, Korea Polar Res Inst, Inchon 406840, South Korea; [Kang, Chang-Keun] Pohang Univ Sci &amp; Technol, POSTECH Ocean Sci &amp; Technol Inst, Gyeongbuk 790784, South Korea</t>
  </si>
  <si>
    <t>Korea Polar Research Institute (KOPRI); Korea Institute of Ocean Science &amp; Technology (KIOST); Pohang University of Science &amp; Technology (POSTECH)</t>
  </si>
  <si>
    <t>Choy, EJ (corresponding author), Korea Ocean Res &amp; Dev Inst, Korea Polar Res Inst, Inchon 406840, South Korea.</t>
  </si>
  <si>
    <t>ejchoy@kopri.re.kr</t>
  </si>
  <si>
    <t>Kang, Chang-Keun/GLR-8512-2022</t>
  </si>
  <si>
    <t>Korea Polar Research Institute (KOPRI) [PE10040, PE11030]</t>
  </si>
  <si>
    <t>Korea Polar Research Institute (KOPRI)</t>
  </si>
  <si>
    <t>This work was carried out as a part of the project Status and Changes of Polar Indicator Species and Coastal/Terrestrial Ecosystems (PE10040) and Studies on biodiversity and changing ecosystems in King George Island, Antarctica (PE11030) funded by the Korea Polar Research Institute (KOPRI). The authors are grateful to Mrs. Jung Hyun Kwak and Hyun Je Park for stable isotopic analysis at the Isotope Ecology Laboratory, Pohang University of Science and Technology.</t>
  </si>
  <si>
    <t>ACADEMIC PRESS LTD- ELSEVIER SCIENCE LTD</t>
  </si>
  <si>
    <t>24-28 OVAL RD, LONDON NW1 7DX, ENGLAND</t>
  </si>
  <si>
    <t>0272-7714</t>
  </si>
  <si>
    <t>1096-0015</t>
  </si>
  <si>
    <t>ESTUAR COAST SHELF S</t>
  </si>
  <si>
    <t>Estuar. Coast. Shelf Sci.</t>
  </si>
  <si>
    <t>MAY 1</t>
  </si>
  <si>
    <t>10.1016/j.ecss.2011.01.009</t>
  </si>
  <si>
    <t>770WP</t>
  </si>
  <si>
    <t>WOS:000291119500005</t>
  </si>
  <si>
    <t>Kotlyakov, VM; Moskalevskiy, MY; Vasil'ev, LN</t>
  </si>
  <si>
    <t>Kotlyakov, V. M.; Moskalevskiy, M. Yu.; Vasil'ev, L. N.</t>
  </si>
  <si>
    <t>Changes in the Mass Balance of the Antarctic Ice Sheet over 50 Years</t>
  </si>
  <si>
    <t>ACCUMULATION</t>
  </si>
  <si>
    <t>The mass balance of the Antarctic Ice Sheet has been calculated based on instrumental estimates of the grounded ice discharge and snow accumulation data. The boundaries and sectional areas of the main ice catchment basins in West and East Antarctica have been determined, and the data on the grounded ice discharge and snow accumulation in these basins have been systematized. The intensity of accumulation and ablation processes in Antarctica has noticeably increased over the last 50 years. The mass balance of the ice sheet in East Antarctica has been and remains positive, while in West Antarctica it was positive in the middle of the last century and has become negative by now. The mass balance of the entire Antarctic Ice Sheet has been and remains positive, while the mass growth has noticeably decreased over the last 50 years.</t>
  </si>
  <si>
    <t>[Kotlyakov, V. M.; Moskalevskiy, M. Yu.; Vasil'ev, L. N.] Russian Acad Sci, Inst Geog, Moscow 119017, Russia</t>
  </si>
  <si>
    <t>Institute of Geography, Russian Academy of Sciences; Russian Academy of Sciences</t>
  </si>
  <si>
    <t>Kotlyakov, VM (corresponding author), Russian Acad Sci, Inst Geog, Staromonetnyi 29, Moscow 119017, Russia.</t>
  </si>
  <si>
    <t>Moskalevsky, Maxim/B-7490-2016</t>
  </si>
  <si>
    <t>Moskalevsky, Maxim/0000-0001-8829-3722</t>
  </si>
  <si>
    <t>Russian Academy of Sciences [P-16]; Russian Foundation for Basic Research [08-05-00125]</t>
  </si>
  <si>
    <t>Russian Academy of Sciences(Russian Academy of Sciences); Russian Foundation for Basic Research(Russian Foundation for Basic Research (RFBR)Spanish Government)</t>
  </si>
  <si>
    <t>This work was supported by the Subprogram Examination and Exploration of the Antarctic of the Federal Target Program World Ocean of the Russian Academy of Sciences (Program P-16 of the Presidium of the Russian Academy of Sciences, Part 2) and the Russian Foundation for Basic Research, project no. 08-05-00125.</t>
  </si>
  <si>
    <t>MAY</t>
  </si>
  <si>
    <t>10.1134/S1028334X11050205</t>
  </si>
  <si>
    <t>788TT</t>
  </si>
  <si>
    <t>WOS:000292468000028</t>
  </si>
  <si>
    <t>Makhotin, MS; Dmitrenko, IA</t>
  </si>
  <si>
    <t>Makhotin, M. S.; Dmitrenko, I. A.</t>
  </si>
  <si>
    <t>Interannual Variability of Pacific Summer Waters in the Arctic Ocean</t>
  </si>
  <si>
    <t>BERING STRAIT</t>
  </si>
  <si>
    <t>This work is devoted to study of interannual variability of characteristics of Pacific summer waters (PSWs) supplied into the AO in summer. The distribution area, volume, and heat content of PSWs have been calculated for the first time for the entire Arctic Basin in the periods of 1950-1989 and 2008-2009 demonstrating the presence of substantial interannual variability. From 1953 until 1983 a negative trend and since 1984 a positive trend have been observed; the latter lasted until 2009, when the heat content, volume, and distribution area of PSWs reached their maximal values for the entire period considered. It has been shown that PSW quantity in the Arctic Basin, identified by temperature, rather depends on the intensity of heat flux through the Bering Strait, and the calculated value for PSW life in the Arctic Basin is seven years.</t>
  </si>
  <si>
    <t>[Makhotin, M. S.] Arctic &amp; Antarctic Res Inst, St Petersburg 199226, Russia; [Dmitrenko, I. A.] Univ Kiel, Leibniz Inst Marine Sci, D-24098 Kiel, Germany</t>
  </si>
  <si>
    <t>Arctic &amp; Antarctic Research Institute; Helmholtz Association; GEOMAR Helmholtz Center for Ocean Research Kiel; University of Kiel</t>
  </si>
  <si>
    <t>Makhotin, MS (corresponding author), Arctic &amp; Antarctic Res Inst, St Petersburg 199226, Russia.</t>
  </si>
  <si>
    <t>m-makhotin@mail.ru</t>
  </si>
  <si>
    <t>Makhotin, Mikhail/K-8861-2016</t>
  </si>
  <si>
    <t>Dmitrenko, Igor/0000-0001-8388-7839</t>
  </si>
  <si>
    <t>10.1134/S1028334X11050345</t>
  </si>
  <si>
    <t>WOS:000292468000038</t>
  </si>
  <si>
    <t>Araújo, LS; Kagohara, E; Garcia, TP; Pellizari, VH; Andrade, LH</t>
  </si>
  <si>
    <t>Araujo, Lidiane S.; Kagohara, Edna; Garcia, Thais P.; Pellizari, Vivian H.; Andrade, Leandro H.</t>
  </si>
  <si>
    <t>Screening of Microorganisms Producing Cold-Active Oxidoreductases to Be Applied in Enantioselective Alcohol Oxidation. An Antarctic Survey</t>
  </si>
  <si>
    <t>MARINE DRUGS</t>
  </si>
  <si>
    <t>oxidoreductases; chiral alcohols; psychrophile; psychrotroph; oxidation; deracemisation</t>
  </si>
  <si>
    <t>SECONDARY ALCOHOLS; REDUCTION; DERACEMIZATION; ENZYMES; STEREOINVERSION; DEHYDROGENASE; EXTREMOPHILES; ACETOPHENONE; ENANTIOMER; STABILITY</t>
  </si>
  <si>
    <t>Several microorganisms were isolated from soil/sediment samples of Antarctic Peninsula. The enrichment technique using (RS)-.1-(phenyl) ethanol as a carbon source allowed us to isolate 232 psychrophile/psychrotroph microorganisms. We also evaluated the enzyme activity (oxidoreductases) for enantioselective oxidation reactions, by using derivatives of (RS)-.1-(phenyl) ethanol as substrates. Among the studied microorganisms, 15 psychrophile/psychrotroph strains contain oxidoreductases that catalyze the (S)-.enantiomer oxidation from racemic alcohols to their corresponding ketones. Among the identified microorganisms, Flavobacterium sp. and Arthrobacter sp. showed excellent enzymatic activity. These new bacteria strains were selected for optimization study, in which the (RS)-.1-(4-.methyl-.phenyl) ethanol oxidation was evaluated in several reaction conditions. From these studies, it was observed that Flavobacterium sp. has an excellent enzymatic activity at 10 degrees C and Arthrobacter sp. at 15 and 25 degrees C. We have also determined the growth curves of these bacteria, and both strains showed optimum growth at 25 degrees C, indicating that these bacteria are psychrotroph.</t>
  </si>
  <si>
    <t>[Araujo, Lidiane S.; Kagohara, Edna; Garcia, Thais P.; Andrade, Leandro H.] Univ Sao Paulo, Inst Quim, BR-05508900 Sao Paulo, Brazil; [Pellizari, Vivian H.] Univ Sao Paulo, Inst Oceanog, BR-05508120 Sao Paulo, Brazil</t>
  </si>
  <si>
    <t>Universidade de Sao Paulo; Universidade de Sao Paulo</t>
  </si>
  <si>
    <t>Andrade, LH (corresponding author), Univ Sao Paulo, Inst Quim, Av Prof Lineu Prestes 748, BR-05508900 Sao Paulo, Brazil.</t>
  </si>
  <si>
    <t>lidianepiaui@yahoo.com.br; ednakb@iq.usp.br; thais_pelegrin@yahoo.com.br; vivianp@usp.br; leandroh@iq.usp.br</t>
  </si>
  <si>
    <t>Andrade, Leandro Helgueira/C-1406-2009; Pellizari, Vivian/J-9153-2012</t>
  </si>
  <si>
    <t>Andrade, Leandro Helgueira/0000-0001-5975-4980; Pellizari, Vivian/0000-0003-2757-6352</t>
  </si>
  <si>
    <t>CNPq; CAPES; FAPESP</t>
  </si>
  <si>
    <t>CNPq(Conselho Nacional de Desenvolvimento Cientifico e Tecnologico (CNPQ)); CAPES(Coordenacao de Aperfeicoamento de Pessoal de Nivel Superior (CAPES)); FAPESP(Fundacao de Amparo a Pesquisa do Estado de Sao Paulo (FAPESP))</t>
  </si>
  <si>
    <t>We thank CNPq, CAPES and FAPESP for their financial support. The authors also would like to thank Priscila I. Ushimaru for helping us in the bacteria identification.</t>
  </si>
  <si>
    <t>MDPI AG</t>
  </si>
  <si>
    <t>BASEL</t>
  </si>
  <si>
    <t>POSTFACH, CH-4005 BASEL, SWITZERLAND</t>
  </si>
  <si>
    <t>1660-3397</t>
  </si>
  <si>
    <t>MAR DRUGS</t>
  </si>
  <si>
    <t>Mar. Drugs</t>
  </si>
  <si>
    <t>10.3390/md9050889</t>
  </si>
  <si>
    <t>Chemistry, Medicinal; Pharmacology &amp; Pharmacy</t>
  </si>
  <si>
    <t>Pharmacology &amp; Pharmacy</t>
  </si>
  <si>
    <t>791AP</t>
  </si>
  <si>
    <t>Green Published, Green Submitted, gold</t>
  </si>
  <si>
    <t>WOS:000292632500016</t>
  </si>
  <si>
    <t>Chavtur, VG; Mazdygan, ER</t>
  </si>
  <si>
    <t>Chavtur, V. G.; Mazdygan, E. R.</t>
  </si>
  <si>
    <t>Composition and distribution of pelagic ostracods (Ostracoda: Myodocopa) in the Somov and Ross seas and adjacent waters of the Southern Ocean</t>
  </si>
  <si>
    <t>Ostracoda; Halocyprididae; Cypridinidae; latitudinal and vertical distribution; Somov and Ross Seas; Southern Ocean; Antarctic</t>
  </si>
  <si>
    <t>ANTARCTICA</t>
  </si>
  <si>
    <t>The study of materials collected by Russian expeditions and literature data showed that the pelagic ostracod fauna of the Somov Sea, which lies south of the Antarctic Divergence (AD), is an impoverished complex of the fauna of the Australian-New Zealand Antarctic sector. While to the north of the AD the ostracod fauna includes species introduced from waters of the subantarctic and tropical-subtropical structures, ostracods of the Somov Sea are mainly typical Antarctic species. To the north and south of the AD, ostracod abundance and species richness are highest in the depth range of 200-500 m (especially at 300-400 m). Austrinoecia isocheira is the most common species in the Somov Sea and Alacia hettacra in the adjacent northern region. The more southerly Ross Sea has harsher environmental conditions than the Somov Sea and its ostracod fauna is a more impoverished complex of mainly Antarctic species. Alacia belgicae and A. isocheira are the dominant species in the Ross Sea, with their highest abundances at 200-300 m depths. The proportion of A. hettacra in the Ross Sea taxocene decreases southwards. The taxonomical composition and biogeographical structure of ostracod faunas change in the AD region at the northern boundaries of both seas.</t>
  </si>
  <si>
    <t>[Chavtur, V. G.; Mazdygan, E. R.] Russian Acad Sci, Far E Branch, Inst Marine Biol, Vladivostok 690041, Russia; [Chavtur, V. G.] Far E Fed Univ, Vladivostok 690050, Russia</t>
  </si>
  <si>
    <t>Chavtur, VG (corresponding author), Russian Acad Sci, Far E Branch, Inst Marine Biol, Vladivostok 690041, Russia.</t>
  </si>
  <si>
    <t>vchavtur@imb.dvo.ru</t>
  </si>
  <si>
    <t>Far-Eastern Branch of Russian Academy of Sciences [09-I-P23-01, 09-I-P15-03]</t>
  </si>
  <si>
    <t>Far-Eastern Branch of Russian Academy of Sciences(Russian Academy of Sciences)</t>
  </si>
  <si>
    <t>The project was partially supported by Far-Eastern Branch of Russian Academy of Sciences (grant nos. 09-I-P23-01 and 09-I-P15-03).</t>
  </si>
  <si>
    <t>10.1134/S1063074011030047</t>
  </si>
  <si>
    <t>789MO</t>
  </si>
  <si>
    <t>WOS:000292519800001</t>
  </si>
  <si>
    <t>Fritsen, CH; Wirthlin, ED; Momberg, DK; Lewis, MJ; Ackley, SF</t>
  </si>
  <si>
    <t>Fritsen, Christian H.; Wirthlin, Eric D.; Momberg, Diane K.; Lewis, Michael J.; Ackley, Stephen F.</t>
  </si>
  <si>
    <t>Bio-optical properties of Antarctic pack ice in the early austral spring</t>
  </si>
  <si>
    <t>Algae; Sea ice; Optics; PAR; Snow; Ultraviolet radiation</t>
  </si>
  <si>
    <t>SEA-ICE; MICROBIAL COMMUNITIES; OPTICAL-PROPERTIES; MCMURDO-SOUND; AMINO-ACIDS; LIGHT-TRANSMISSION; THEORETICAL-MODEL; ABSORPTION; MICROALGAE; ALGAE</t>
  </si>
  <si>
    <t>Pack ice in the Bellingshausen Sea contained moderate to high stocks of microalgal biomass (3-10 mg Chl a m(-2)) spanning the range of general sea-ice microalgal microhabitats (e.g., bottom, interior and surface) during the International Polar Year (IPY) Sea Ice Mass Balance in the Antarctic (SIMBA) studies. Measurements of irradiance above and beneath the ice as well as optical properties of the microalgae therein demonstrated that absorption of photosynthetically active radiation (PAR) by particulates (microalgae and detritus) had a substantial influence on attenuation of PAR and irradiance transmission in areas with moderate snow covers (0.2-0.3 m) and more moderate effects in areas with low snow cover. Particulates contributed an estimated 25 to 90% of the attenuation coefficients for the first-year sea ice at wavelengths less than 500 nm. Strong ultraviolet radiation (UVR) absorption by particulates was prevalent in the ice habitats where solar radiation was highest-with absorption coefficients by ice algae often being as large as that of the sea ice. Strong UVR-absorption features were associated with an abundance of dinoflagellates and a general lack of diatoms-perhaps suggesting UVR may be influencing the structure of some parts of the sea-ice microbial communities in the pack ice during spring. We also evaluated the time-varying changes in the spectra of under-ice irradiances in the austral spring and showed dynamics associated with changes that could be attributed to coupled changes in the ice thickness (mass balance) and microalgal biomass. All results are indicative of radiation-induced changes in the absorption properties of the pack ice and highlight the non-linear, time-varying, biophysical interactions operating within the Antarctic pack ice ecosystem. (C) 2010 Elsevier Ltd. All rights reserved.</t>
  </si>
  <si>
    <t>[Fritsen, Christian H.; Wirthlin, Eric D.; Momberg, Diane K.] Univ Nevada, Desert Res Inst, Div Earth &amp; Ecosyst Sci, Reno, NV 89506 USA; [Lewis, Michael J.; Ackley, Stephen F.] Univ Texas San Antonio, Dept Geol Sci, San Antonio, TX USA</t>
  </si>
  <si>
    <t>Nevada System of Higher Education (NSHE); Desert Research Institute NSHE; University of Nevada Reno; University of Texas System; University of Texas at San Antonio (UTSA)</t>
  </si>
  <si>
    <t>Fritsen, CH (corresponding author), Univ Nevada, Desert Res Inst, Div Earth &amp; Ecosyst Sci, Reno, NV 89506 USA.</t>
  </si>
  <si>
    <t>chris.fritsen@dri.edu</t>
  </si>
  <si>
    <t>Desert Research Institute; NSF-Office of Polar Programs [ANT-0529666, ANT-0703682]; NASA [NNX08AQ87G]; NASA [NNX08AQ87G, 95455] Funding Source: Federal RePORTER</t>
  </si>
  <si>
    <t>Desert Research Institute; NSF-Office of Polar Programs(National Science Foundation (NSF)); NASA(National Aeronautics &amp; Space Administration (NASA)); NASA(National Aeronautics &amp; Space Administration (NASA))</t>
  </si>
  <si>
    <t>This research was supported by the Desert Research Institute's sabbatical program as well as NSF-Office of Polar Programs grants ANT-0529666 to C. Fritsen and ANT-0703682 to S. Ackley and NASA grant NNX08AQ87G to S. Ackley. Special thanks are also extended to Sharon Stammerjohn and Martin Vancoppenolle for aid in the field, the field and lab technicians within Raytheon Polar Services Company and the Captain and the crew of the Nathanial B. Palmer. We are also grateful for the service, insight and gracious work provided by the two anonymous reviewers.</t>
  </si>
  <si>
    <t>9-10</t>
  </si>
  <si>
    <t>10.1016/j.dsr2.2010.10.028</t>
  </si>
  <si>
    <t>775ZZ</t>
  </si>
  <si>
    <t>WOS:000291505600005</t>
  </si>
  <si>
    <t>Williams, GD; Meijers, AJS; Poole, A; Mathiot, P; Tamura, T; Klocker, A</t>
  </si>
  <si>
    <t>Williams, G. D.; Meijers, A. J. S.; Poole, A.; Mathiot, P.; Tamura, T.; Klocker, A.</t>
  </si>
  <si>
    <t>Late winter oceanography off the Sabrina and BANZARE coast (117-128°E), East Antarctica</t>
  </si>
  <si>
    <t>SIPEX; Under-ice; Oceanography; East Antarctica</t>
  </si>
  <si>
    <t>WATER MASSES; EUPHAUSIA-SUPERBA; CONTINENTAL-SLOPE; ICE; SEA; CIRCULATION; TRANSPORT; FIELDS; SHELF; OCEAN</t>
  </si>
  <si>
    <t>We report on the late winter oceanography observed beneath the Antarctic sea ice offshore from the Sabrina and BANZARE coast of Wilkes Land, East Antarctica (117-128 degrees E) in September-October 2007 during the Sea Ice Physics and Ecosystem eXperiment (SIPEX). A pilot program using specifically designed 'through-ice' conductivity-temperature-depth (CTD) and acoustic Doppler current profiling (ADCP) systems was conducted to opportunistically measure water mass properties and ocean currents at major ice stations. Additional water mass properties across the survey region were collected from Ice-Argo floats deployed during the voyage north of the 3000 m isobath. The mean drift of the floats was along the slope to the west with the Antarctic Slope Current. Vertical profiles of the potential temperature reveal the deepest (similar to 350-400 m) winter mixed layer (WML) in the western sector of the survey northwest of the Dalton Iceberg Tongue polynya. The meridional structure of the Antarctic Slope Front, i.e. the monotonic shoaling of the WML across the upper continental slope, is found to be similar to the previous observations in summer. A strong bottom-intensified intrusion of modified Circumpolar Deep Water (mCDW) as warm as 0 degrees C was detected beneath the fast ice south of the continental shelf break at 118 degrees E. An mCDW intrusion of similar strength was detected near this location in the austral summer of 1996. We hypothesise that there is a persistent supply of mCDW and associated ocean heat flux to this region of the continental shelf that is capable of migrating to the grounding lines of the nearby Totten Glacier and Moscow University Ice Shelf. There was no detection of locally formed dense shelf water capable of forming Antarctic Bottom Water at the shelf break locations sampled despite the number of minor polynyas across this region. Ocean current measurements, limited to a maximum period of 24 h and 50-100 m depth by the relative scarcity of backscatter, found increased mean vertical speeds at the offshore stations (6-17 cm s(-1)) relative to the shelf break (2.3-6.4 cm s(-1)). The diurnal variation in the ADCP range reflected the diel migration of zooplankton occurring beneath the sea ice in late winter, with greater range/abundance offshore. Concurrent time series of wind, ocean current and their influence on sea ice drift from global positioning system (GPS) compass measurements were examined but the length of data acquisitions limited the applicability of this analysis. Crown Copyright (C) 2010 Published by Elsevier Ltd. All rights reserved.</t>
  </si>
  <si>
    <t>[Williams, G. D.; Tamura, T.] Hokkaido Univ, Inst Low Temp Sci, Sapporo, Hokkaido 060, Japan; [Williams, G. D.; Meijers, A. J. S.; Tamura, T.; Klocker, A.] Antarctic Climate &amp; Ecosyst Cooperat Res Ctr, Sandy Bay, Australia; [Poole, A.] Australian Antarctic Div, Dept Environm Water Heritage &amp; Arts, Kingston, Tas, Australia; [Meijers, A. J. S.; Poole, A.] CSIRO, Ctr Australian Weather &amp; Climate Res, Hobart, Tas, Australia; [Mathiot, P.] Univ Grenoble 1, Lab Ecoulements Geophys &amp; Ind, Grenoble, France</t>
  </si>
  <si>
    <t>Hokkaido University; Antarctic Climate &amp; Ecosystems Cooperative Research Centre (ACE CRC); Australian Antarctic Division; Commonwealth Scientific &amp; Industrial Research Organisation (CSIRO); Communaute Universite Grenoble Alpes; Institut National Polytechnique de Grenoble; Universite Grenoble Alpes (UGA); Centre National de la Recherche Scientifique (CNRS)</t>
  </si>
  <si>
    <t>Williams, GD (corresponding author), Antarctic Climate &amp; Ecosyst Cooperat Res Ctr, Private Bag 80, Hobart, Tas 7001, Australia.</t>
  </si>
  <si>
    <t>guy.darvall.williams@gmail.com</t>
  </si>
  <si>
    <t>Meijers, Andrew/A-9903-2012; Klocker, Andreas/E-4632-2011</t>
  </si>
  <si>
    <t>Klocker, Andreas/0000-0002-2038-7922; Mathiot, Pierre/0000-0002-2001-0762</t>
  </si>
  <si>
    <t>10.1016/j.dsr2.2010.10.035</t>
  </si>
  <si>
    <t>WOS:000291505600016</t>
  </si>
  <si>
    <t>Lewis, MJ; Tison, JL; Weissling, B; Delille, B; Ackley, SF; Brabant, F; Xie, H</t>
  </si>
  <si>
    <t>Lewis, M. J.; Tison, J. L.; Weissling, B.; Delille, B.; Ackley, S. F.; Brabant, F.; Xie, H.</t>
  </si>
  <si>
    <t>Sea ice and snow cover characteristics during the winter-spring transition in the Bellingshausen Sea: An overview of SIMBA 2007</t>
  </si>
  <si>
    <t>Antarctic sea ice; Sea ice properties; Snow properties; Sea ice thermodynamics; Air-ice-ocean interaction; International Polar Year (IPY); Antarctica; Bellingshausen Sea</t>
  </si>
  <si>
    <t>ANTARCTIC PACK-ICE; WESTERN WEDDELL-SEA; TEMPORAL EVOLUTION; SOUTHERN-OCEAN; MASS-BALANCE; VARIABILITY; AMUNDSEN; CONVECTION; THICKNESS; SUMMER</t>
  </si>
  <si>
    <t>The Sea Ice Mass Balance in the Antarctic (SIMBA) experiment was conducted from the RVIB N.B. Palmer in September and October 2007 in the Bellingshausen Sea in an area recently experiencing considerable changes in both climate and sea ice cover. Snow and ice properties were observed at 3 short-term stations and a 27-day drift station (Ice Station Belgica, ISB) during the winter-spring transition. Repeat measurements were performed on sea ice and snow cover at 5 ISB sites, each having different physical characteristics, with mean ice (snow) thicknesses varying from 0.6 m (0.1 m) to 2.3 m (0.7 m). Ice cores retrieved every five days from 2 sites and measured for physical, biological, and chemical properties. Three ice mass-balance buoys (IMBs) provided continuous records of snow and ice thickness and temperature. Meteorological conditions changed from warm fronts with high winds and precipitation followed by cold and calm periods through four cycles during ISB. The snow cover regulated temperature flux and controlled the physical regime in which sea ice morphology changed. Level thin ice areas had little snow accumulation and experienced greater thermal fluctuations resulting in brine salinity and volume changes, and winter maximum thermodynamic growth of similar to 0.6 m in this region. Flooding and snow-ice formation occurred during cold spells in ice and snow of intermediate thickness. In contrast, little snow-ice formed in flooded areas with thicker ice and snow cover, instead nearly isothermal, highly permeable ice persisted. In spring, short-lived cold air episodes did not effectively penetrate the sea ice nor overcome the effect of ocean heat flux, thus favoring net ice thinning from bottom melt over ice thickening from snow-ice growth, in all cases. These warm ice conditions were consistent with regional remote sensing observations of earlier ice breakup and a shorter sea ice season, more recently observed in the Bellingshausen Sea. (C) 2010 Elsevier Ltd. All rights reserved.</t>
  </si>
  <si>
    <t>[Lewis, M. J.; Weissling, B.; Ackley, S. F.; Xie, H.] Univ Texas San Antonio, San Antonio, TX 78249 USA; [Lewis, M. J.] SW Res Inst, San Antonio, TX 78238 USA; [Tison, J. L.; Brabant, F.] Univ Libre Brussels, B-1050 Brussels, Belgium; [Delille, B.] Univ Liege, B-4000 Liege, Belgium</t>
  </si>
  <si>
    <t>University of Texas System; University of Texas at San Antonio (UTSA); Southwest Research Institute; Universite Libre de Bruxelles; University of Liege</t>
  </si>
  <si>
    <t>Lewis, MJ (corresponding author), Univ Texas San Antonio, 1 UTSA Circle, San Antonio, TX 78249 USA.</t>
  </si>
  <si>
    <t>michael.lewis@swri.org</t>
  </si>
  <si>
    <t>Xie, Hongjie/B-5845-2009; Tison, Jean-Louis/F-4065-2015; Delille, Bruno/C-3486-2008</t>
  </si>
  <si>
    <t>Xie, Hongjie/0000-0003-3516-1210; Tison, Jean-Louis/0000-0002-9758-3454; Delille, Bruno/0000-0003-0502-8101</t>
  </si>
  <si>
    <t>National Science Foundation [ANT 0703682]; Southwest Research Institute [R9731]; Belgian 842 Science Policy [SD/CA/03A]; Belgian FRS-FNRS (Fonds National de la Recherche Scientifique-FRFC) [2.4649.07]; FRS-FRNS</t>
  </si>
  <si>
    <t>National Science Foundation(National Science Foundation (NSF)); Southwest Research Institute; Belgian 842 Science Policy; Belgian FRS-FNRS (Fonds National de la Recherche Scientifique-FRFC)(Fonds de la Recherche Scientifique - FNRS); FRS-FRNS(Fonds de la Recherche Scientifique - FNRS)</t>
  </si>
  <si>
    <t>We wish to thank the Captain and crew of the RVIB Nathaniel B. Palmer and the science support team of Raytheon Polar Services. The SIMBA project was supported by the National Science Foundation under NSF Grant ANT 0703682-Sea Ice Mass Balance in the Antarctic to UTSA and S.F. Ackley. M.J. Lewis acknowledges the support of Southwest Research Institute under Internal Research Grant R9731. J.L. Tison and B. Delille acknowledge the support of the Belgian 842 Science Policy (contract SD/CA/03A) and of the Belgian FRS-FNRS (Fonds National de la Recherche Scientifique-FRFC contract no. 2.4649.07). F. Brabant benefits from an ongoing FRIA research grant with the Belgian FRS-FRNS. The authors wish to acknowledge Chris Fritsen for the use of his photographs and the contributions of reviewers for efforts that significantly improved the manuscript.</t>
  </si>
  <si>
    <t>10.1016/j.dsr2.2010.10.027</t>
  </si>
  <si>
    <t>WOS:000291505600003</t>
  </si>
  <si>
    <t>Weissling, BP; Lewis, MJ; Ackley, SF</t>
  </si>
  <si>
    <t>Weissling, B. P.; Lewis, M. J.; Ackley, S. F.</t>
  </si>
  <si>
    <t>Sea-ice thickness and mass at Ice Station Belgica, Bellingshausen Sea, Antarctica</t>
  </si>
  <si>
    <t>Sea-ice; Mass balance; SIMBA; Antarctica; Drift station</t>
  </si>
  <si>
    <t>WESTERN WEDDELL-SEA; SUMMER; WINTER</t>
  </si>
  <si>
    <t>Ice Station Belgica was commenced in late winter 2007 in the Bellingshausen Sea as part of Sea Ice Mass Balance in Antarctica (SIMBA), an IPY 2007 cruise on the research vessel N.B. Palmer. A primary objective was to build on the work of previous Antarctic drift station experiments to geophysically characterize sea ice in terms of thickness, surface and ice bottom morphology, and ultimately area-unitized mass. A 24 day drift station was established at approximately 70 degrees S and 93 degrees W in mixed first-year and multi-year ice with three geophysical study sites selected on a 5 km(2) floe. A comprehensive time series assessment of elevation-surveyed transects ranging from 100 m to 300 m in length included snow surface elevation, snow depth, electromagnetic (EM) profiling, and direct drilling for ice draft and ice freeboard. Additional work included a snow surface morphology characterization of a 100 m x 300 m area between the primary time series EM transects. Correlation of EM ice thicknesses with collocated drilled ice thickness yielded equations for the correction of EM underestimation of thick deformed ice, particularly at pressure ridges. Mean ice thickness from corrected EM was compared to isostatic ice thickness calculated from surface elevation, snow depth, ice freeboard and respective snow, slush, ice, and sea water densities. Results were consistent, with mean ice thicknesses for multi-year ice of 2.35 m, 2.34 m, and 2.41 m, with similar variance, for corrected EM, drilling, and buoyancy methods respectively. Additionally, a mean ice thickness of 2.31 m was calculated from ASPeCt observations of the ice field associated with the floe, using the method incorporating mean sail heights and fractional coverage of surface deformities or ridging. Temporal series assessment of ice freeboard indicated a slightly negative mean ice freeboard (&lt;0.04 m), with clear evidence of new snow-ice formation from the freezing of slush. The three distinct snow and ice regions assessed on the Belgica floe had mean corrected EM ice thickness of 0.52 +/- 0.04 m (+/- 1 std. deviation), 0.92 +/- 0.17 m, and 2.35 +/- 1.37 m, and mean snow depths of 0.08 +/- 0.03 m, 0.36 +/- 0.09 m, and 0.68 +/- 0.31 m respectively. Each ice type represented a sizable fraction of the floe's total area (similar to 20%, 40%, and 40% respectively from visual estimates) reflecting a complex dynamic and thermodynamic history of formation, as well as the difficulty in characterizing even a single floe by a single class or mean value for thickness and snow depth. Implications of these results are discussed with regards to the resolution of satellite-based altimetry and snow depth products and efforts to generate and validate satellite sea ice and snow thickness products. (C) 2010 Elsevier Ltd. All rights reserved.</t>
  </si>
  <si>
    <t>[Weissling, B. P.; Lewis, M. J.; Ackley, S. F.] Univ Texas San Antonio, Dept Geol Sci, Lab Remote Sensing &amp; Geoinformat, San Antonio, TX 78249 USA; [Weissling, B. P.] SWCA Environm Consultants, San Antonio, TX 78249 USA; [Lewis, M. J.] SW Res Inst, San Antonio, TX 78238 USA</t>
  </si>
  <si>
    <t>University of Texas System; University of Texas at San Antonio (UTSA); Southwest Research Institute</t>
  </si>
  <si>
    <t>Weissling, BP (corresponding author), Univ Texas San Antonio, Dept Geol Sci, Lab Remote Sensing &amp; Geoinformat, San Antonio, TX 78249 USA.</t>
  </si>
  <si>
    <t>bweissling@swca.com</t>
  </si>
  <si>
    <t>National Science Foundation [ANT 0703682]; National Aeronautics and Space Administration [NNX08AQ87G]; SWCA Environmental Consultants; Southwest Research Institute(R) [R9731]</t>
  </si>
  <si>
    <t>National Science Foundation(National Science Foundation (NSF)); National Aeronautics and Space Administration(National Aeronautics &amp; Space Administration (NASA)); SWCA Environmental Consultants; Southwest Research Institute(R)</t>
  </si>
  <si>
    <t>The SIMBA project was supported by the National Science Foundation under NSF Grant ANT 0703682-Sea Ice Mass Balance in the Antarctic to UTSA, (S.F. Ackley PI) and National Aeronautics and Space Administration under NASA Grant NNX08AQ87G-Antarctic Sea Ice Thickness from Space to UTSA (S.F. Ackley and H. Xie, Co-Is). B. Weissling acknowledges the support of SWCA Environmental Consultants in this research effort. M.J. Lewis acknowledges the support of Southwest Research Institute (R) under Internal Research Grant R9731. We thank P. Wagner, S. Anderson, J. Pena, and B. Stewart for their assistance in collecting the snow depth, ice thickness and elevation data at Ice Station Belgica.</t>
  </si>
  <si>
    <t>10.1016/j.dsr2.2010.10.032</t>
  </si>
  <si>
    <t>WOS:000291505600009</t>
  </si>
  <si>
    <t>Toyota, T; Massom, R; Tateyama, K; Tamura, T; Fraser, A</t>
  </si>
  <si>
    <t>Toyota, Takenobu; Massom, Robert; Tateyama, Kazutaka; Tamura, Takeshi; Fraser, Alexander</t>
  </si>
  <si>
    <t>Properties of snow overlying the sea ice off East Antarctica in late winter, 2007</t>
  </si>
  <si>
    <t>Antarctic snow on sea ice; Thermal conductivity of snow; Flooding; Snow ice formation; Air-ice drag coefficient; Retrieval of ice thickness from satellite</t>
  </si>
  <si>
    <t>L-BAND SAR; THICKNESS DISTRIBUTION; WEDDELL SEA; THERMAL-CONDUCTIVITY; DRAG COEFFICIENTS; AMUNDSEN SEAS; HEAT-FLUX; PACK ICE; COVER; BELLINGSHAUSEN</t>
  </si>
  <si>
    <t>The properties of snow on East Antarctic sea ice off Wilkes Land were examined during the Sea Ice Physics and Ecosystem Experiment (SIPEX) in late winter of 2007, focusing on the interaction with sea ice. This observation includes 11 transect lines for the measurement of ice thickness, freeboard, and snow depth, 50 snow pits on 13 ice floes, and diurnal variation of surface heat flux on three ice floes. The detailed profiling of topography along the transects and the d(18)O, salinity, and density datasets of snow made it possible to examine the snow-sea-ice interaction quantitatively for the first time in this area. In general, the snow displayed significant heterogeneity in types, thickness (mean: 0.14 +/- 0.13 m), and density (325 +/- 38 kg m(-3)), as reported in other East Antarctic regions. High salinity was confined to the lowest 0.1 m. Salinity and 00 data within this layer revealed that saline water originated from the surface brine of sea ice in 20% of the total sites and from seawater in 80%. From the vertical profiles of snow density, bulk thermal conductivity of snow was estimated as 0.15W K-1 m(-1) on average, only half of the value used for numerical sea-ice models. Although the upward heat flux within snow estimated with this value was significantly lower than that within ice, it turned out that a higher value of thermal conductivity (0.3 to 0.4 W K-1 m(-1)) is preferable for estimating ice growth amount in current numerical models. Diurnal measurements showed that upward conductive heat flux within the snow and net long-wave radiation at the surface seem to play important roles in the formation of snow ice from slush. The detailed surface topography allowed us to compare the air-ice drag coefficients of ice and snow surfaces under neutral conditions, and to examine the possibility of the retrieval of ice thickness distribution from satellite remote sensing. It was found that overall snow cover works to enhance the surface roughness of sea ice rather than moderate it, and increases the drag coefficient by about 10%. As for thickness retrieval, mean ice thickness had a higher correlation with ice surface roughness than mean freeboard or surface elevation, which indicates the potential usefulness of satellite L-band SAR in estimating the ice thickness distribution in the seasonal sea-ice zone. (C) 2010 Elsevier Ltd. All rights reserved.</t>
  </si>
  <si>
    <t>[Toyota, Takenobu] Hokkaido Univ, Inst Low Temp Sci, Kita Ku, Sapporo, Hokkaido 0600819, Japan; [Massom, Robert] Univ Tasmania, Australian Antarctic Div, Hobart, Tas 7001, Australia; [Fraser, Alexander] Univ Tasmania, Antarctic Climate &amp; Ecosyst Cooperat Res Ctr, Inst Marine &amp; Antarct Studies, Hobart, Tas 7001, Australia; [Tateyama, Kazutaka] Kitami Inst Technol, Kitami, Hokkaido 0908507, Japan</t>
  </si>
  <si>
    <t>Hokkaido University; Australian Antarctic Division; University of Tasmania; University of Tasmania; Antarctic Climate &amp; Ecosystems Cooperative Research Centre (ACE CRC); Kitami Institute of Technology</t>
  </si>
  <si>
    <t>Toyota, T (corresponding author), Hokkaido Univ, Inst Low Temp Sci, Kita Ku, N19W8, Sapporo, Hokkaido 0600819, Japan.</t>
  </si>
  <si>
    <t>toyota@lowtem.hokudai.ac.jp</t>
  </si>
  <si>
    <t>Fraser, Alexander/AFO-7186-2022; Toyota, Takenobu/D-9101-2012</t>
  </si>
  <si>
    <t>International Space Science Institute (Bern, Switzerland) [137]; JSPS [18510003 21510002]; Australian Government [3024]; Grants-in-Aid for Scientific Research [21510002] Funding Source: KAKEN</t>
  </si>
  <si>
    <t>International Space Science Institute (Bern, Switzerland); JSPS(Ministry of Education, Culture, Sports, Science and Technology, Japan (MEXT)Japan Society for the Promotion of Science); Australian Government(Australian Government); Grants-in-Aid for Scientific Research(Ministry of Education, Culture, Sports, Science and Technology, Japan (MEXT)Japan Society for the Promotion of ScienceGrants-in-Aid for Scientific Research (KAKENHI))</t>
  </si>
  <si>
    <t>The authors deeply appreciate the support given by the crew and scientists onboard the R/V Aurora Australis during SIPEX. Special thanks are given to the chief scientist, Dr. A. Worby, for his dedicated assistance. Discussion with Akihiro Hachikubo and Hiroyuki Enomoto were helpful. The International Space Science Institute (Bern, Switzerland) is also acknowledged for supporting this study via project #137. This work was supported partly by JSPS KAKENHI 18510003 &amp; 21510002 [Grant-in-Aid for Scientific Research (C)] and partly by the Australian Government's Cooperative Research Centre program through the ACE CRC, and contributes to AAS Project 3024.</t>
  </si>
  <si>
    <t>10.1016/j.dsr2.2010.12.002</t>
  </si>
  <si>
    <t>WOS:000291505600011</t>
  </si>
  <si>
    <t>Sampson, C; Golden, KM; Gully, A; Worby, AP</t>
  </si>
  <si>
    <t>Sampson, C.; Golden, K. M.; Gully, A.; Worby, A. P.</t>
  </si>
  <si>
    <t>Surface impedance tomography for Antarctic sea ice</t>
  </si>
  <si>
    <t>Sea ice; Electrical conductivity; Wenner array; Surface impedance tomography</t>
  </si>
  <si>
    <t>THICKNESS MEASUREMENTS; DIELECTRIC-CONSTANT; RESISTIVITY; BOUNDS; PERMITTIVITY; CONDUCTIVITY; SUMMER; WINTER</t>
  </si>
  <si>
    <t>During the 2007 SIPEX expedition in pack ice off the coast of East Antarctica, we measured the electrical conductivity of sea ice via surface impedance tomography. Resistance data from classical four-probe Wenner arrays on the surfaces of ice floes were used to indirectly reconstruct the conductivity profiles with depth, involving both the horizontal and vertical components. A common problem with these reconstructions is the lack of uniqueness of the inversions, which worsens as the number of layers in the model increases. In the past, three layer inversions have been used to help avoid non-uniqueness. However, this approach assumes that the conductivity profile of sea ice does not change very much with depth. In order to investigate the conductivity profiles one needs to use more layers in the reconstruction. A reasonable starting model is a useful tool that can be used to regularize the inverse problem, allowing a reconstruction that not only matches the Wenner impedance data but the actual profile. Using measurements of brine volume fraction for 10 cm sections of ice cores taken at the Wenner array site, and various models relating brine volume fraction to conductivity, we compare the predicted conductivity profiles based on the models to the reconstructions from the tomographic measurements. We note the close agreement with the actual data for some models and the inadequacy of others. Such models could be useful in finding a reasonable starting point for regularizing inversions, and using n-layer models to reconstruct accurate conductivity profiles. Our results help to provide a rigorous basis for electromagnetic methods of obtaining sea ice thickness data, a key gauge of the impact of climate change in the polar regions. (C) 2010 Elsevier Ltd. All rights reserved.</t>
  </si>
  <si>
    <t>[Sampson, C.; Golden, K. M.; Gully, A.] Univ Utah, Dept Math, Salt Lake City, UT 84112 USA; [Worby, A. P.] Univ Tasmania, Australian Antarctic Div, Hobart, Tas 7001, Australia; [Worby, A. P.] Univ Tasmania, ACE CRC, Hobart, Tas 7001, Australia</t>
  </si>
  <si>
    <t>Utah System of Higher Education; University of Utah; University of Tasmania; Australian Antarctic Division; Antarctic Climate &amp; Ecosystems Cooperative Research Centre (ACE CRC); University of Tasmania</t>
  </si>
  <si>
    <t>Golden, KM (corresponding author), Univ Utah, Dept Math, 155 S 1400 RM 233, Salt Lake City, UT 84112 USA.</t>
  </si>
  <si>
    <t>golden@math.utah.edu</t>
  </si>
  <si>
    <t>Worby, Anthony P/A-2373-2012</t>
  </si>
  <si>
    <t>Division of Mathematical Sciences; US National Science Foundation (NSF); NSF; Directorate For Geosciences; Office of Polar Programs (OPP) [0934721] Funding Source: National Science Foundation</t>
  </si>
  <si>
    <t>Division of Mathematical Sciences(National Science Foundation (NSF)NSF - Directorate for Mathematical &amp; Physical Sciences (MPS)); US National Science Foundation (NSF)(National Science Foundation (NSF)); NSF(National Science Foundation (NSF)); Directorate For Geosciences; Office of Polar Programs (OPP)(National Science Foundation (NSF)NSF - Directorate for Geosciences (GEO))</t>
  </si>
  <si>
    <t>We are very grateful for the support provided by the Division of Mathematical Sciences and the Arctic Natural Sciences Program at the US National Science Foundation (NSF). Adam Gully was supported by the NSF Research Experiences for Undergraduates (REU) Program and an NSF VIGRE graduate fellowship, and Christian Sampson was supported by the NSF REU Program. We thank Joyce Lin for providing Fig. 2 illustrating the electric current streamlines for the Wenner array. We also thank the Australian Antarctic Division and the crew of the Aurora Australis for their help and support during the SIPEX Antarctic expedition.</t>
  </si>
  <si>
    <t>10.1016/j.dsr2.2010.12.003</t>
  </si>
  <si>
    <t>WOS:000291505600012</t>
  </si>
  <si>
    <t>Toyota, T; Haas, C; Tamura, T</t>
  </si>
  <si>
    <t>Toyota, Takenobu; Haas, Christian; Tamura, Takeshi</t>
  </si>
  <si>
    <t>Size distribution and shape properties of relatively small sea-ice floes in the Antarctic marginal ice zone in late winter</t>
  </si>
  <si>
    <t>Sea ice; Floe size distribution; Ocean-ice-atmosphere system; Ice melting; Marginal ice zone; Scale invariance</t>
  </si>
  <si>
    <t>OCEAN WAVES; SELF-SIMILARITY; FRACTURE; MODEL; FRAGMENTATION; ATTENUATION; GEOMETRY; SUMMER; COVER</t>
  </si>
  <si>
    <t>In the marginal sea ice zone (MIZ), where relatively small ice floes are dominant, the floe size distribution is an important parameter affecting melt processes given the larger cumulative perimeter of multiple small floes compared with a single ice floe of the same area. Smaller ice floes are therefore subject to increased lateral melt. However, the available data have been very limited so far. Analysis of sea ice in the Sea of Okhotsk revealed that while floe size distribution is basically scale invariant, a regime shift occurs at a size of about 40 m. In order to extend this preliminary result to the Antarctic MIZ and further examine the controlling factors, the first concurrent ice floe size and ice thickness measurements were conducted in the northwestern Weddell Sea and off Wilkes Land (around 64 degrees S, 117 degrees E) with a heli-borne digital video camera in the late winter of 2006 and 2007, respectively. The floe sizes ranged from 2 to 100 m. Our analysis shows: 1) the scale invariance and regime shift are confirmed in both regions; 2) the floe size at which regime shift occurs slightly increases from 20 to 40 m, with ice thickness, consistent with the theory of the flexural failure of sea ice; and 3) the aspect ratio is 1.6-1.9 on average, close to the previous results. Based on these results, the processes affecting the floe size distribution and the subsequent implications on melt processes are discussed. By applying a renormalization group method to interpret the scale invariance in floe size distribution, the fractal dimension is related to the fragility of sea ice. These results indicate the importance of wave-ice interaction in determining the floe size distribution. (C) 2010 Elsevier Ltd. All rights reserved.</t>
  </si>
  <si>
    <t>[Toyota, Takenobu] Hokkaido Univ, Inst Low Temp Sci, Kita Ku, Sapporo, Hokkaido 0600819, Japan; [Haas, Christian] Univ Alberta, Dept Earth &amp; Atmospher Sci, Edmonton, AB T6G 2E3, Canada; [Tamura, Takeshi] Univ Tasmania, Antarctic Climate &amp; Ecosyst Cooperat Res Ctr, Hobart, Tas 7001, Australia</t>
  </si>
  <si>
    <t>Hokkaido University; University of Alberta; Antarctic Climate &amp; Ecosystems Cooperative Research Centre (ACE CRC); University of Tasmania</t>
  </si>
  <si>
    <t>toyota@lowtem.hokudai.ac.jp; Christian.Haas@ualberta.ca; Takeshi.Tamura@utas.edu.au</t>
  </si>
  <si>
    <t>Toyota, Takenobu/D-9101-2012; Haas, Christian/L-5279-2016</t>
  </si>
  <si>
    <t>Haas, Christian/0000-0002-7674-3500</t>
  </si>
  <si>
    <t>JSPS KAKENHI [18510003, 21510002]; Grants-in-Aid for Scientific Research [21510002, 18510003] Funding Source: KAKEN</t>
  </si>
  <si>
    <t>The authors deeply appreciate the support by all the crew and scientists of R/V Polarstern and R/V Aurora Australis during the expeditions of WWOS and SIPEX, respectively. Special thanks are given to the respective chief scientists, Prof. P. Lemke and Dr. A. Worby for their arrangements. Discussion with Prof. K. Golden, Dr. R. Massom and Prof. J. Ukita, proof reading by Dr. G. Williams, and valuable comments by anonymous reviewers were also helpful. Image processing was carried out using Image Pro Plus ver.4.0. This work was supported by JSPS KAKENHI 18510003 &amp; 21510002 [Grant-in-Aid for Scientific Research (C)].</t>
  </si>
  <si>
    <t>10.1016/j.dsr2.2010.10.034</t>
  </si>
  <si>
    <t>Green Accepted, Green Submitted</t>
  </si>
  <si>
    <t>WOS:000291505600015</t>
  </si>
  <si>
    <t>O'Brien, C; Virtue, P; Kawaguchi, S; Nichols, PD</t>
  </si>
  <si>
    <t>O'Brien, C.; Virtue, P.; Kawaguchi, S.; Nichols, P. D.</t>
  </si>
  <si>
    <t>Aspects of krill growth and condition during late winter-early spring off East Antarctica (110-130°E)</t>
  </si>
  <si>
    <t>Euphausia superba; Lipids; Fatty acids; Growth; Overwintering; East Antarctica</t>
  </si>
  <si>
    <t>MARGINAL ICE-ZONE; COPEPODS CALANUS-PROPINQUUS; FATTY-ACID COMPOSITION; EUPHAUSIA-SUPERBA; SOUTHERN-OCEAN; SEA-ICE; LIPID-COMPOSITION; DIGESTIVE GLAND; WEDDELL SEA; OVERWINTERING STRATEGY</t>
  </si>
  <si>
    <t>Antarctic krill, Euphausia superba, is a keystone species in the Southern Ocean. However, information on growth, diet and condition during winter and early spring is limited, hampering our understanding of these fundamental biological parameters at this important period in their lifecycle. Our study assessed diet and condition of larval and postlarval krill collected from open water and below the ice off East Antarctica (110-130 degrees E) in September/October 2007. Condition was assessed using lipid content, growth rates and digestive gland size; feeding history was assessed using fatty acid profiles and stomach content analysis; and a 207-day starvation study investigated the response of krill to long-term food deprivation. Potential food items (Calanus propinquus and sea-ice biota) were analysed for lipid and fatty acid composition to compare with krill samples. Krill were found to be in good condition, with mean growth rate of 0.95% per moult for postlarvae and 14.79% for larvae, and mean lipid content of 24.1% for postlarvae and 6.6% for larvae. Fatty acid profiles and stomach content analysis revealed two main feeding strategies - krill below the ice were feeding mostly on sea-ice diatoms, while those in open water were ingesting copepods and detritus. Krill below the ice had larger digestive glands than those in open water. Furciliae fatty acid profiles indicated a diet of heterotrophic flagellates and/or detritus. Postlarval krill survived 207 days of food deprivation by using body protein and lipid reserves for energy. In contrast, krill furciliae were severely depleted after just 5 days of food deprivation, indicating that they must feed continually at this time of year. Krill, copepods and sea-ice biota were all low in polyunsaturated fatty acids, indicating that krill must rely on later spring phytoplankton blooms to obtain these essential nutrients required for reproduction. (C) 2010 Elsevier Ltd. All rights reserved.</t>
  </si>
  <si>
    <t>[O'Brien, C.; Virtue, P.] Univ Tasmania, Inst Antarctic &amp; So Ocean Studies, Hobart, Tas 7001, Australia; [Kawaguchi, S.] Australian Antarctic Div, Kingston, Tas 7050, Australia; [Nichols, P. D.] Antarctic Climate &amp; Ecosyst Cooperat Res Ctr, Hobart, Tas 7001, Australia; [Nichols, P. D.] CSIRO Marine &amp; Atmospher Res, Food Futures Flagship, Hobart, Tas 7001, Australia</t>
  </si>
  <si>
    <t>University of Tasmania; Australian Antarctic Division; Antarctic Climate &amp; Ecosystems Cooperative Research Centre (ACE CRC); Commonwealth Scientific &amp; Industrial Research Organisation (CSIRO)</t>
  </si>
  <si>
    <t>O'Brien, C (corresponding author), Univ Tasmania, Inst Antarctic &amp; So Ocean Studies, Private Bag 77, Hobart, Tas 7001, Australia.</t>
  </si>
  <si>
    <t>colleeno@utas.edu.au</t>
  </si>
  <si>
    <t>O'Brien, Colleen/H-7698-2015; Kawaguchi, So/N-1795-2017; Nichols, Peter D/C-5128-2011</t>
  </si>
  <si>
    <t>O'Brien, Colleen/0000-0003-4456-8119; Kawaguchi, So/0000-0002-2042-5095; Virtue, Patti/0000-0002-9870-1256</t>
  </si>
  <si>
    <t>10.1016/j.dsr2.2010.11.001</t>
  </si>
  <si>
    <t>WOS:000291505600017</t>
  </si>
  <si>
    <t>DeLiberty, TL; Geiger, CA; Ackley, SF; Worby, AP; Van Woert, ML</t>
  </si>
  <si>
    <t>DeLiberty, Tracy L.; Geiger, Cathleen A.; Ackley, Stephen F.; Worby, Anthony P.; Van Woert, Michael L.</t>
  </si>
  <si>
    <t>Estimating the annual cycle of sea-ice thickness and volume in the Ross Sea</t>
  </si>
  <si>
    <t>Sea ice; Thickness; Volume; Ross Sea; Antarctica</t>
  </si>
  <si>
    <t>WEDDELL SEA; PACK ICE; ANTARCTICA; VARIABILITY; POLYNYA; MOTION</t>
  </si>
  <si>
    <t>Antarctic sea-ice thickness and concentration derived from satellite-based ice charts are compared to contemporaneous ship-based estimates of the same parameters collected in the Ross Sea between 130 W and 160 E from 1995 to 1998. Thickness variability exists on the scale of individual ice-chart polygons (tens of kilometers), but found compatible with WMO thickness ranges except in areas with high concentration of ridging. Very good agreement is found between the thickness distributions on the regional scale of the Ross Sea with an annual (climatological) average thickness of 0.65 m for the ice charts in comparison to 0.76 m for the ship-based measurements. Given these analyses, we proceed by examining resulting annual cycle and interannual sea-ice thickness and volume estimates for the Ross Sea region resolved to weekly time intervals. The weekly thickness estimates show the influence of thicker ice advected from the Amundsen Sea, new ice produced adjacent to Ross Ice Shelf, and changes in the Ross Sea polynya. The relationship between weekly ice extent and volume indicate a lag (one to nine weeks) of volume (mass) due to thickness processes during the growth season which differs from lateral extent in 1996-1998, while both extent and volume are more similar during the melt season. The maximum extent and volume occur simultaneously in 1995-1997, but in 1998 the volume peak lags extent by almost 5 weeks. Moreover, thickness variability is found to be more sensitive than extent to climate events during the 1996 La Nina and 1997/98 El Nino episodes. We postulate, therefore, that ice thickening processes evolve somewhat independent of sea-ice extent. These results contradict some existing model studies which show that sea-ice thickness and extent co-vary. Hence, the thickness estimates here demonstrate the importance of measured ice thickness which responds distinctly different from extent in response to dynamic and thermodynamic processes during the annual cycle. (C) 2011 Elsevier Ltd. All rights reserved.</t>
  </si>
  <si>
    <t>[DeLiberty, Tracy L.; Geiger, Cathleen A.] Univ Delaware, Dept Geog, Newark, DE 19716 USA; [Ackley, Stephen F.] Univ Texas San Antonio, Dept Geol Sci, San Antonio, TX 78249 USA; [Worby, Anthony P.] Australian Antarctic Div, Hobart, Tas 7001, Australia; [Worby, Anthony P.] Antarctic Climate &amp; Ecosyst Cooperat Res Ctr, Hobart, Tas 7001, Australia; [Van Woert, Michael L.] Natl Sci Fdn, Off Polar Programs, Arlington, VA 22230 USA</t>
  </si>
  <si>
    <t>University of Delaware; University of Texas System; University of Texas at San Antonio (UTSA); Australian Antarctic Division; Antarctic Climate &amp; Ecosystems Cooperative Research Centre (ACE CRC); National Science Foundation (NSF); NSF - Directorate for Geosciences (GEO); NSF - Office of Polar Programs (OPP)</t>
  </si>
  <si>
    <t>DeLiberty, TL (corresponding author), Univ Delaware, Dept Geog, Newark, DE 19716 USA.</t>
  </si>
  <si>
    <t>tracyd@udel.edu</t>
  </si>
  <si>
    <t>US National Science Foundation [OPPOPP0088040, ANT0703682]; Clarkson University; University Texas at San Antonio; National Ice Center [DG133E-02-SE-0699, DG133E-03-SE1055, DG133E-04-SE-1072]; Australian Government's Cooperative Research Centers Programme through the Antarctic Climate and Ecosystems Cooperative Research Center (ACE CRC); International Space Science Institute (Bern, Switzerland) [137, 169]</t>
  </si>
  <si>
    <t>US National Science Foundation(National Science Foundation (NSF)); Clarkson University; University Texas at San Antonio; National Ice Center; Australian Government's Cooperative Research Centers Programme through the Antarctic Climate and Ecosystems Cooperative Research Center (ACE CRC)(Australian GovernmentDepartment of Industry, Innovation and ScienceCooperative Research Centres (CRC) Programme); International Space Science Institute (Bern, Switzerland)</t>
  </si>
  <si>
    <t>We thank M.O. Jeffries for his scientific leadership of the Nathaniel B. Palmer during the 1995 and 1998 cruises. Beth Schellenberg is thankfully acknowledged for her contribution as part of her graduate studies from the University of Delaware in 2002. Funding was initially provided by the US National Science Foundation under grants OPPOPP0088040 and ANT0703682 to the University of Delaware, Clarkson University, and University Texas at San Antonio from 2000-2004, as well as National Ice Center contracts to the University of Delaware (DG133E-02-SE-0699. DG133E-03-SE1055, DG133E-04-SE-1072) from 2004-2008. This work was also supported by the Australian Government's Cooperative Research Centers Programme through the Antarctic Climate and Ecosystems Cooperative Research Center (ACE CRC) for these efforts. The International Space Science Institute (Bern, Switzerland) is acknowledged for supporting collaborative engagements of this study through project #137 (2007 - 2009: Monitoring of Antarctic sea ice during IPY 2007/08) and #169 (2009 - 2011: Space-borne monitoring of polar sea ice). Cathleen Geiger also wishes to thank the Max-Planck-Institute for Solar System Research in Katlenburg - Lindau, Germany for hospitality and support to complete this manuscript during the 2010 summer.</t>
  </si>
  <si>
    <t>10.1016/j.dsr2.2010.12.005</t>
  </si>
  <si>
    <t>WOS:000291505600020</t>
  </si>
  <si>
    <t>Merlino, A; Howes, BD; di Prisco, G; Verde, C; Smulevich, G; Mazzarella, L; Vergara, A</t>
  </si>
  <si>
    <t>Merlino, Antonello; Howes, Barry D.; di Prisco, Guido; Verde, Cinzia; Smulevich, Giulietta; Mazzarella, Lelio; Vergara, Alessandro</t>
  </si>
  <si>
    <t>Occurrence and Formation of Endogenous Histidine Hexa-Coordination in Cold-Adapted Hemoglobins</t>
  </si>
  <si>
    <t>crystallography; EPR; hemichrome; quaternary structure; resonance Raman; root effect</t>
  </si>
  <si>
    <t>CRYSTAL-STRUCTURE; CRYSTALLOGRAPHIC CHARACTERIZATION; STRUCTURAL-CHARACTERIZATION; TETRAMERIC HEMOGLOBIN; FERRIC HEME; FISH; HEMICHROME; OXIDATION; HEXACOORDINATION; RESONANCE</t>
  </si>
  <si>
    <t>Spectroscopic and crystallographic evidence of endogenous (His) ligation at the sixth coordination site of the heme iron has been reported for monomeric, dimeric, and tetrameric hemoglobins (Hbs) in both ferrous (hemochrome) and ferric (hemichrome) oxidation states. In particular, the ferric bis-histidyl adduct represents a common accessible ordered state for the beta chains of all tetrameric Hbs isolated from Antarctic and sub-Antarctic fish. Indeed, the crystal structures of known tetrameric Hbs in the bis-His state are characterized by a different binding state of the alpha and beta chains. An overall analysis of the bis-histidyl adduct of globin structures deposited in the Protein Data Bank reveals a marked difference between hemichromes in tetrameric Hbs compared to monomeric/dimeric Hbs. Herein, we review the structural, spectroscopic and stability features of hemichromes in tetrameric Antarctic fish Hbs. The role of bis-histidyl adducts is also addressed in a more evolutionary context alongside the concept of its potential physiological role. (C) 2011 IUBMB IUBMB Life, 63(5): 295-303, 2011</t>
  </si>
  <si>
    <t>[Merlino, Antonello; Mazzarella, Lelio; Vergara, Alessandro] Univ Naples Federico II, Dept Chem Paolo Corradini, I-8012 Naples, Italy; [Merlino, Antonello; Mazzarella, Lelio; Vergara, Alessandro] CNR, Ist Biostrutture &amp; Bioimmagini, I-80134 Naples, Italy; [Howes, Barry D.; Smulevich, Giulietta] Univ Florence, Dipartimento Chim Ugo Schiff, I-50019 Sesto Fiorentino, FI, Italy; [di Prisco, Guido; Verde, Cinzia] CNR, Inst Prot Biochem, I-80131 Naples, Italy</t>
  </si>
  <si>
    <t>University of Naples Federico II; Consiglio Nazionale delle Ricerche (CNR); Istituto di Biostrutture e Bioimmagini (IBB-CNR); University of Florence; Consiglio Nazionale delle Ricerche (CNR); Istituto di Biochimica delle Proteine (IBP-CNR)</t>
  </si>
  <si>
    <t>Vergara, A (corresponding author), Univ Naples Federico II, Dept Chem Paolo Corradini, Via Cinthia, I-8016 Naples, Italy.</t>
  </si>
  <si>
    <t>giulietta.smulevich@unifi.it; avergara@unina.it</t>
  </si>
  <si>
    <t>Merlino, Antonello/AAI-2114-2020; Vergara, Alessandro/C-4435-2013</t>
  </si>
  <si>
    <t>Vergara, Alessandro/0000-0003-4135-0245; Smulevich, Giulietta/0000-0003-3021-8919; VERDE, Cinzia/0000-0001-6185-282X; Merlino, Antonello/0000-0002-1045-7720</t>
  </si>
  <si>
    <t>Italian Ministero dell'Istruzione, dell'Universita' e della Ricerca (MIUR) [2007SFZXZ7]; Italian National Programme for Antarctic Research (PNRA)</t>
  </si>
  <si>
    <t>Italian Ministero dell'Istruzione, dell'Universita' e della Ricerca (MIUR)(Ministry of Education, Universities and Research (MIUR)); Italian National Programme for Antarctic Research (PNRA)</t>
  </si>
  <si>
    <t>This work was financially supported by grants from the Italian Ministero dell'Istruzione, dell'Universita' e della Ricerca (MIUR) (PRIN 2007SFZXZ7, Structure, function, and evolution of heme proteins from Arctic and Antarctic marine organisms: cold adaptation mechanisms and acquisition of new functions) and by the Italian National Programme for Antarctic Research (PNRA). It is in the framework of the SCAR programme Evolution and Biodiversity in the Antarctic (EBA), and the project CAREX (Coordination Action for Research Activities on Life in Extreme Environments), European Commission FP7 call ENV.2007.2.2.1.6.</t>
  </si>
  <si>
    <t>1521-6551</t>
  </si>
  <si>
    <t>10.1002/iub.446</t>
  </si>
  <si>
    <t>775CD</t>
  </si>
  <si>
    <t>WOS:000291433900002</t>
  </si>
  <si>
    <t>Riccio, A; Mangiapia, G; Giordano, D; Flagiello, A; Tedesco, R; Bruno, S; Vergara, A; Mazzarella, L; di Prisco, G; Pucci, P; Paduano, L; Verde, C</t>
  </si>
  <si>
    <t>Riccio, Alessia; Mangiapia, Gaetano; Giordano, Daniela; Flagiello, Angela; Tedesco, Roberta; Bruno, Stefano; Vergara, Alessandro; Mazzarella, Lelio; di Prisco, Guido; Pucci, Piero; Paduano, Luigi; Verde, Cinzia</t>
  </si>
  <si>
    <t>Polymerization of Hemoglobins in Arctic Fish: Lycodes reticulatus and Gadus morhua</t>
  </si>
  <si>
    <t>Arctic; fish; hemoglobin; polymerization</t>
  </si>
  <si>
    <t>AMINO-ACID-SEQUENCE; CRYSTAL-STRUCTURE; TELEOST; ADAPTATION; PH; MECHANISMS; BERNACCHII; EVOLUTION; RESIDUES; SYSTEM</t>
  </si>
  <si>
    <t>In vitro, and possibly in vivo, hemoglobin polymerization and red blood cell sickling appear to be widespread in codfish. In this article, we show that the hemoglobins of the two Arctic fish Lycodes reticulatus and Gadus morhua also have the tendency to polymerize, as monitored by dynamic light scattering experiments. The elucidation of the primary structure of the single hemoglobin of the zoarcid L. reticulatus shows the presence of a large number of cysteyl residues in alpha and beta chains. Their role in eliciting the ability to produce polymers was also addressed by MALDI-TOF and TOF-TOF mass spectrometry. The G. morhua globins are also rich in Cys, but unlike in L. reticulatus, polymerization does not seem to be disulfide driven. The widespread occurrence of the polymerization phenomenon displayed by hemoglobins of Arctic fish supports the hypothesis that this feature may be a response to stressful environmental conditions. (C) 2011 IUBMB IUBMB Life, 63(5): 346-354, 2011</t>
  </si>
  <si>
    <t>[Riccio, Alessia; Giordano, Daniela; di Prisco, Guido; Verde, Cinzia] CNR, Inst Prot Biochem, I-80131 Naples, Italy; [Mangiapia, Gaetano; Vergara, Alessandro; Mazzarella, Lelio; Paduano, Luigi] Univ Naples Federico II, Dept Chem, Naples, Italy; [Flagiello, Angela; Tedesco, Roberta; Pucci, Piero] Univ Naples Federico II, CEINGE Biotecnol Avanzate, Naples, Italy; [Bruno, Stefano] Univ Parma, Dipartimento Biochim &amp; Biol Mol, I-43100 Parma, Italy; [Vergara, Alessandro; Mazzarella, Lelio] CNR, Ist Biostrutt &amp; Bioimmagini, I-80131 Naples, Italy; [Pucci, Piero] Univ Naples Federico II, Dept Organ Chem &amp; Biochem, Naples, Italy</t>
  </si>
  <si>
    <t>Consiglio Nazionale delle Ricerche (CNR); Istituto di Biochimica delle Proteine (IBP-CNR); University of Naples Federico II; University of Naples Federico II; CEINGE Biotecnologie Avanzate; University of Parma; Consiglio Nazionale delle Ricerche (CNR); Istituto di Biomembrane e Bioenergetica (IBBE-CNR); Consiglio Nazionale delle Ricerche (CNR); Istituto di Biostrutture e Bioimmagini (IBB-CNR); University of Naples Federico II</t>
  </si>
  <si>
    <t>Vergara, Alessandro/C-4435-2013; Giordano, Daniela/AFK-7772-2022; paduano, luigi/F-6443-2013; Bruno, Stefano/A-4582-2011</t>
  </si>
  <si>
    <t>Giordano, Daniela/0000-0002-8891-6245; VERDE, Cinzia/0000-0001-6185-282X; PADUANO, Luigi/0000-0002-1105-4237; Vergara, Alessandro/0000-0003-4135-0245; PUCCI, Pietro/0000-0002-5885-1495; Bruno, Stefano/0000-0002-7890-2472</t>
  </si>
  <si>
    <t>This study is financially supported by the Italian National Programme for Antarctic Research (PNRA). It is in the framework of the SCAR programme Evolution and Biodiversity in the Antarctic (EBA), the project CAREX (Coordination Action for Research Activities on Life in Extreme Environments), European Commission FP7 call ENV.2007.2.2.1.6, and of the cruises TUNU I-IV (Greenland). The protein sequence data reported in this article will appear in the UniProt Knowledge-base under the accession number(s): P86882 (L. reticulatus alpha chain); P86879 and P86887 (L. reticulatus beta1 and beta2 chain, respectively).</t>
  </si>
  <si>
    <t>10.1002/iub.450</t>
  </si>
  <si>
    <t>WOS:000291433900008</t>
  </si>
  <si>
    <t>Contreras-Reyes, E; Carrizo, D</t>
  </si>
  <si>
    <t>Contreras-Reyes, Eduardo; Carrizo, Daniel</t>
  </si>
  <si>
    <t>Control of high oceanic features and subduction channel on earthquake ruptures along the Chile-Peru subduction zone</t>
  </si>
  <si>
    <t>PHYSICS OF THE EARTH AND PLANETARY INTERIORS</t>
  </si>
  <si>
    <t>Bathymetry; Asperity; Barrier; Subduction channel; Earthquake rupture; 1960 and 2010 megathrust earthquakes</t>
  </si>
  <si>
    <t>CRUSTAL DEFORMATION; CENTRAL ANDES; NAZCA RIDGE; MARGIN; GPS; BARRIERS; FAULT; ASPERITIES; MODEL; SLIP</t>
  </si>
  <si>
    <t>We discuss the earthquake rupture behavior along the Chile-Peru subduction zone in terms of the buoyancy of the subducting high oceanic features (HOF's), and the effect of the interplay between HOF and subduction channel thickness on the degree of interplate coupling. We show a strong relation between subduction of HOF's and earthquake rupture segments along the Chile-Peru margin, elucidating how these subducting features play a key role in seismic segmentation. Within this context, the extra increase of normal stress at the subduction interface is strongly controlled by the buoyancy of HOF's which is likely caused by crustal thickening and mantle serpentinization beneath hotspot ridges and fracture zones, respectively. Buoyancy of HOF's provide an increase in normal stress estimated to be as high as 10-50 MPa. This significant increase of normal stress will enhance seismic coupling across the subduction interface and hence will affect the seismicity. In particular, several large earthquakes (M-w &gt;= 7.5) have occurred in regions characterized by subduction of HOF's including fracture zones (e.g., Nazca, Challenger and Mocha), hotspot ridges (e.g., Nazca, Iquique, and Juan Fernandez) and the active Nazca-Antarctic spreading center. For instance, the giant 1960 earthquake (M-w = 9.5) is coincident with the linear projections of the Mocha Fracture Zone and the buoyant Chile Rise, while the active seismic gap of north Chile spatially correlates with the subduction of the Iquique Ridge. Further comparison of rupture characteristics of large underthrusting earthquakes and the locations of subducting features provide evidence that HOF's control earthquake rupture acting as both asperities and barriers. This dual behavior can be partially controlled by the subduction channel thickness. A thick subduction channel smooths the degree of coupling caused by the subducted HOF which allows lateral earthquake rupture propagation. This may explain why the 1960 rupture propagates through six major fracture zones, and ceased near the Mocha Fracture Zone in the north and at the Chile Rise in the south (regions characterized by a thin subduction channel). In addition, the thin subduction channel (north of the Juan Fernandez Ridge) reflects a heterogeneous frictional behavior of the subduction interface which appears to be mainly controlled by the subduction of HOF's. (C) 2011 Elsevier By. All rights reserved.</t>
  </si>
  <si>
    <t>[Contreras-Reyes, Eduardo; Carrizo, Daniel] Univ Chile, Dept Geofis, Fac Ciencias Fis &amp; Matemat, Santiago, Chile; [Carrizo, Daniel] Univ Chile, Adv Min Technol Ctr AMTC, Fac Ciencias Fis &amp; Matemat, Santiago, Chile</t>
  </si>
  <si>
    <t>Universidad de Chile; Universidad de Chile</t>
  </si>
  <si>
    <t>Contreras-Reyes, E (corresponding author), Univ Chile, Dept Geofis, Fac Ciencias Fis &amp; Matemat, Santiago, Chile.</t>
  </si>
  <si>
    <t>econtreras@dgf.uchile.cl</t>
  </si>
  <si>
    <t>Carrizo, Daniel/M-9322-2019; Contreras-Reyes, Eduardo/H-3867-2013</t>
  </si>
  <si>
    <t>Carrizo, Daniel/0000-0002-7205-7693; Contreras-Reyes, Eduardo/0000-0002-6506-9258</t>
  </si>
  <si>
    <t>Chilean National Science Foundation (FONDECYT) [11090009]</t>
  </si>
  <si>
    <t>Chilean National Science Foundation (FONDECYT)(Comision Nacional de Investigacion Cientifica y Tecnologica (CONICYT)CONICYT FONDECYT)</t>
  </si>
  <si>
    <t>We thank Javier Ruiz and Sergio Ruiz for fruitful discussions. Eduardo Contreras-Reyes acknowledges the support of the Chilean National Science Foundation (FONDECYT) project # 11090009. We thank Marta Bejar-Pizarro and Marcos Moreno for providing the digital coseismic slip models. We also thank M.A. Gutscher, an anonymous reviewer, and the Editor George Helffrich for comments on the manuscript. We appreciate comments on the English provided by Dave Rahn.</t>
  </si>
  <si>
    <t>0031-9201</t>
  </si>
  <si>
    <t>1872-7395</t>
  </si>
  <si>
    <t>PHYS EARTH PLANET IN</t>
  </si>
  <si>
    <t>Phys. Earth Planet. Inter.</t>
  </si>
  <si>
    <t>10.1016/j.pepi.2011.03.002</t>
  </si>
  <si>
    <t>774WS</t>
  </si>
  <si>
    <t>WOS:000291418100005</t>
  </si>
  <si>
    <t>Dagg, J; Lafleur, P</t>
  </si>
  <si>
    <t>Dagg, Jennifer; Lafleur, Peter</t>
  </si>
  <si>
    <t>Vegetation Community, Foliar Nitrogen, and Temperature Effects on Tundra CO2 Exchange across a Soil Moisture Gradient</t>
  </si>
  <si>
    <t>PLANT-SPECIES DIVERSITY; LEAF-AREA INDEX; ARCTIC TUNDRA; NORTHERN ALASKA; BROOKS RANGE; GAS-EXCHANGE; CARBON; ECOSYSTEM; CLIMATE; BIOMASS</t>
  </si>
  <si>
    <t>Soil moisture has both direct and indirect effects on carbon dioxide (CO2) exchange in tundra vegetation. It directly affects vegetation distribution and functioning, thus CO2 exchange at the leaf level, and it controls microbial decomposition influencing soil respiration. In this study we investigated CO2 exchange on a heterogeneous tundra landscape in the Canadian low arctic with the primary purpose of exploring the relationship between moisture variability and community level fluxes. CO2 exchange was measured with a portable chamber system, along with soil and air temperature. Biomass, leaf area, and foliar nitrogen were determined from harvested vegetation. Fluxes were compared in birch, tussock, heath, and sedge communities under different moisture regimes. Respiration and productivity were typically highest in wet or mesic groups, with fewer differences in net CO2 exchange. Across the soil moisture gradient, productivity and net CO2 exchange per unit leaf area and foliar nitrogen showed a significant negative linear trend. Respiration was limited in very dry and saturated soil, and soil temperature effects on respiration were seen only in mesic moisture conditions. These findings indicate that nutrient and temperature affects on fluxes can be at least partially explained within the framework of soil moisture availability.</t>
  </si>
  <si>
    <t>[Dagg, Jennifer] Trent Univ, Environm &amp; Life Sci Program, Peterborough, ON K9J 7B8, Canada; [Lafleur, Peter] Trent Univ, Dept Geog, Peterborough, ON K9J 7B8, Canada</t>
  </si>
  <si>
    <t>Trent University; Trent University</t>
  </si>
  <si>
    <t>Dagg, J (corresponding author), Trent Univ, Environm &amp; Life Sci Program, Peterborough, ON K9J 7B8, Canada.</t>
  </si>
  <si>
    <t>jenniferdagg@trentu.ca; plafleur@trentu.ca</t>
  </si>
  <si>
    <t>International Polar Year Climate Impacts on Canadian Arctic Tundra project; NSERC; northern supplement grants; Northern Scientific Training Program</t>
  </si>
  <si>
    <t>International Polar Year Climate Impacts on Canadian Arctic Tundra project; NSERC(Natural Sciences and Engineering Research Council of Canada (NSERC)); northern supplement grants; Northern Scientific Training Program</t>
  </si>
  <si>
    <t>This research was supported by The International Polar Year Climate Impacts on Canadian Arctic Tundra project, an NSERC discovery grant, and northern supplement grants to Peter Lafleur and a Northern Scientific Training Program grant to Jennifer Dagg. The authors would like to thank Steve Matthews, Department of Wildlife and Environment, Government of NWT, for logistical support at the Daring Lake Terrestrial Ecosystem field station; Jenny Adams, Tania Clerac, Shari Haynes, and Kaitlin Wilson for assistance in the field; and Bob Reid of Water Resources, Department of Indian and Northern Affairs, Yellowknife, NWT, for supplying meteorological and soil temperature data from the Daring Lake weather station.</t>
  </si>
  <si>
    <t>10.1657/1938-4246-43.2.189</t>
  </si>
  <si>
    <t>770WH</t>
  </si>
  <si>
    <t>WOS:000291118700003</t>
  </si>
  <si>
    <t>Elliott, TL; Henry, GHR</t>
  </si>
  <si>
    <t>Elliott, Tammy L.; Henry, Gregory H. R.</t>
  </si>
  <si>
    <t>Effects of Simulated Grazing in Ungrazed Wet Sedge Tundra in the High Arctic</t>
  </si>
  <si>
    <t>ABOVEGROUND GRASSLAND PRODUCTION; 3 DOMINANT SEDGES; ELLESMERE-ISLAND; ALEXANDRA FJORD; STANDING CROP; NITROGEN; PLANT; DEFOLIATION; RESPONSES; NUTRIENT</t>
  </si>
  <si>
    <t>Wet sedge tundra communities in the High Arctic are valuable sources of forage for several resident and migratory herbivores; however, the effects of grazing on these systems have been rarely studied. We simulated grazing in two wet sedge meadows at a site on Ellesmere Island that has not been affected by grazing. Over two summers, we clipped plots at four different frequencies and removed litter to assess effects on aboveground net primary production, availability of soil nitrogen, shoot concentrations of carbon and nitrogen, and soil temperature and moisture regimes. Available soil nitrate and ammonium were highest in plots with intermediate clipping frequencies. Shoot nitrogen concentrations were also greater at intermediate clipping frequencies in two of the four species studied. Aboveground net primary production decreased after clipping, regardless of frequency. Litter removal resulted in slightly increased soil moisture, but had no effect on aboveground net primary production. Soil temperature was not affected by any of our treatments. These results suggest that nitrogen cycling is stimulated by intermediate frequencies of simulated grazing, but clipping decreased aboveground net primary production in ungrazed high arctic wet sedge tundra.</t>
  </si>
  <si>
    <t>[Elliott, Tammy L.; Henry, Gregory H. R.] Univ British Columbia, Dept Geog, Vancouver, BC V6T 1Z2, Canada</t>
  </si>
  <si>
    <t>University of British Columbia</t>
  </si>
  <si>
    <t>Henry, GHR (corresponding author), Univ British Columbia, Dept Geog, 1984 West Mall, Vancouver, BC V6T 1Z2, Canada.</t>
  </si>
  <si>
    <t>greg.henry@geog.ubc.ca</t>
  </si>
  <si>
    <t>Elliott, Tammy/ABE-3029-2021</t>
  </si>
  <si>
    <t>Henry, Greg/0000-0002-2606-9650; Elliott, Tammy/0000-0003-2162-8537</t>
  </si>
  <si>
    <t>Natural Sciences and Engineering Research Council of Canada (NSERC); Arctic Net; Government of Canada; Department of Indian and Northern Affairs Canada</t>
  </si>
  <si>
    <t>Natural Sciences and Engineering Research Council of Canada (NSERC)(Natural Sciences and Engineering Research Council of Canada (NSERC)); Arctic Net; Government of Canada(CGIAR); Department of Indian and Northern Affairs Canada</t>
  </si>
  <si>
    <t>This research was supported by grants to G. H. R. Henry from the Natural Sciences and Engineering Research Council of Canada (NSERC), Arctic Net, and the Government of Canada International Polar Year Program (IPY). The Northern Scientific Training Program (NSTP) of the Department of Indian and Northern Affairs Canada contributed funds to T. L. Elliott for transportation and living costs in the High Arctic. Logistical support in the field was provided by the Polar Continental Shelf Program and the Royal Canadian Mounted Police. We would like to extend our gratitude to the Government of Nunavut Department of Environment and the Qikiqtani Inuit Association for permission to use their land.</t>
  </si>
  <si>
    <t>10.1657/1938-4246-43.2.198</t>
  </si>
  <si>
    <t>WOS:000291118700004</t>
  </si>
  <si>
    <t>Han, F; Zhang, BP; Yao, YH; Zhu, YH; Pang, Y</t>
  </si>
  <si>
    <t>Han Fang; Zhang Baiping; Yao Yonghui; Zhu Yunhai; Pang Yu</t>
  </si>
  <si>
    <t>Mass Elevation Effect and Its Contribution to the Altitude of Snow line in the Tibetan Plateau and Surrounding Areas</t>
  </si>
  <si>
    <t>In exploring geographical distribution of mountain altitudinal belts (e.g., snowline, timber line, etc.), many unitary or dibasic fitting models have been developed to depict the relationship between altitudinal belts' elevation and longitude or latitude, or both. However, most of these models involve small scales and could not be applied to other regions, while those established for the northern hemisphere or the whole globe, are of very low precision. The reason is that these models neglect one of the most important factors controlling the distribution of altitudinal belts-mass elevation effect (massenerhebungseffect, short as MEE in the following text). This concept (MEE) was introduced more than 100 years ago by A. de Quervain to account for the observed tendency for temperature-related parameters such as tree line and snowline to occur at higher elevations in the central Alps than on their outer margins. Although it has been widely observed and its effect on the elevation of mountain vegetation belts recognized, this phenomenon has not been quantitatively studied. We compiled 143 snowline descriptions from literature covering the Tibetan Plateau and its surrounding areas. Snow line elevation is related to longitude, latitude, and mountain base elevation (MBE), to construct a multivariate linear regression equation. These three factors could explain 83.5% of snowline elevation's variation in the Tibetan plateau and its surrounding areas. Longitude, latitude, and MBE (representing MEE to some extent) contribute 16.14%, 51.64%, and 32.22%, respectively, to the variability of snowline elevation. North of latitude 32 degrees N, the three factors' contribution amounts to 18.72%, 44.27%, and 37.01%, respectively; to the south, their contribution is 28.12%, 15.37%, and 56.51%, respectively. A non-linear model was also constructed, but it only enhances the ability slightly in fitting of snowline's distribution. Our analysis reveals that latitude and MBE are significant controlling factors of snowline elevation. Longitude, which stands for precipitation to a great extent, has limited impact on snowline's distribution. MEE should be further studied, or directly quantified so that it can be adequately incorporated into the development of spatial models for altitudinal belts, whereby the precision of such models could be greatly enhanced.</t>
  </si>
  <si>
    <t>[Han Fang; Zhang Baiping; Yao Yonghui; Pang Yu] Chinese Acad Sci, Inst Geog Sci &amp; Nat Resources Res, State Key Lab Resource &amp; Environm Informat Syst, Beijing 100101, Peoples R China; [Han Fang; Pang Yu] Chinese Acad Sci, Grad Sch, Beijing 100049, Peoples R China; [Zhu Yunhai] Shandong Inst Dev Strategy Sci &amp; Technol, Jinan 250014, Shandong, Peoples R China</t>
  </si>
  <si>
    <t>Chinese Academy of Sciences; Institute of Geographic Sciences &amp; Natural Resources Research, CAS; Chinese Academy of Sciences; University of Chinese Academy of Sciences, CAS</t>
  </si>
  <si>
    <t>Zhang, BP (corresponding author), Chinese Acad Sci, Inst Geog Sci &amp; Nat Resources Res, State Key Lab Resource &amp; Environm Informat Syst, A-11 Datun Rd, Beijing 100101, Peoples R China.</t>
  </si>
  <si>
    <t>zhangbp@lrcis.ac.cn</t>
  </si>
  <si>
    <t>Han, Fang/HTR-7287-2023</t>
  </si>
  <si>
    <t>Han, Fang/0000-0003-3493-7304</t>
  </si>
  <si>
    <t>National Natural Science Foundation of China [41030528, 40971064]</t>
  </si>
  <si>
    <t>National Natural Science Foundation of China(National Natural Science Foundation of China (NSFC))</t>
  </si>
  <si>
    <t>We are very grateful to the two anonymous reviewers for their instructive comments and suggestions. The research is supported by the National Natural Science Foundation of China (No. 41030528 and No. 40971064).</t>
  </si>
  <si>
    <t>10.1657/1938-4246-43.2.207</t>
  </si>
  <si>
    <t>WOS:000291118700005</t>
  </si>
  <si>
    <t>Lana-Renault, N; Alvera, B; García-Ruiz, JM</t>
  </si>
  <si>
    <t>Lana-Renault, Noemi; Alvera, Bernardo; Garcia-Ruiz, Jose M.</t>
  </si>
  <si>
    <t>Runoff and Sediment Transport during the Snowmelt Period in a Mediterranean High-Mountain Catchment</t>
  </si>
  <si>
    <t>OCEANIC PERIGLACIAL ENVIRONMENT; CLIMATE-CHANGE; SUSPENDED SEDIMENT; SPATIAL VARIABILITY; BEDLOAD TRANSPORT; SNOWPACK CONTROLS; SIERRA-NEVADA; PYRENEES; STREAMFLOW; BASIN</t>
  </si>
  <si>
    <t>The hydrological and geomorphic functioning of high-mountain catchments is heavily influenced by snow accumulation and melt processes, which condition the timing and characteristics of discharges, solute outputs, and suspended sediment and bedload transport. We report here the transport of suspended sediment and solutes during the snowmelt period in a small experimental catchment in the subalpine belt of the Central Spanish Pyrenees. The seasonality of hydrological and sediment responses throughout the year was investigated using daily data of discharge, suspended sediment transport and solute outputs of the hydrological years 2003/2004 and 2005/2006. The study demonstrated the importance of the snowmelt period in terms of runoff production, and solute and suspended sediment yield: whereas precipitation during the snowmelt period (2-2.5 months) represented 10-13% of annual precipitation, discharge and suspended sediment transport accounted for up to 50% and 60%, respectively, and solute output approximately 40-50%. Solute transport dominated throughout the snowmelt period, whereas suspended sediment transport mostly occurred during the second phase of the snowmelt period (June), when an expanding area of the catchment was free from snow. The moderate daily increases in discharge, which were related to day night temperature fluctuations, were insufficient to transport bedload material. Hourly data were used for preliminary assessment of the relationships among discharge, suspended sediment, and solute concentration, which provided insights into sediment sources and delivery mechanisms. Thus, during snowmelt-related events, the sediment mobilized was most probably derived from areas near or within the channel. In contrast, during events involving both snowmelt and rainfall, the gully system near the divide contributed to sediment load. The solute concentration was inversely related to water discharge, with higher concentrations during the first half of the snowmelt period (May) than during the second half (June). The results of this study demonstrate the key role of snow accumulation and melting processes in controlling the hydrological dynamics and patterns of particulate and solute mobilization in high-mountain environments. Future changes in snow volume and duration will affect the timing of snowmelt-related spring high flows, as well as soil erosion and transport.</t>
  </si>
  <si>
    <t>[Lana-Renault, Noemi] Univ La Rioja, Dept Ciencias Humanas, Area Geog, Logrono 26004, Spain; [Alvera, Bernardo] CSIC, Inst Pirenaico Ecol, Jaca 22700, Spain; [Garcia-Ruiz, Jose M.] CSIC, Inst Pirenaico Ecol, Zaragoza 50080, Spain; [Lana-Renault, Noemi] Univ Utrecht, Fac Geosci, Dept Phys Geog, NL-3508 TC Utrecht, Netherlands</t>
  </si>
  <si>
    <t>Universidad de La Rioja; Consejo Superior de Investigaciones Cientificas (CSIC); CSIC - Instituto Pirenaico de Ecologia (IPE); Consejo Superior de Investigaciones Cientificas (CSIC); CSIC - Instituto Pirenaico de Ecologia (IPE); Utrecht University</t>
  </si>
  <si>
    <t>Lana-Renault, N (corresponding author), Univ La Rioja, Dept Ciencias Humanas, Area Geog, Logrono 26004, Spain.</t>
  </si>
  <si>
    <t>noemi-solange.lana-renault@unirioja.es</t>
  </si>
  <si>
    <t>Lana-Renault, Noemí/L-1913-2014; García-Ruiz, José M./D-4535-2012</t>
  </si>
  <si>
    <t>Lana-Renault, Noemí/0000-0002-0272-2504; García-Ruiz, José M./0000-0002-8535-817X</t>
  </si>
  <si>
    <t>Spanish Ministry of Education and Science [CGL2006-11619/HID]; European Commission [FP7-ENV-2007-1-212250]; CSIC; Spanish Ministry of Environment (RESEL)</t>
  </si>
  <si>
    <t>Spanish Ministry of Education and Science(Spanish Government); European Commission(European Union (EU)European Commission Joint Research Centre); CSIC; Spanish Ministry of Environment (RESEL)</t>
  </si>
  <si>
    <t>Support for this research was provided by the following projects: Processes and sediment balances at different spatial scales in Mediterranean environments: effects of climate fluctuations and land use changes-PROBASE (CGL2006-11619/HID CONSOLIDER), funded by the Spanish Ministry of Education and Science, and Assessing climatic change and impacts on the quantity and quality of water ACQWA (FP7-ENV-2007-1-212250), financed by the European Commission. Monitoring of the catchment was supported by an agreement between the CSIC and the Spanish Ministry of Environment (RESEL). The first author benefited from a research contract (I+D+I 2008-2011 National Program) funded by the Spanish Ministry of Education and Science.</t>
  </si>
  <si>
    <t>10.1657/1938-4246-43.2.213</t>
  </si>
  <si>
    <t>WOS:000291118700006</t>
  </si>
  <si>
    <t>le Roux, PC; Boelhouwers, J; Davis, JK; Haussmann, NS; Jantze, EJ; Meiklejohn, KI</t>
  </si>
  <si>
    <t>le Roux, Peter C.; Boelhouwers, Jan; Davis, Jacqueline K.; Haussmann, Natalie S.; Jantze, Elin J.; Meiklejohn, K. Ian</t>
  </si>
  <si>
    <t>Spatial Association of Lemming Burrows with Landforms in the Swedish Subarctic Mountains: Implications for Periglacial Feature Stability</t>
  </si>
  <si>
    <t>THOMOMYS-BOTTAE; NORTHERN SWEDEN; POCKET GOPHERS; ABISKO REGION; ALPINE ZONE; LESOTHO; RODENT; CANADA; RANGE</t>
  </si>
  <si>
    <t>Burrowing mammals often have considerable geomorphological impacts, and their tunneling activities may decrease the stability of landforms. We document the spatial distribution of Norwegian lemming burrows in a subarctic alpine meadow to determine the preferred locations for burrow entrances and to examine the potential for burrowing to decrease the stability of periglacial landforms at the site. Burrow entrances were disproportionately common into the base and sides of landforms (&gt;68% of burrows), probably reflecting the lower energetic cost of moving soil horizontally, rather than vertically, out of burrows. Most burrow entrances (&gt;60%) were also located under large rocks, which probably improve burrow stability by providing a firm ceiling to the entrance. Field observations show that these burrows are relatively stable, as only 3% were associated with any signs of increased erosion or landform instability. Therefore, in contrast to some previous studies, and despite burrowing being concentrated on landforms, we suggest that these rodents have little direct impact on landform integrity at this site.</t>
  </si>
  <si>
    <t>[le Roux, Peter C.] Univ Stellenbosch, Dept Bot &amp; Zool, Ctr Invas Biol, ZA-7600 Matieland, South Africa; [Boelhouwers, Jan] Uppsala Univ, Dept Social &amp; Econ Geog, S-75120 Uppsala, Sweden; [Boelhouwers, Jan; Davis, Jacqueline K.] Univ Pretoria, Dept Geog Meteorol &amp; Geoinformat, ZA-0002 Pretoria, South Africa; [Haussmann, Natalie S.] Univ Stellenbosch, Dept Conservat Ecol &amp; Entomol, ZA-7600 Matieland, South Africa; [Jantze, Elin J.] Stockholm Univ, Dept Phys Geog &amp; Quaternary Geol, S-10691 Stockholm, Sweden; [Meiklejohn, K. Ian] Rhodes Univ, Dept Geog, ZA-6140 Grahamstown, South Africa</t>
  </si>
  <si>
    <t>Stellenbosch University; Uppsala University; University of Pretoria; Stellenbosch University; Stockholm University; Rhodes University</t>
  </si>
  <si>
    <t>le Roux, PC (corresponding author), Univ Stellenbosch, Dept Bot &amp; Zool, Ctr Invas Biol, Private Bag 11, ZA-7600 Matieland, South Africa.</t>
  </si>
  <si>
    <t>peter.c.leroux@gmail.com</t>
  </si>
  <si>
    <t>Haussmann, Natalie/A-5665-2011; le Roux, Peter Christiaan/E-7784-2011; Haussmann, Natalie/AFK-4732-2022; Meiklejohn, Ian/F-3183-2012</t>
  </si>
  <si>
    <t>le Roux, Peter Christiaan/0000-0002-7941-7444; Haussmann, Natalie/0000-0002-0314-0266; Meiklejohn, Ian/0000-0001-8890-2938</t>
  </si>
  <si>
    <t>South African National Research Foundation; Swedish International Development Cooperation Agency; South African National Antarctic Program; DST-NRF Centre of Excellence for Invasion Biology</t>
  </si>
  <si>
    <t>South African National Research Foundation(National Research Foundation - South Africa); Swedish International Development Cooperation Agency; South African National Antarctic Program; DST-NRF Centre of Excellence for Invasion Biology(Department of Science &amp; Technology (India))</t>
  </si>
  <si>
    <t>Cang Hui, Ethel Phiri, and Susana Clusella-Trullas are thanked for thoughtful comment on earlier drafts of this manuscript. This collaborative research was made possible by a bilateral Sweden-South Africa agreement, with funding from the South African National Research Foundation and the Swedish International Development Cooperation Agency. Peter le Roux received additional funding from the South African National Antarctic Program and the DST-NRF Centre of Excellence for Invasion Biology. Natalie Haussmann received additional funding from the South African National Research Foundation and the South African National Antarctic Program.</t>
  </si>
  <si>
    <t>10.1657/1938-4246-43.2.223</t>
  </si>
  <si>
    <t>WOS:000291118700007</t>
  </si>
  <si>
    <t>Liu, XS; Luo, TX</t>
  </si>
  <si>
    <t>Liu, Xinsheng; Luo, Tianxiang</t>
  </si>
  <si>
    <t>Spatiotemporal Variability of Soil Temperature and Moisture across two Contrasting Timberline Ecotones in the Sergyemla Mountains, Southeast Tibet</t>
  </si>
  <si>
    <t>PRIMARY PRODUCTIVITY; TREELINE; VEGETATION; GROWTH; ELEVATION; INTERIOR; CLIMATE; AIR; SEEDLINGS; CAPACITY</t>
  </si>
  <si>
    <t>Simultaneous measurements of soil temperature and moisture and related climate and vegetation variables at high altitudes are rare. Such knowledge is important to predict soil temperature and moisture across heterogeneous alpine landscapes and the impact of climate warming on alpine ecosystems. Based on the four-year observations in 12 plots across two contrasting timberline ecotones (north-facing Abies georgei var. smithii and south-facing Juniperus saltuaria timberlines of a valley) in the Sergyemla Mountains, we aimed to determine the role of altitude, aspect, climate, soil, and vegetation variables affecting the variability of soil temperature and moisture. The two timberlines had similar annual precipitation and seasonal mean air temperature, but the growing-season mean soil temperature differed by 0.8-1.0 K. The spring soil warming date was 20-30 days later on the north-facing slope than on the south-facing slope, which was associated with increased snow and vegetation covers on the north-facing slope. Slope aspect, canopy height, and leaf area index (LAI) rather than altitude were the major determining factors for spatial variability of seasonal mean soil temperatures across plots. A combination of aspect southness and canopy height/LAI explained 56-77% of the variations in the -20 cm mean soil temperatures for the year, growing season, and July across the 12 plots. In contrast, seasonal mean soil moistures did not correlate with altitude, aspect, and stand and soil variables. Furthermore, the -5 cm soil temperature amplitude in the growing season was much lower in the north-facing fir forest than in the south-facing juniper forest, suggesting an explanation for the distribution pattern of both species timberlines on opposite slopes of a valley in the Sergyemla Mountains.</t>
  </si>
  <si>
    <t>[Liu, Xinsheng; Luo, Tianxiang] Chinese Acad Sci, Inst Tibetan Plateau Res, Key Lab Tibetan Environm Changes &amp; Land Surface P, Beijing 100085, Peoples R China; [Liu, Xinsheng] Chinese Acad Sci, Grad Univ, Beijing 100049, Peoples R China</t>
  </si>
  <si>
    <t>Chinese Academy of Sciences; Institute of Tibetan Plateau Research, CAS; Chinese Academy of Sciences; University of Chinese Academy of Sciences, CAS</t>
  </si>
  <si>
    <t>Luo, TX (corresponding author), Chinese Acad Sci, Inst Tibetan Plateau Res, Key Lab Tibetan Environm Changes &amp; Land Surface P, Shuangqing Rd 18,POB 2871, Beijing 100085, Peoples R China.</t>
  </si>
  <si>
    <t>luotx@itpcas.ac.cn</t>
  </si>
  <si>
    <t>Liu, Xinsheng/AAW-2881-2021</t>
  </si>
  <si>
    <t>Liu, Xinsheng/0000-0001-7609-796X</t>
  </si>
  <si>
    <t>National Key Projects for Basic Research of China [2010CB951301]; National Natural Science Foundation of China [40701008, 40671069]</t>
  </si>
  <si>
    <t>National Key Projects for Basic Research of China(National Basic Research Program of China); National Natural Science Foundation of China(National Natural Science Foundation of China (NSFC))</t>
  </si>
  <si>
    <t>We thank J. He, G. Kong, M. Li, and L. Zhang for their joining the field investigation. This work was funded by the National Key Projects for Basic Research of China (2010CB951301), and the National Natural Science Foundation of China (40701008, 40671069).</t>
  </si>
  <si>
    <t>10.1657/1938-4246-43.2.229</t>
  </si>
  <si>
    <t>WOS:000291118700008</t>
  </si>
  <si>
    <t>Ma, WQ; Ma, YM; Su, B</t>
  </si>
  <si>
    <t>Ma, Weiqiang; Ma, Yaoming; Su, Bob</t>
  </si>
  <si>
    <t>Feasibility of Retrieving Land Surface Heat Fluxes from ASTER Data Using SEBS: a Case Study from the NamCo Area of the Tibetan Plateau</t>
  </si>
  <si>
    <t>HETEROGENEOUS LANDSCAPE; ENERGY; TEMPERATURE; PARAMETERS; SEPARATION; LAYER; SOIL</t>
  </si>
  <si>
    <t>Surface fluxes are important boundary conditions for climatological modeling and the Asian monsoon system. The recent availability of high-resolution, multi-band imagery from the ASTER (Advanced Space-borne Thermal Emission and Reflection radiometer) sensor has enabled us to estimate surface fluxes to bridge the gap between local-scale flux measurements using micrometeorological instruments and regional scale land-atmosphere exchanges of water and heat fluxes that are fundamental for the understanding of the water cycle in the Asian monsoon system. A Surface Energy Balance System (SEBS) method based on ASTER data and field observations has been proposed and tested in this paper for deriving net radiation flux (R-n), soil heat flux (G(0)), sensible heat flux (H), and latent heat flux (lambda E) over a heterogeneous land surface. As a case study, the methodology was applied to an experimental area at NamCo, located at the central Tibetan Plateau, China. The ASTER data of 11 June 2006, 29 October 2007, and 25 February 2008 was used in this paper for the NamCo area case. To validate the proposed methodology, the ground-measured land surface heat fluxes (net radiation flux (R-n), soil heat flux (G(0)), sensible heat flux (H), and latent heat flux (lambda E)) were compared to the ASTER derived values. The results show that the derived land surface heat fluxes in different months over the study area are in good accordance with the land surface status. The tendency is basically to maintain consistency. It is therefore concluded that the proposed methodology is successful for the retrieval of land surface heat fluxes using the ASTER data and filed observations over the study area.</t>
  </si>
  <si>
    <t>[Ma, Weiqiang; Ma, Yaoming] Chinese Acad Sci, Key Lab Land Surface Proc &amp; Climate Change Cold &amp;, Environm &amp; Engn Res Inst, Lanzhou 730000, Gansu, Peoples R China; [Ma, Yaoming] Chinese Acad Sci, Inst Tibetan Plateau Res, Lab Tibetan Environm Changes &amp; Land Surface Proc, Beijing 100085, Peoples R China; [Su, Bob] Univ Twente, Fac Geoinformat Sci &amp; Earth Observat, NL-7500 AA Enschede, Netherlands</t>
  </si>
  <si>
    <t>Chinese Academy of Sciences; Cold &amp; Arid Regions Environmental &amp; Engineering Research Institute, CAS; Chinese Academy of Sciences; Institute of Tibetan Plateau Research, CAS; University of Twente</t>
  </si>
  <si>
    <t>Ma, WQ (corresponding author), Chinese Acad Sci, Key Lab Land Surface Proc &amp; Climate Change Cold &amp;, Environm &amp; Engn Res Inst, Lanzhou 730000, Gansu, Peoples R China.</t>
  </si>
  <si>
    <t>wqma@lzb.ac.cn</t>
  </si>
  <si>
    <t>Ma, Weiqiang/I-9335-2014; Su, Z./D-4383-2009</t>
  </si>
  <si>
    <t>Ma, Weiqiang/0000-0003-2643-9655; Su, Zhongbo/0000-0003-2096-1733</t>
  </si>
  <si>
    <t>National Project 973 [2010CB951701]; Chinese Academy of Sciences [KZCX2-YW-QN309, KZCX2-YW-Q10-2, GJHZ0735]; NSFC [40705004, 40825015, 40810059006]; Chinese National Key Programme for Developing Basic Sciences [2005CB422003]; EU [212921]</t>
  </si>
  <si>
    <t>National Project 973(National Basic Research Program of China); Chinese Academy of Sciences(Chinese Academy of Sciences); NSFC(National Natural Science Foundation of China (NSFC)); Chinese National Key Programme for Developing Basic Sciences; EU(European Union (EU))</t>
  </si>
  <si>
    <t>The work is supported by National Project 973 (2010CB951701), Knowledge Innovation Project of the Chinese Academy of Sciences (KZCX2-YW-QN309, KZCX2-YW-Q10-2), NSFC (40705004, 40825015 and 40810059006), Chinese National Key Programme for Developing Basic Sciences (2005CB422003), the Key Projects of International Cooperation, Chinese Academy of Sciences (GJHZ0735) and the EU-FP7 project CEOP-AEGIS (212921).</t>
  </si>
  <si>
    <t>10.1657/1938-4246-43.2.239</t>
  </si>
  <si>
    <t>WOS:000291118700009</t>
  </si>
  <si>
    <t>Stewart, KJ; Coxson, D; Grogan, P</t>
  </si>
  <si>
    <t>Stewart, Katherine J.; Coxson, Darwyn; Grogan, Paul</t>
  </si>
  <si>
    <t>Nitrogen Inputs by Associative Cyanobacteria across a Low Arctic Tundra Landscape</t>
  </si>
  <si>
    <t>TERRESTRIAL NOSTOC-COMMUNE; FREE-LIVING CYANOBACTERIA; ACETYLENE-REDUCTION; ABIOTIC FACTORS; CLIMATE-CHANGE; IN-SITU; FIXATION; VEGETATION; LICHENS; CARBON</t>
  </si>
  <si>
    <t>Available soil N is a key factor limiting plant productivity in most low arctic terrestrial ecosystems. Atmospheric N-2-fixation by cyanobacteria is often the primary source of newly fixed N in these nutrient-poor environments. We examined temporal and spatial variation in N-2-fixation by the principal cyanobacterial associations (biological soil crusts, Sphagnum spp. associations, and Stereocaulon paschale) in a wide range of ecosystems within a Canadian low arctic tundra landscape, and estimated N input via N-2-fixation over the growing season using a microclimatically driven model. Moisture and temperature were the main environmental factors influencing N-2-fixation. In general, N-2-fixation rates were largest at the height of the growing season, although each N-2-fixing association had distinct seasonal patterns due to ecosystem differences in microclimatic conditions. Ecosystem types differed strongly in N-2-fixation rates with the highest N input (10.89 kg ha(-1) yr(-1)) occurring in low-lying Wet Sedge Meadow and the lowest N input (0.73 kg ha(-1) yr(-1)) in Xerophytic Herb Tundra on upper esker slopes. Total growing season (3 June-13 September) N-2-fixation input from measured components across a carefully mapped landscape study area (26.7 km(2)) was estimated at 0.68 kg ha(-1) yr(-1), which is approximately twice the estimated average N input via wet deposition. Although biological N-2-fixation input rates were small compared to internal soil N cycling rates, our data suggest that cyanobacterial associations may play an important role in determining patterns of plant productivity across low arctic tundra landscapes.</t>
  </si>
  <si>
    <t>[Stewart, Katherine J.; Coxson, Darwyn] Univ No British Columbia, Nat Resources &amp; Environm Studies, Prince George, BC V2N 4Z9, Canada; [Grogan, Paul] Queens Univ, Dept Biol, Kingston, ON K7L 3N6, Canada</t>
  </si>
  <si>
    <t>University of Northern British Columbia; Queens University - Canada</t>
  </si>
  <si>
    <t>Stewart, KJ (corresponding author), Univ No British Columbia, Nat Resources &amp; Environm Studies, Prince George, BC V2N 4Z9, Canada.</t>
  </si>
  <si>
    <t>kstewar@unbc.ca</t>
  </si>
  <si>
    <t>Coxson, Darwyn/0000-0001-8563-2741</t>
  </si>
  <si>
    <t>NSERC; Canadian Federal Government; Climate Change Impacts on Canadian Arctic Tundra (CiCAT) project</t>
  </si>
  <si>
    <t>NSERC(Natural Sciences and Engineering Research Council of Canada (NSERC)); Canadian Federal Government; Climate Change Impacts on Canadian Arctic Tundra (CiCAT) project</t>
  </si>
  <si>
    <t>We thank Kelvin Kotchilea, Rebecca Carmichael, Ryan Mercredi, Tyanna Steinwand, and Mat Vankoughnett for assistance in the field, and Steve Matthews and Andy Kritsch for logistical support. We also thank Burkhard Budel, Olivia Lee, and Curtis Bjork for identification of cyanobacteria, bryophyte, and soil crust species. Elyn Humphreys' contribution of microclimate data from the Wet Sedge Meadow and John McKay's provision of the atmospheric N deposition data are greatly appreciated. This study was supported by NSERC and the Canadian Federal Government as part of the International Polar Year 2007-2008 in collaboration with Climate Change Impacts on Canadian Arctic Tundra (CiCAT) project.</t>
  </si>
  <si>
    <t>10.1657/1938-4246-43.2.267</t>
  </si>
  <si>
    <t>WOS:000291118700012</t>
  </si>
  <si>
    <t>Sullivan, PF; Sveinbjörnsson, B</t>
  </si>
  <si>
    <t>Sullivan, Patrick F.; Sveinbjoernsson, Bjartmar</t>
  </si>
  <si>
    <t>Environmental Controls on Needle Gas Exchange and Growth of White Spruce (Picea glauca) on a Riverside Terrace near the Arctic Treeline</t>
  </si>
  <si>
    <t>NUTRIENT RELATIONS; SOIL-TEMPERATURE; USE EFFICIENCY; CLIMATE; ALASKA; PHOTOSYNTHESIS; DISTURBANCE; RESPONSES; DYNAMICS; MARIANA</t>
  </si>
  <si>
    <t>Recent studies have revealed positive and negative trends in the radial growth of treeline white spruce (Picea glauca) as temperatures have warmed in recent decades. Investigators have speculated that negative growth trends reflect the increasing importance of temperature-induced drought stress, yet direct observations of drought-induced stomatal closure have not been made in white spruce near the Arctic treeline. In this study, we measured needle gas exchange, a variety of needle traits, and branch growth in contrasting growing seasons on a riverside terrace near the Arctic treeline in Noatak National Preserve, northwest Alaska. Needle gas exchange was limited by cold soils (&lt;7 degrees C), nighttime frosts, large vapor pressure deficits (VPD) and/or low soil water contents during the majority of our midday measurements. Near optimal conditions for needle gas exchange were consistently found in late August, when soils were relatively warm, air temperatures were moderate, and the VPD was relatively small. Defoliation during a two-year bud moth infestation (Zeiraphera spp.) substantially reduced branch growth, obscured potential relationships between needle gas exchange and growth, and revealed the importance of whole canopy gas exchange measurements. Results of our study show there is a very narrow window of environmental conditions for near optimal needle gas exchange in white spruce near the Arctic treeline. Although we identified many abiotic constraints on needle gas exchange, a single biological factor likely had the greatest effect on annual branch growth.</t>
  </si>
  <si>
    <t>[Sullivan, Patrick F.; Sveinbjoernsson, Bjartmar] Univ Alaska Anchorage, Dept Biol Sci, Anchorage, AK 99508 USA; [Sullivan, Patrick F.; Sveinbjoernsson, Bjartmar] Univ Alaska Anchorage, Environm &amp; Nat Resources Inst, Anchorage, AK 99508 USA</t>
  </si>
  <si>
    <t>University of Alaska System; University of Alaska Anchorage; University of Alaska System; University of Alaska Anchorage</t>
  </si>
  <si>
    <t>Sullivan, PF (corresponding author), Univ Alaska Anchorage, Dept Biol Sci, Anchorage, AK 99508 USA.</t>
  </si>
  <si>
    <t>paddy@uaa.alaska.edu</t>
  </si>
  <si>
    <t>Sullivan, Patrick/0000-0002-8015-3036</t>
  </si>
  <si>
    <t>National Science Foundation [0528748]; Office of Polar Programs (OPP); Directorate For Geosciences [0909155] Funding Source: National Science Foundation</t>
  </si>
  <si>
    <t>This project was supported by National Science Foundation grant 0528748 to Sullivan. We thank S. Cahoon, B. Yoder, K. Amerell, H. Walker, H. Ohms, and H. Eggleston for field assistance. CH2MHill Polar Field Services, Hagelands Aviation, Arctic Science Logistics, and the Western Arctic Office of the National Park Service provided valuable logistical support.</t>
  </si>
  <si>
    <t>10.1657/1938-4246-43.2.279</t>
  </si>
  <si>
    <t>WOS:000291118700013</t>
  </si>
  <si>
    <t>Wilkie, D; La Farge, C</t>
  </si>
  <si>
    <t>Wilkie, David; La Farge, Catherine</t>
  </si>
  <si>
    <t>Bryophytes as Heavy Metal Biomonitors in the Canadian High Arctic</t>
  </si>
  <si>
    <t>RANGE ATMOSPHERIC TRANSPORT; MOSS HYLOCOMIUM-SPLENDENS; PB ISOTOPIC COMPOSITION; TEMPORAL TRENDS; EPIPHYTIC LICHENS; VASCULAR PLANTS; FRESH-WATER; ELEMENT CONCENTRATIONS; NORTHERN-HEMISPHERE; ENRICHMENT FACTORS</t>
  </si>
  <si>
    <t>Mosses are a major component of the tundra flora in the Canadian Arctic, yet their use in arctic contaminant research is lacking. Biomonitoring of atmospheric heavy metal deposition using mosses has been extensively employed in Europe, providing a higher sampling density than precipitation monitoring. Temporal, spatial, and habitat gradients of concentrations and enrichment factors of As, Cd, Cr, Cu, Ni, Zn, and Pb (and its stable isotopes) in mosses from Ellesmere Island are examined. Anthropogenically influenced concentrations of As, Cr, Cu, Ni, and Zn in samples collected in 2007 were observed. Concentrations of heavy metals in hydric taxa were larger than those observed in xeric or mesic taxa, though non-significant. Generally, heavy metal concentrations decreased from 1983 to 2007 in a single high arctic locality, though non-significant. Pb-isotope ratios were radiogenic and characteristic of the High Arctic Islands. Trends in high arctic moss data corresponded with. environmental proxies such as glacial ice cores, lake sediments, and atmospheric aerosols illustrating the usefulness of bryophytes as biomonitors. This paper outlines the utility of using mosses as biomonitors of heavy metal depositions in the Canadian High Arctic.</t>
  </si>
  <si>
    <t>[Wilkie, David; La Farge, Catherine] Univ Alberta, Dept Biol Sci, Edmonton, AB T6G 2E9, Canada</t>
  </si>
  <si>
    <t>University of Alberta</t>
  </si>
  <si>
    <t>Wilkie, D (corresponding author), Univ Alberta, Dept Biol Sci, Edmonton, AB T6G 2E9, Canada.</t>
  </si>
  <si>
    <t>wilkie@ualberta.ca; clafarge@ualberta.ca</t>
  </si>
  <si>
    <t>La Farge, Catherine/A-2656-2014</t>
  </si>
  <si>
    <t>La Farge, Catherine/0000-0001-6293-021X</t>
  </si>
  <si>
    <t>Natural Sciences and Engineering Research Council of Canada (NSERC) [G121211007]</t>
  </si>
  <si>
    <t>Natural Sciences and Engineering Research Council of Canada (NSERC)(Natural Sciences and Engineering Research Council of Canada (NSERC))</t>
  </si>
  <si>
    <t>We would like to acknowledge financial support for this project from the Natural Sciences and Engineering Research Council of Canada (NSERC, grant G121211007) to Catherine La Farge, Circumpolar/Boreal Alberta Research (C/BAR), and Northern Scientific Training Program (NSTP). Logistical support for fieldwork was provided by Polar Continental Shelf Project (PCSP). We would like to thank Antonio Simonetti (University of Notre Dame) for helping to design this project and the technicians at the University of Alberta Radiogenic Isotope Facility, Department of Earth and Atmospheric Sciences (EAS) for sample analyses. Vincent St. Louis (University of Alberta), Marianne Douglas (University of Alberta), and two anonymous reviewers provided constructive comments invaluable to the manuscript.</t>
  </si>
  <si>
    <t>10.1657/1938-4246-43.2.289</t>
  </si>
  <si>
    <t>WOS:000291118700014</t>
  </si>
  <si>
    <t>Wyant, KA; Draney, ML; Moore, JC</t>
  </si>
  <si>
    <t>Wyant, Karl A.; Draney, Michael L.; Moore, John C.</t>
  </si>
  <si>
    <t>Epigeal Spider (Araneae) Communities in Moist Acidic and Dry Heath Tundra at Toolik Lake, Alaska</t>
  </si>
  <si>
    <t>ARCTIC TUNDRA; ISLAND; BIOMASS; ARACHNIDA; DIVERSITY; NITROGEN; FAUNA</t>
  </si>
  <si>
    <t>For the 2004-2006 growing seasons, we trapped a total of 6980 spiders (5066 adults, 1914 immatures) using pitfall traps at the Arctic Long Term Experimental Research (LTER) site in Toolik Lake, Alaska. We found 10 families and 51 putative species, with 45 completely identified, in two distinct habitats: Moist Acidic Tundra (MAT) and Dry Heath (DH) Tundra. We captured spiders belonging to the following families (number of species captured): Araneidae (1), Clubionidae (1), Dictynidae (1), Gnaphosidae (4), Linyphiidae (26), Lycosidae (11), Philodromidae (2), Salticidae (1), Theridiidae (1), and Thomisidae (3). Statistical comparisons of families captured at MAT and DH Tundra indicate that the habitats have significantly different spider communities (Chi Square Test: p &lt; 0.0001, and Fisher's Exact Test: p = 0.0018). This finding is further supported by differences in similarity, diversity, evenness, and species richness between the two habitats. In this report, we present eight new state records and five extensions of previously described ranges for spider species. The following species are new state records for Alaska: Emblyna borealis (O.P.-Cambridge 1877), Horcotes strandi (Sytschevskaja 1935), Mecynargus monticola (Holm 1943), Mecynargus tungusicus (Eskov 1981), Metopobactrus prominulus (O.P.-Cambridge 1872), Poeciloneta theridiformis Emerton 1911, and Poeciloneta vakkhanka (Tanasevitch 1989). The following five species have been reported previously in Alaska, but not near Toolik Lake: Hypsosinga groenlandica Simon 1889, Gnaphosa borea Kulczyn'ski 1908, Gnaphosa microps Holm 1939, Haplodrassus hiemalis (Emerton 1909), and Islandiana cristata Eskov 1987. Pairwise similarity indices were calculated across 13 other arctic and subarctic spider communities and statistical tests show that all sites are dissimilar (p = 0.25). These results fit the general pattern of both the patchiness and habitat specificity of arctic spider fauna.</t>
  </si>
  <si>
    <t>[Wyant, Karl A.; Moore, John C.] Colorado State Univ, Nat Resource Ecol Lab, Ft Collins, CO 80523 USA; [Draney, Michael L.] Univ Wisconsin, Cofrin Ctr Biodivers, Green Bay, WI 54311 USA; [Draney, Michael L.] Univ Wisconsin, Dept Nat &amp; Appl Sci, Green Bay, WI 54311 USA</t>
  </si>
  <si>
    <t>Colorado State University; University of Wisconsin System; University of Wisconsin System</t>
  </si>
  <si>
    <t>Wyant, KA (corresponding author), Arizona State Univ, Sch Life Sci, Tempe, AZ 85287 USA.</t>
  </si>
  <si>
    <t>kawyant@asu.edu; draneym@uwgb.edu; jcmoore@nrel.colostate.edu</t>
  </si>
  <si>
    <t>Moore, John/E-9802-2011</t>
  </si>
  <si>
    <t>National Science Foundation Office of Polar Programs [OPP 0701295]; National Science Foundation [DGE0649876]</t>
  </si>
  <si>
    <t>National Science Foundation Office of Polar Programs(National Science Foundation (NSF)NSF - Directorate for Geosciences (GEO)); National Science Foundation(National Science Foundation (NSF))</t>
  </si>
  <si>
    <t>We thank Howard Horton, Rodney Simpson, Greg Selby, Andreas David Garcia, Carol Moulton, and Skylar Bayer for their help in the field and laboratory. We also thank Drs. Gerald Callahan, Paula Cushing, and Boris Kondratieff for their quality contributions towards the development of the present work. We also thank Elizabeth M. Hagen for her constructive comments on earlier drafts of this manuscript. We appreciate the constructive criticism made by two anonymous reviewers which greatly improved the manuscript. Additionally, we thank Don Buckle for helping with the identification of spiders in the family Linyphiidae, and Andrew Karl at Arizona State University for his statistical advice. Finally, we thank the National Science Foundation Office of Polar Programs (OPP 0701295) and the National Science Foundation GK-12 Graduate Student Fellowship program for funding this research (DGE0649876).</t>
  </si>
  <si>
    <t>10.1657/1938-4246-43.2.301</t>
  </si>
  <si>
    <t>WOS:000291118700015</t>
  </si>
  <si>
    <t>Jiang, S; Liu, XD; Chen, QQ</t>
  </si>
  <si>
    <t>Jiang, Shan; Liu, Xiaodong; Chen, Qianqian</t>
  </si>
  <si>
    <t>Distribution of total mercury and methylmercury in lake sediments in Arctic Ny-Alesund</t>
  </si>
  <si>
    <t>CHEMOSPHERE</t>
  </si>
  <si>
    <t>Arctic; Lake sediments; Mercury; Methylmercury; Lake primary productivity; Algae scavenging</t>
  </si>
  <si>
    <t>ATMOSPHERIC MERCURY; ORGANIC-MATTER; ENVIRONMENTAL-CHANGES; CLIMATE-CHANGE; DEPOSITION; CORES; CANADA; FLUXES; RECORD; ICE</t>
  </si>
  <si>
    <t>The toxicities and bioavailabilities of total mercury (THg) and methylmercury (MeHg) in aquatic systems have made them the subjects of recent research. In this study, we collected a lake sediment core from Ny-Alesund in Svalbard and analyzed the distributions of THg and MeHg in the sediments. The increased trend of THg was caused by anthropogenic contamination since the 14th century through long-range transportation, especially after the industrial era. However, the peak values of Hg in surface sediment samples could be explained by the increased algal scavenging process in recent decades. All the biogeochemical proxies (e.g., pigments and diatom biomass) revealed recent sharp increases in aquatic primary production due to the current climate warming. Rock-Eval analyses indicated that algal-derived organic matter took up a large portion, and quantitative calculation showed that 89.6-95.8% of the Hg in post-1950 could be explained by scavenging. The distribution of MeHg has a close relationship with total Hg and organic matter. The oxidation-reduction condition is one of the possible factors affecting the methylation rates in H2 lake sediments. Higher algal productivity and organic matter actually led to the increased trend of methylation in the uppermost sediment. This study supports some new key hypotheses on climate-driven factors affecting Hg and MeHg cycling in High Arctic lake sediments. (C) 2011 Elsevier Ltd. All rights reserved.</t>
  </si>
  <si>
    <t>[Jiang, Shan; Liu, Xiaodong; Chen, Qianqian] Univ Sci &amp; Technol China, Inst Polar Environm, Hefei 230026, Anhui, Peoples R China</t>
  </si>
  <si>
    <t>Chinese Academy of Sciences; University of Science &amp; Technology of China, CAS</t>
  </si>
  <si>
    <t>Liu, XD (corresponding author), Univ Sci &amp; Technol China, Inst Polar Environm, Hefei 230026, Anhui, Peoples R China.</t>
  </si>
  <si>
    <t>National Natural Science Foundation [40876096, 40606003, 40730107]; Fundamental Research Funds for the Central Universities; State Key Laboratory of Environmental Chemistry and Ecotoxicology [KP2010-08]; SOA Key Laboratory for Polar Science [KP2007002]; CAS</t>
  </si>
  <si>
    <t>National Natural Science Foundation(National Natural Science Foundation of China (NSFC)); Fundamental Research Funds for the Central Universities(Fundamental Research Funds for the Central Universities); State Key Laboratory of Environmental Chemistry and Ecotoxicology; SOA Key Laboratory for Polar Science; CAS(Chinese Academy of Sciences)</t>
  </si>
  <si>
    <t>We would like to thank Chinese Antarctic and Arctic Administration of National Oceanic Bureau for the logistic support for field sampling. This study was supported by the National Natural Science Foundation (Grant Nos. 40876096, 40606003 and 40730107), the Fundamental Research Funds for the Central Universities, an open fund from State Key Laboratory of Environmental Chemistry and Ecotoxicology (KP2010-08), open research fund from SOA Key Laboratory for Polar Science (KP2007002) and special fund for excellent PhD thesis of CAS.</t>
  </si>
  <si>
    <t>0045-6535</t>
  </si>
  <si>
    <t>1879-1298</t>
  </si>
  <si>
    <t>Chemosphere</t>
  </si>
  <si>
    <t>10.1016/j.chemosphere.2011.01.031</t>
  </si>
  <si>
    <t>770WY</t>
  </si>
  <si>
    <t>WOS:000291120400010</t>
  </si>
  <si>
    <t>Zhang, Y; Pedlosky, J; Flierl, GR</t>
  </si>
  <si>
    <t>Zhang, Yu; Pedlosky, Joseph; Flierl, Glenn R.</t>
  </si>
  <si>
    <t>Shelf Circulation and Cross-Shelf Transport out of a Bay Driven by Eddies from an Open-Ocean Current. Part I: Interaction between a Barotropic Vortex and a Steplike Topography</t>
  </si>
  <si>
    <t>ANTARCTIC PENINSULA; CONTINENTAL-SHELF; EDDY; ENTRAINMENT; WEST</t>
  </si>
  <si>
    <t>This paper examines interaction between a barotropic point vortex and a steplike topography with a shaped shelf. shelf. The interaction is governed by two mechanisms: propagation of topographic Rossby waves and advection by the forcing vortex. Topographic waves are supported by the potential vorticity (PV) jump across the topography and propagate along the step only in one direction, having higher PV on the right. Near one side boundary of the bay, which is in the wave propagation direction and has a narrow shelf, waves arc blocked by the boundary, inducing strong out-of-bay transport in the form of detached crests. The wave boundary interaction as well as out-of-bay transport is strengthened as the minimum shelf width is decreased. The two control mechanisms are related differently in anticyclone- and cyclone-induced interactions. In anticyclone-induced interactions, the PV front deformations are moved in opposite directions by the point vortex and topographic waves: a topographic cyclone forms out of the balance between the two opposing mechanisms and is advected by the forcing vortex into the deep ocean. In cyclone-induced interactions. the PV front deformations are moved in the same direction by the two mechanisms; a topographic cyclone forms out of the wave boundary interaction but is confined to the coast. Therefore, anticyclonic vortices are more capable of driving water off the topography. The anticyclone-induced transport is enhanced for smaller vortex step distance or smaller topography when the vortex advection is relatively strong compared to the wave propagation mechanism.</t>
  </si>
  <si>
    <t>[Zhang, Yu] MIT, Dept Earth Atmospher &amp; Planetary Sci, Cambridge, MA 02139 USA; [Pedlosky, Joseph] Woods Hole Oceanog Inst, Woods Hole, MA 02543 USA</t>
  </si>
  <si>
    <t>Massachusetts Institute of Technology (MIT); Woods Hole Oceanographic Institution</t>
  </si>
  <si>
    <t>Zhang, Y (corresponding author), MIT, Dept Earth Atmospher &amp; Planetary Sci, Cambridge, MA 02139 USA.</t>
  </si>
  <si>
    <t>sophiczy@mit.edu</t>
  </si>
  <si>
    <t>MIT-WHOI Joint Program in Physical Oceanography; NSF [OCE-9901654, OCE-0451086]</t>
  </si>
  <si>
    <t>MIT-WHOI Joint Program in Physical Oceanography; NSF(National Science Foundation (NSF))</t>
  </si>
  <si>
    <t>The authors thank S. Meacham for the original contour surgery code. Y. Zhang acknowledges the support of the MIT-WHOI Joint Program in Physical Oceanography. NSF OCE-9901654 and OCE-0451086. J. Pedlosky acknowledges the support of NSF OCE-9901654 and OCE-0451086.</t>
  </si>
  <si>
    <t>10.1175/2010JPO4496.1</t>
  </si>
  <si>
    <t>770XK</t>
  </si>
  <si>
    <t>Bronze, Green Submitted, Green Published</t>
  </si>
  <si>
    <t>WOS:000291121600004</t>
  </si>
  <si>
    <t>[Anonymous]</t>
  </si>
  <si>
    <t>Icebergs in the Antarctic play important role in carbon cycle</t>
  </si>
  <si>
    <t>MARINE POLLUTION BULLETIN</t>
  </si>
  <si>
    <t>0025-326X</t>
  </si>
  <si>
    <t>1879-3363</t>
  </si>
  <si>
    <t>MAR POLLUT BULL</t>
  </si>
  <si>
    <t>Mar. Pollut. Bull.</t>
  </si>
  <si>
    <t>Environmental Sciences; Marine &amp; Freshwater Biology</t>
  </si>
  <si>
    <t>771BZ</t>
  </si>
  <si>
    <t>WOS:000291133500004</t>
  </si>
  <si>
    <t>West Antarctic warming triggered by warmer sea surface in tropical Pacific</t>
  </si>
  <si>
    <t>WOS:000291133500005</t>
  </si>
  <si>
    <t>Portner, RA; Dickinson, JA; Daczko, NR</t>
  </si>
  <si>
    <t>Portner, Ryan A.; Dickinson, Julie A.; Daczko, Nathan R.</t>
  </si>
  <si>
    <t>INTERACTION OF GRAVITY FLOWS WITH A RUGGED MID-OCEAN-RIDGE SEAFLOOR: AN OUTCROP EXAMPLE FROM MACQUARIE ISLAND</t>
  </si>
  <si>
    <t>RICH TURBIDITE SYSTEMS; ATLANTIC RIDGE; FRACTURE-ZONE; SUBMARINE-FAN; DEBRIS FLOW; DEPOSITIONAL PATTERNS; MIDOCEAN RIDGES; LEVEE COMPLEX; FACIES; TRANSFORM</t>
  </si>
  <si>
    <t>Rugged bathymetry along slow-spreading mid-ocean ridges has the potential to impinge a strong control on gravity flows derived from oceanic fault scarps. Sedimentary lithofacies from the Macquarie Island ophiolite supports this hypothesis by displaying systematic variations that correspond with volcanic substrate differences and proximity to rift-related faults. Pillow-basalt terranes are associated with tightly confined bedrock corridors that funnel gravity flows into one direction. Vertical lithofacies variations formed from high-density to low-density turbidity currents record successive fill stages of the corridor axis. During initial stages tight confinement in the axis suppressed flow dilution and fluid turbulence. With continued corridor-axis filling, more dilute gravity flows predominated and formed lateral gradations from axial coarse-grained turbidites into thinly interbedded overbank lithofacies along corridor margins. These gravity-flow lithofacies converge into very thin muddy condensed intervals along inter-corridor highs where significant bottom-current reworking occurred. Conversely, partly confined tabular-basalt-floored basins promoted lateral expansion and dilution of gravity flows throughout the duration of basin filling. Variable paleocurrent-indicator directions record multiple reflections of single gravity-flow events off basin-bounding fault barriers. Coarsening-upward trends in these partly confined basins from thinly interbedded pelagic chert and ripple-bedded sandstones up into stacked turbidites preserves the ponding of sediment-starved submarine fans. In general, these ponded basins preserve the fine-grained distal ends of a gravity-flow continuum from coarse-grained fault-proximal en masse failures and cohesionless debris flows into medial high-density turbidity flows and distal dilute turbidity flows.</t>
  </si>
  <si>
    <t>[Portner, Ryan A.; Dickinson, Julie A.; Daczko, Nathan R.] Macquarie Univ, Dept Earth &amp; Planetary Sci, GEMOC ARC Natl Key Ctr, N Ryde, NSW 2109, Australia</t>
  </si>
  <si>
    <t>Macquarie University</t>
  </si>
  <si>
    <t>Portner, RA (corresponding author), Macquarie Univ, Dept Earth &amp; Planetary Sci, GEMOC ARC Natl Key Ctr, N Ryde, NSW 2109, Australia.</t>
  </si>
  <si>
    <t>ryan.a.portner@gmail.com</t>
  </si>
  <si>
    <t>Portner, Ryan/0000-0003-4821-8204; Daczko, Nathan/0000-0002-3737-3818</t>
  </si>
  <si>
    <t>Australian Antarctic Division (AAD) [2515]; Tasmanian Parks and Wildlife Service; Australian Research Council [DP0663373]; Petroleum Exploration Society of Australia; Australia Institute of Geoscientists; Australian Research Council [DP0663373] Funding Source: Australian Research Council</t>
  </si>
  <si>
    <t>Australian Antarctic Division (AAD); Tasmanian Parks and Wildlife Service; Australian Research Council(Australian Research Council); Petroleum Exploration Society of Australia; Australia Institute of Geoscientists; Australian Research Council(Australian Research Council)</t>
  </si>
  <si>
    <t>The authors would like to thank the Australian Antarctic Division (AAD project 2515) and the Tasmanian Parks and Wildlife Service for providing support and access to our remote field locations on Macquarie Island during 2006 and 2007. Project funding was through an Australian Research Council discovery grant to N. Daczko (DP0663373), and the bursaries from the Petroleum Exploration Society of Australia (2006, 2007) and Australia Institute of Geoscientists (2008) to R. Portner. Careful reviews by D. Piper, M. Tomasso, and S. Hubbard greatly improved an earlier version of this manuscript. This is contribution number 689 from the ARC GEMOC National Key Centre.</t>
  </si>
  <si>
    <t>MAY-JUN</t>
  </si>
  <si>
    <t>5-6</t>
  </si>
  <si>
    <t>10.2110/jsr.2011.30</t>
  </si>
  <si>
    <t>770GQ</t>
  </si>
  <si>
    <t>WOS:000291075400003</t>
  </si>
  <si>
    <t>Carlstrom, JE; Ade, PAR; Aird, KA; Benson, BA; Bleem, LE; Busetti, S; Chang, CL; Chauvin, E; Cho, HM; Crawford, TM; Crites, AT; Dobbs, MA; Halverson, NW; Heimsath, S; Holzapfel, WL; Hrubes, JD; Joy, M; Keisler, R; Lanting, TM; Lee, AT; Leitch, EM; Leong, J; Lu, W; Lueker, M; Luong-Van, D; McMahon, JJ; Mehl, J; Meyer, SS; Mohr, JJ; Montroy, TE; Padin, S; Plagge, T; Pryke, C; Ruhl, JE; Schaffer, KK; Schwan, D; Shirokoff, E; Spieler, HG; Staniszewski, Z; Stark, AA; Tucker, C; Vanderlinde, K; Vieira, JD; Williamson, R</t>
  </si>
  <si>
    <t>Carlstrom, J. E.; Ade, P. A. R.; Aird, K. A.; Benson, B. A.; Bleem, L. E.; Busetti, S.; Chang, C. L.; Chauvin, E.; Cho, H. -M.; Crawford, T. M.; Crites, A. T.; Dobbs, M. A.; Halverson, N. W.; Heimsath, S.; Holzapfel, W. L.; Hrubes, J. D.; Joy, M.; Keisler, R.; Lanting, T. M.; Lee, A. T.; Leitch, E. M.; Leong, J.; Lu, W.; Lueker, M.; Luong-Van, D.; McMahon, J. J.; Mehl, J.; Meyer, S. S.; Mohr, J. J.; Montroy, T. E.; Padin, S.; Plagge, T.; Pryke, C.; Ruhl, J. E.; Schaffer, K. K.; Schwan, D.; Shirokoff, E.; Spieler, H. G.; Staniszewski, Z.; Stark, A. A.; Tucker, C.; Vanderlinde, K.; Vieira, J. D.; Williamson, R.</t>
  </si>
  <si>
    <t>The 10 Meter South Pole Telescope</t>
  </si>
  <si>
    <t>PUBLICATIONS OF THE ASTRONOMICAL SOCIETY OF THE PACIFIC</t>
  </si>
  <si>
    <t>MICROWAVE BACKGROUND ANISOTROPIES; STRONG ELECTROTHERMAL FEEDBACK; POLARIZATION; BOLOMETERS; ARRAYS; WAVES; SUBMILLIMETER</t>
  </si>
  <si>
    <t>The South Pole Telescope (SPT) is a 10 m diameter, wide-field, offset Gregorian telescope with a 966 pixel, multicolor, millimeter-wave, bolometer camera. It is located at the Amundsen-Scott South Pole station in Antarctica. The design of the SPT emphasizes careful control of spillover and scattering, to minimize noise and false signals due to ground pickup. The key initial project is a large-area survey at wavelengths of 3, 2, and 1.3 mm, to detect clusters of galaxies via the Sunyaev-Zel'dovich effect and to measure the small-scale angular power spectrum of the cosmic microwave background (CMB). The data will be used to characterize the primordial matter power spectrum and to place constraints on the equation of state of dark energy. A second-generation camera will measure the polarization of the CMB, potentially leading to constraints on the neutrino mass and the energy scale of inflation.</t>
  </si>
  <si>
    <t>[Carlstrom, J. E.; Bleem, L. E.; Chang, C. L.; Crawford, T. M.; Crites, A. T.; Keisler, R.; Leitch, E. M.; Luong-Van, D.; McMahon, J. J.; Meyer, S. S.; Padin, S.; Pryke, C.; Schaffer, K. K.; Vanderlinde, K.; Vieira, J. D.; Williamson, R.] Univ Chicago, Kavli Inst Cosmol Phys, Chicago, IL 60637 USA; [Carlstrom, J. E.; Crawford, T. M.; Crites, A. T.; Leitch, E. M.; Luong-Van, D.; Meyer, S. S.; Padin, S.; Pryke, C.; Vanderlinde, K.; Williamson, R.] Univ Chicago, Dept Astron &amp; Astrophys, Chicago, IL 60637 USA; [Carlstrom, J. E.; Keisler, R.; Meyer, S. S.; Vieira, J. D.] Univ Chicago, Dept Phys, Chicago, IL 60637 USA; [Carlstrom, J. E.; Bleem, L. E.; Chang, C. L.; McMahon, J. J.; Meyer, S. S.; Pryke, C.; Schaffer, K. K.] Univ Chicago, Enrico Fermi Inst, Chicago, IL 60637 USA; [Ade, P. A. R.; Tucker, C.] Cardiff Univ, Dept Phys &amp; Astron, Cardiff CF24 3YB, S Glam, Wales; [Benson, B. A.; Holzapfel, W. L.; Lee, A. T.; Schwan, D.; Shirokoff, E.] Univ Calif Berkeley, Dept Phys, Berkeley, CA 94720 USA; [Chauvin, E.] Gen Dynam Satcom Technol, San Jose, CA 95131 USA; [Cho, H. -M.] Natl Inst Stand &amp; Technol, Boulder, CO 80305 USA; [Dobbs, M. A.; Lanting, T. M.] McGill Univ, Dept Phys, Montreal, PQ H3A 2T8, Canada; [Halverson, N. W.] Univ Colorado, Dept Astrophys &amp; Planetary Sci, Boulder, CO 80309 USA; [Halverson, N. W.] Univ Colorado, Dept Phys, Boulder, CO 80309 USA; [Joy, M.] NASA, George C Marshall Space Flight Ctr, Dept Space Sci, Huntsville, AL 35812 USA; [Leong, J.; Lu, W.; Montroy, T. E.] Case Western Reserve Univ, Dept Phys, Cleveland, OH 44106 USA; [Mohr, J. J.] Univ Illinois, Dept Astron, Urbana, IL 61801 USA; [Spieler, H. G.] Univ Calif Berkeley, Lawrence Berkeley Lab, Div Phys, Berkeley, CA 94720 USA; [Stark, A. A.] Harvard Smithsonian Ctr Astrophys, Cambridge, MA 02138 USA</t>
  </si>
  <si>
    <t>University of Chicago; University of Chicago; University of Chicago; University of Chicago; Cardiff University; University of California System; University of California Berkeley; National Institute of Standards &amp; Technology (NIST) - USA; McGill University; University of Colorado System; University of Colorado Boulder; University of Colorado System; University of Colorado Boulder; National Aeronautics &amp; Space Administration (NASA); NASA Marshall Space Flight Center; University System of Ohio; Case Western Reserve University; University of Illinois System; University of Illinois Urbana-Champaign; United States Department of Energy (DOE); Lawrence Berkeley National Laboratory; University of California System; University of California Berkeley; Smithsonian Institution; Harvard University; Smithsonian Astrophysical Observatory</t>
  </si>
  <si>
    <t>Carlstrom, JE (corresponding author), Univ Chicago, Kavli Inst Cosmol Phys, 5640 S Ellis Ave, Chicago, IL 60637 USA.</t>
  </si>
  <si>
    <t>jc@kicp.uchicago.edu</t>
  </si>
  <si>
    <t>Williamson, Ross/H-1734-2015; Ruhl, John/HHS-2212-2022; Holzapfel, William L/I-4836-2015</t>
  </si>
  <si>
    <t>Ruhl, John/0000-0001-5875-4751; Meyer, Stephan/0000-0003-3315-4332; Bleem, Lindsey/0000-0001-7665-5079; Stark, Antony/0000-0002-2718-9996; Tucker, Carole/0000-0002-1851-3918; Mohr, Joseph/0000-0002-6875-2087; CRAWFORD, THOMAS/0000-0001-9000-5013; Dobbs, Matt/0000-0001-7166-6422; Benson, Bradford/0000-0002-5108-6823; Aird, Kenneth/0000-0003-1441-9518; Chang, Clarence/0000-0002-6311-0448</t>
  </si>
  <si>
    <t>National Science Foundation (NSF) [ANT-0638937, ANT-0130612]; US Antarctic Program; Raytheon Polar Services Company; NSF Physics Frontier Center at the University of Chicago [PHY-0114422]; Kavli Foundation; Gordon and Betty Moore Foundation; National Sciences and Engineering Research Council of Canada; Quebec Fonds de Recherche sur la Nature et les Technologies; Canadian Institute for Advanced Research; STFC [ST/G002711/1] Funding Source: UKRI</t>
  </si>
  <si>
    <t>National Science Foundation (NSF)(National Science Foundation (NSF)); US Antarctic Program; Raytheon Polar Services Company; NSF Physics Frontier Center at the University of Chicago; Kavli Foundation; Gordon and Betty Moore Foundation(Gordon and Betty Moore Foundation); National Sciences and Engineering Research Council of Canada(Natural Sciences and Engineering Research Council of Canada (NSERC)); Quebec Fonds de Recherche sur la Nature et les Technologies; Canadian Institute for Advanced Research(Canadian Institute for Advanced Research (CIFAR)); STFC(UK Research &amp; Innovation (UKRI)Science &amp; Technology Facilities Council (STFC))</t>
  </si>
  <si>
    <t>We thank R. Hills for many useful discussions on the optical design. We gratefully acknowledge the contributions to the construction of the telescope from T. Hughes, P. Huntley, B. Johnson, E. Nichols, and his team of iron workers. We also thank the National Science Foundation (NSF) Office of Polar Programs, the US Antarctic Program and the Raytheon Polar Services Company for their support of the project. We are grateful for professional support from the staff of the South Pole station. The SPT is supported by the NSF through grants ANT-0638937 and ANT-0130612. Partial support is also provided by the NSF Physics Frontier Center grant PHY-0114422 to the Kavli Institute of Cosmological Physics at the University of Chicago, the Kavli Foundation, and the Gordon and Betty Moore Foundation. The McGill University group acknowledges funding from the National Sciences and Engineering Research Council of Canada, the Quebec Fonds de Recherche sur la Nature et les Technologies, and the Canadian Institute for Advanced Research. The following individuals acknowledge additional support: J. Carlstrom from the James S. McDonnell Foundation, K. Schaffer from a Kavli Institute for Cosmological Physics (KICP) Fellowship, J. McMahon from a Fermi Fellowship, Z. Staniszewski from a Graduate Assistance in Areas of National Need (GAANN) Fellowship, and A. T. Lee from the Miller Institute for Basic Research in Science, University of California, Berkeley.</t>
  </si>
  <si>
    <t>0004-6280</t>
  </si>
  <si>
    <t>1538-3873</t>
  </si>
  <si>
    <t>PUBL ASTRON SOC PAC</t>
  </si>
  <si>
    <t>Publ. Astron. Soc. Pac.</t>
  </si>
  <si>
    <t>10.1086/659879</t>
  </si>
  <si>
    <t>768NY</t>
  </si>
  <si>
    <t>WOS:000290943000007</t>
  </si>
  <si>
    <t>Hart, KM; Szpak, MT; Mahaney, WC; Dohm, JM; Jordan, SF; Frazer, AR; Allen, CCR; Kelleher, BP</t>
  </si>
  <si>
    <t>Hart, Kris M.; Szpak, Michal T.; Mahaney, William C.; Dohm, James M.; Jordan, Sean F.; Frazer, Andrew R.; Allen, Christopher C. R.; Kelleher, Brian P.</t>
  </si>
  <si>
    <t>A Bacterial Enrichment Study and Overview of the Extractable Lipids from Paleosols in the Dry Valleys, Antarctica: Implications for Future Mars Reconnaissance</t>
  </si>
  <si>
    <t>ASTROBIOLOGY</t>
  </si>
  <si>
    <t>Paleosols; Soil bacteria; Antarctica; Dry Valley; Quartermain Mountains; Martian analogue; DGGE; Lipid biomarkers</t>
  </si>
  <si>
    <t>SP-NOV.; COLD ADAPTATION; VICTORIA LAND; PSYCHROPHILIC BACTERIUM; MICROBIAL COMMUNITIES; MICROCOCCUS-LUTEUS; ORGANIC-CARBON; SOIL; LIFE; SQUALENE</t>
  </si>
  <si>
    <t>The Dry Valleys of Antarctica are one of the coldest and driest environments on Earth with paleosols in selected areas that date to the emplacement of tills by warm-based ice during the Early Miocene. Cited as an analogue to the martian surface, the ability of the Antarctic environment to support microbial life-forms is a matter of special interest, particularly with the upcoming NASA/ESA 2018 ExoMars mission. Lipid biomarkers were extracted and analyzed by gas chromatography-mass spectrometry to assess sources of organic carbon and evaluate the contribution of microbial species to the organic matter of the paleosols. Paleosol samples from the ice-free Dry Valleys were also subsampled and cultivated in a growth medium from which DNA was extracted with the explicit purpose of the positive identification of bacteria. Several species of bacteria were grown in solution and the genus identified. A similar match of the data to sequenced DNA showed that Alphaproteobacteria, Gamma-proteobacteria, Bacteriodetes, and Actinobacteridae species were cultivated. The results confirm the presence of bacteria within some paleosols, but no assumptions have been made with regard to in situ activity at present. These results underscore the need not only to further investigate Dry Valley cryosols but also to develop reconnaissance strategies to determine whether such likely Earth-like environments on the Red Planet also contain life.</t>
  </si>
  <si>
    <t>[Hart, Kris M.; Szpak, Michal T.; Jordan, Sean F.; Kelleher, Brian P.] Dublin City Univ, Sch Chem Sci, Dublin 9, Ireland; [Mahaney, William C.] Quaternary Surveys, Thornhill, ON, Canada; [Dohm, James M.] Univ Arizona, Dept Hydrol &amp; Water Resources, Tucson, AZ 85721 USA; [Frazer, Andrew R.; Allen, Christopher C. R.] Queens Univ Belfast, Ctr Med Biol, Sch Biol Sci, Belfast BT9 7BL, Antrim, North Ireland</t>
  </si>
  <si>
    <t>Dublin City University; University of Arizona; Queens University Belfast</t>
  </si>
  <si>
    <t>Hart, KM (corresponding author), Dublin City Univ, Sch Chem Sci, Dublin 9, Ireland.</t>
  </si>
  <si>
    <t>kris.hart2@mail.dcu.ie</t>
  </si>
  <si>
    <t>Jordan, Sean/AHB-4090-2022; Jordan, Sean F/O-7239-2019; Kelleher, Brian/D-6224-2012; Dohm, James M/A-3831-2014</t>
  </si>
  <si>
    <t>Jordan, Sean/0000-0001-8403-1100; Jordan, Sean F/0000-0001-8403-1100; Allen, Christopher/0000-0002-2435-4327; Szpak, Michal/0000-0001-9189-6591</t>
  </si>
  <si>
    <t>Science Foundation of Ireland; Questor Centre; Environmental Protection Agency Ireland (STRIVE); Geological Survey of Ireland (INFOMAR); Quaternary Surveys, Thornhill, Ontario, Canada; [Kiwi-105]</t>
  </si>
  <si>
    <t>Science Foundation of Ireland(Science Foundation Ireland); Questor Centre; Environmental Protection Agency Ireland (STRIVE); Geological Survey of Ireland (INFOMAR); Quaternary Surveys, Thornhill, Ontario, Canada;</t>
  </si>
  <si>
    <t>We would like to thank Science Foundation of Ireland, the Questor Centre, Environmental Protection Agency Ireland (STRIVE), Geological Survey of Ireland (INFOMAR) and Quaternary Surveys, Thornhill, Ontario, Canada for funding this project. W.C.M. acknowledges support from project Kiwi-105. We would also like to thank the considerable input of two anonymous reviewers that have contributed positively to the manuscript.</t>
  </si>
  <si>
    <t>MARY ANN LIEBERT, INC</t>
  </si>
  <si>
    <t>NEW ROCHELLE</t>
  </si>
  <si>
    <t>140 HUGUENOT STREET, 3RD FL, NEW ROCHELLE, NY 10801 USA</t>
  </si>
  <si>
    <t>1531-1074</t>
  </si>
  <si>
    <t>1557-8070</t>
  </si>
  <si>
    <t>Astrobiology</t>
  </si>
  <si>
    <t>10.1089/ast.2010.0583</t>
  </si>
  <si>
    <t>Astronomy &amp; Astrophysics; Biology; Geosciences, Multidisciplinary</t>
  </si>
  <si>
    <t>Astronomy &amp; Astrophysics; Life Sciences &amp; Biomedicine - Other Topics; Geology</t>
  </si>
  <si>
    <t>766LF</t>
  </si>
  <si>
    <t>WOS:000290783000004</t>
  </si>
  <si>
    <t>Jouandet, MP; Trull, TW; Guidi, L; Picheral, M; Ebersbach, F; Stemmann, L; Blain, S</t>
  </si>
  <si>
    <t>Jouandet, Marie-Paule; Trull, Thomas W.; Guidi, Lionel; Picheral, Marc; Ebersbach, Friederike; Stemmann, Lars; Blain, Stephane</t>
  </si>
  <si>
    <t>Optical imaging of mesopelagic particles indicates deep carbon flux beneath a natural iron-fertilized bloom in the Southern Ocean</t>
  </si>
  <si>
    <t>LARGE-SCALE CIRCULATION; KERGUELEN PLATEAU; PHYTOPLANKTON BLOOM; COMMUNITY STRUCTURE; SINKING VELOCITY; SETTLING RATES; MARINE SNOW; EXPORT; SIZE; KEOPS</t>
  </si>
  <si>
    <t>We recorded vertical profiles of size distributions of particles (ranging from 0.052 to several mm in equivalent spherical diameter) in the natural iron-fertilized bloom southeast of Kerguelen Island (Southern Ocean) and in surrounding high-nutrient, low-chlorophyll (HNLC) waters with an Under Water Video Profiler during the Kerguelen Ocean and Plateau Compared Study cruise (Jan-Feb 2005). Total particle numerical abundance and total particle volume (TPV) in the 0-200-m layer were respectively 3-fold and 20-fold higher in the bloom, and integrated TPV was correlated to integrated chlorophyll concentration. The difference persisted well into the ocean interior with a 10-fold higher TPV at 400-m depth beneath the natural iron-fertilized bloom. Below 400 m, increases in TPV values at the bloom stations reflect the suspension of bottom sediments. Bloom waters had a greater proportion of large particles from the surface to 400 m and also exhibited an increase of this proportion with depth compared to HNLC waters. Multiple visits to the bloom reference Sta. A3, suggest preferential removal of large particles as the bloom declined. Comparing our particle abundance size spectra with those observed previously in polyacrylamide gel-filled sediment traps allows us to estimate mesopelagic particle sinking rates. These results suggest that particles sink faster in the HNLC waters than beneath the bloom. The fact that sinking speeds were not a simple monotonic function of particle size and varied spatially highlights the need to go beyond parameterizations of sinking rate as a function of size alone.</t>
  </si>
  <si>
    <t>[Jouandet, Marie-Paule; Trull, Thomas W.] Univ Tasmania, Inst Marine &amp; Antarct Studies, Antarct Climate &amp; Ecosyst Cooperat Res Ctr, Hobart, Tas, Australia; [Trull, Thomas W.] Commonwealth Sci &amp; Ind Res Org Marine &amp; Atmosphe, Hobart, Tas, Australia; [Guidi, Lionel] Univ Hawaii, Dept Oceanog, Honolulu, HI 96822 USA; [Picheral, Marc; Stemmann, Lars] Univ Paris 06, Lab Oceanog Villefranche, Villefranche Sur Mer, France; [Ebersbach, Friederike] Univ Bremen, Int Grad Sch Marine Sci GLOMAR, Bremerhaven, Germany; [Ebersbach, Friederike] Alfred Wegener Inst Polar &amp; Marine Res, Bremerhaven, Germany; [Blain, Stephane] Univ Paris 06, UMR 7621, Lab Oceanog Microbienne LOMIC, Observ Oceanol Banyuls Mer, F-75252 Paris 05, France</t>
  </si>
  <si>
    <t>University of Tasmania; Commonwealth Scientific &amp; Industrial Research Organisation (CSIRO); University of Hawaii System; Sorbonne Universite; University of Bremen; Helmholtz Association; Alfred Wegener Institute, Helmholtz Centre for Polar &amp; Marine Research; Centre National de la Recherche Scientifique (CNRS); CNRS - National Institute for Earth Sciences &amp; Astronomy (INSU); Sorbonne Universite</t>
  </si>
  <si>
    <t>Jouandet, MP (corresponding author), Univ Tasmania, Inst Marine &amp; Antarct Studies, Antarct Climate &amp; Ecosyst Cooperat Res Ctr, Hobart, Tas, Australia.</t>
  </si>
  <si>
    <t>MariePaule.Jouandet@utas.edu.au</t>
  </si>
  <si>
    <t>Guidi, Lionel/B-3977-2012; stemmann, lars/Q-8458-2019; stemmann, lars/ACE-2983-2022; Trull, Tom W/B-7028-2014; stemmann, lars/E-6899-2011; blain, stephane/F-6917-2010</t>
  </si>
  <si>
    <t>Guidi, Lionel/0000-0002-6669-5744; stemmann, lars/0000-0001-8935-4531; blain, stephane/0000-0002-5234-2446</t>
  </si>
  <si>
    <t>Australian Commonwealth Cooperative Research Center; Australian Antarctic Sciences Award [1156]; Center for Microbial Oceanography, Research and Education (National Science Foundation [EF-0424599]; Gordon and Betty Moore foundation</t>
  </si>
  <si>
    <t>Australian Commonwealth Cooperative Research Center; Australian Antarctic Sciences Award; Center for Microbial Oceanography, Research and Education (National Science Foundation(National Science Foundation (NSF)); Gordon and Betty Moore foundation(Gordon and Betty Moore Foundation)</t>
  </si>
  <si>
    <t>Thanks to the Kerguelen Ocean and Plateau Compared Study (KEOPS) shipboard science team and the officers and crew of R/V Marion Dufresne for their efforts. Australian involvement in KEOPS and this postvoyage project received support from the Australian Commonwealth Cooperative Research Center Program and Australian Antarctic Sciences Award 1156. L. G. contribution was partly supported by the Center for Microbial Oceanography, Research and Education (National Science Foundation grant EF-0424599) and the Gordon and Betty Moore foundation. We also thank two anonymous referees for their valuable comments.</t>
  </si>
  <si>
    <t>10.4319/lo.2011.56.3.1130</t>
  </si>
  <si>
    <t>765BJ</t>
  </si>
  <si>
    <t>WOS:000290678100029</t>
  </si>
  <si>
    <t>Antipova, TV; Zhelifonova, VP; Baskunov, BP; Ozerskaya, SM; Ivanushkina, NE; Kozlovsky, AG</t>
  </si>
  <si>
    <t>Antipova, T. V.; Zhelifonova, V. P.; Baskunov, B. P.; Ozerskaya, S. M.; Ivanushkina, N. E.; Kozlovsky, A. G.</t>
  </si>
  <si>
    <t>New producers of biologically active compounds-fungal strains of the genus Penicillium isolated from permafrost</t>
  </si>
  <si>
    <t>APPLIED BIOCHEMISTRY AND MICROBIOLOGY</t>
  </si>
  <si>
    <t>Screening of producers of secondary metabolites was carried out among 25 fungal strains of Penicillium genus isolated from permafrost in Arctic and Antarctic regions and Kamchatka. Nearly 50% of the investigated strains synthesize biologically active substances of alkaloid nature: ergot alkaloids, diketopiperazinees, and quinoline derivatives. A large group of the identified metabolites belongs to mycotoxins. A strain of Penicillium waksmanii was found producing epoxyagroclavine-I and quinocitrinines. The main physiological and biochemical characteristics of this producer were investigated.</t>
  </si>
  <si>
    <t>[Antipova, T. V.; Zhelifonova, V. P.; Baskunov, B. P.; Ozerskaya, S. M.; Ivanushkina, N. E.; Kozlovsky, A. G.] Russia Acad Sci, Skryabin Inst Biochem &amp; Physiol Microorganisms, Pushchino 142290, Moscow Oblast, Russia</t>
  </si>
  <si>
    <t>Russian Academy of Sciences; Pushchino Scientific Center for Biological Research (PSCBI) of the Russian Academy of Sciences</t>
  </si>
  <si>
    <t>Antipova, TV (corresponding author), Russia Acad Sci, Skryabin Inst Biochem &amp; Physiol Microorganisms, Pr Nauki 5, Pushchino 142290, Moscow Oblast, Russia.</t>
  </si>
  <si>
    <t>kozlovski@ibpm.pushchino.ru</t>
  </si>
  <si>
    <t>Kozlovsky, Anatoly G/V-1120-2017; Ozerskaya, Svetlana/J-3821-2018; Zhelifonova, Valentina/AAE-3426-2020; Nataliya, Ivanushkina/AAR-7639-2020; Antipova, Tatiana V/P-8218-2016; Antipova, Tatiana/P-5686-2018</t>
  </si>
  <si>
    <t>Ozerskaya, Svetlana/0000-0002-0373-7521; Nataliya, Ivanushkina/0000-0001-6720-6626; Baskunov, Boris/0000-0002-0342-2431; Zhelifonova, Valentina/0000-0001-9213-9584; Antipova, Tatiana/0000-0002-4860-2647</t>
  </si>
  <si>
    <t>0003-6838</t>
  </si>
  <si>
    <t>APPL BIOCHEM MICRO+</t>
  </si>
  <si>
    <t>Appl. Biochem. Microbiol.</t>
  </si>
  <si>
    <t>10.1134/S0003683811030033</t>
  </si>
  <si>
    <t>760JW</t>
  </si>
  <si>
    <t>WOS:000290321600011</t>
  </si>
  <si>
    <t>Duchet, C; Inafuku, MM; Caquet, T; Larroque, M; Franquet, E; Lagneau, C; Lagadic, L</t>
  </si>
  <si>
    <t>Duchet, Claire; Inafuku, Marilia Mitie; Caquet, Thierry; Larroque, Michel; Franquet, Evelyne; Lagneau, Christophe; Lagadic, Laurent</t>
  </si>
  <si>
    <t>Chitobiase activity as an indicator of altered survival, growth and reproduction in Daphnia pulex and Daphnia magna (Crustacea: Cladocera) exposed to spinosad and diflubenzuron</t>
  </si>
  <si>
    <t>Daphnia sp.; Neurotoxicant; Insect growth regulator; Bti; Chitobiase; Population dynamics; Bioindicator; Environmental risk assessment</t>
  </si>
  <si>
    <t>BACILLUS-THURINGIENSIS-ISRAELENSIS; ACETYL-D-GLUCOSAMINIDASE; CHITIN-DEGRADING ENZYME; BETA-D-GLUCOSAMINIDASE; FIDDLER-CRAB; NATURAL-POPULATION; ANTARCTIC KRILL; SHORT-TERM; HEPATOPANCREAS; EPIDERMIS</t>
  </si>
  <si>
    <t>Chitobiase is involved in exoskeleton degradation and recycling during the moulting process in arthropods. In aquatic species, the moulting fluid is released into the aqueous environment, and chitobiase activity present therein can be used to follow the dynamics of arthropod populations. Here, chitobiase activity was used for monitoring the impact of mosquito candidate larvicides on Daphnia pulex and Daphnia magna under laboratory conditions. Both species were exposed to spinosad (2, 4, 8 mu g L-1) and diflubenzuron (0.2, 0.4, 0.8 mu g L-1) for 14 days. Bacillus thuringiensis var. israelensis (Bti: 0.25, 0.5, 1 mu L L-1) was used as the reference larvicide. Chitobiase activity, adult survival, individual growth and fecundity, expressed as the number of neonates produced, were measured every 2 days. Average Exposure Concentrations of spinosad were ten-fold lower than the nominal concentrations, whereas only a slight deviation was observed for diflubenzuron. In contrast to Bti, spinosad and diflubenzuron significantly affected both species in terms of adult survival, and production of neonates. As compared to D. pulex, D. magna was more severely affected by diflubenzuron, at low and medium concentrations, with reduced adult growth and much lower chitobiase activity. Chitobiase activity was positively correlated with the individual body length, number of neonates produced between two consecutive observation dates, and number of females and neonates. In addition, the significant positive correlations between chitobiase activity measured on the last sampling date before the first emission of neonates and the cumulative number of neonates produced during the whole observation period strongly support the potential of the activity of this chitinolytic enzyme as a proxy for assessing the dynamics of arthropod populations exposed to larvicides used for mosquito control. (C) 2010 Elsevier Inc. All rights reserved.</t>
  </si>
  <si>
    <t>[Duchet, Claire; Inafuku, Marilia Mitie; Caquet, Thierry; Lagadic, Laurent] INRA, Ecol &amp; Sante Ecosyst UMR985, Equipe Ecotoxicol &amp; Qual Milieux Aquat, F-35042 Rennes, France; [Duchet, Claire; Lagneau, Christophe] Entente Interdept Demousticat Littoral Mediterran, F-34184 Montpellier, France; [Larroque, Michel] Univ Montpellier I, Chim Analyt Lab, UMR Qualisud, Fac Pharm, F-34093 Montpellier 5, France; [Franquet, Evelyne] Univ Paul Cezanne, Inst Mediterraneen Ecol &amp; Paleoecol, Fac Sci &amp; Tech St Jerome, F-13397 Marseille, France</t>
  </si>
  <si>
    <t>INRAE; Universite de Rennes; Universite de Montpellier; Aix-Marseille Universite</t>
  </si>
  <si>
    <t>Lagadic, L (corresponding author), INRA, Ecol &amp; Sante Ecosyst UMR985, Equipe Ecotoxicol &amp; Qual Milieux Aquat, Agrocampus Ouest,65 Rue St Brieuc, F-35042 Rennes, France.</t>
  </si>
  <si>
    <t>Laurent.Lagadic@rennes.inra.fr</t>
  </si>
  <si>
    <t>Duchet, Claire/AAL-8575-2020</t>
  </si>
  <si>
    <t>Duchet, Claire/0000-0002-6542-650X; Lagadic, Laurent/0000-0002-2469-8541</t>
  </si>
  <si>
    <t>10.1016/j.ecoenv.2010.11.001</t>
  </si>
  <si>
    <t>763JU</t>
  </si>
  <si>
    <t>WOS:000290553400033</t>
  </si>
  <si>
    <t>Kirkman, CH; Bitz, CM</t>
  </si>
  <si>
    <t>Kirkman, Clark H.; Bitz, Cecilia M.</t>
  </si>
  <si>
    <t>The Effect of the Sea Ice Freshwater Flux on Southern Ocean Temperatures in CCSM3: Deep-Ocean Warming and Delayed Surface Warming</t>
  </si>
  <si>
    <t>HEAT UPTAKE; PART II; CLIMATE; 20TH-CENTURY; SENSITIVITY</t>
  </si>
  <si>
    <t>This study explores the role of sea ice freshwater and salt fluxes in modulating twenty-first-century surface warming in the Southern Ocean via analysis of sensitivity experiments in the Community Climate System Model, version 3 (CCSM3). In particular, the role of a change in these fluxes in causing surface cooling, expanding sea ice, and increasing deep oceanic storage of heat in the Southern Ocean is investigated. The results indicate that in response to the doubling of CO2 concentrations in the atmosphere in CCSM3, net freshwater input from sea ice to the ocean increases south of 58 degrees S (owing to less growth) and decreases from 48 degrees to 58 degrees S (owing to less melt). The freshwater source from changing precipitation in the model is considerably less than from sea ice south of 58 degrees S, but it serves to compensate for the reduction in sea ice melt near the ice edge, leaving almost no net freshwater flux change between about 48 degrees and 58 degrees S. As a result, freshwater input principally from sea ice reduces ocean convection, which in turns reduces the entrainment of heat into the mixed layer and reduces the upward heat transport along isopycnals below about 1000 m. The reduced upward heat transport (from all sources) causes deep-ocean heating south of 60 degrees S and below 500-m depth, with a corresponding surface cooling in large parts of the Southern Ocean in the model. These results indicate that changing sea ice freshwater and salt fluxes are a major component of the twenty-first-century delay in surface warming of the Southern Ocean and weak reduction in Antarctic sea ice in model projections.</t>
  </si>
  <si>
    <t>[Kirkman, Clark H.; Bitz, Cecilia M.] Univ Washington, Dept Atmospher Sci, Seattle, WA 98195 USA</t>
  </si>
  <si>
    <t>Kirkman, CH (corresponding author), Univ Washington, Dept Atmospher Sci, Box 351640, Seattle, WA 98195 USA.</t>
  </si>
  <si>
    <t>ckirkman@washington.edu</t>
  </si>
  <si>
    <t>Bitz, Cecilia M/S-8423-2016</t>
  </si>
  <si>
    <t>Bitz, Cecilia/0000-0002-9477-7499</t>
  </si>
  <si>
    <t>U.S. Department of Energy [0013706]</t>
  </si>
  <si>
    <t>U.S. Department of Energy(United States Department of Energy (DOE))</t>
  </si>
  <si>
    <t>We thank Marika Holland for offering data from her sensitivity experiment with prescribed climatological sea ice freshwater flux to the ocean. We thank Joellen Russell, Ilana Wainer, and Gokhan Danabasoglu for their helpful conversations about modeling Southern Ocean dynamics. We thank David Battisti and Igor Kamenkovich for their assistance while serving on the committee for the master's thesis out of which this article grew. We also thank three anonymous reviewers for their valuable comments on this article. This research was supported by the U.S. Department of Energy Climate Change and Prediction Program Grant 0013706.</t>
  </si>
  <si>
    <t>10.1175/2010JCLI3625.1</t>
  </si>
  <si>
    <t>762EZ</t>
  </si>
  <si>
    <t>WOS:000290457600002</t>
  </si>
  <si>
    <t>Jaffal, A; Givaudan, N; Betoulle, S; Terreau, A; Paris-Palacios, S; Biagianti-Risbourg, S; Beall, E; Roche, H</t>
  </si>
  <si>
    <t>Jaffal, A.; Givaudan, N.; Betoulle, S.; Terreau, A.; Paris-Palacios, S.; Biagianti-Risbourg, S.; Beall, E.; Roche, H.</t>
  </si>
  <si>
    <t>Polychlorinated biphenyls in freshwater salmonids from the Kerguelen Islands in the Southern Ocean</t>
  </si>
  <si>
    <t>ENVIRONMENTAL POLLUTION</t>
  </si>
  <si>
    <t>PCB accumulation; Sub-Antarctic area; Salmonids; Kerguelen Islands</t>
  </si>
  <si>
    <t>PERSISTENT ORGANIC POLLUTANTS; HEAVY-METAL POLLUTION; ORGANOCHLORINE COMPOUNDS; BROWN TROUT; PCB CONCENTRATIONS; ANTARCTIC BIOTA; POLAR-REGIONS; FISH; CONTAMINATION; TRUTTA</t>
  </si>
  <si>
    <t>The Subantarctic Kerguelen Islands (49 degrees S, 70 degrees E) contain freshwater ecosystems among the most isolated in the world. Concentrations of polychlorinated biphenyls (PCBs) were assessed in the muscle of 48 brook trout and 38 brown trout caught during summer and spring 2006 in the rivers, lakes and ponds of Kerguelen. The sum of 29 PCBs averaged 404 and 358 ng g(-1) lipid, and dioxin-like PCB was 19 and 69 ng g(-1) lipid, in brook and brown trout, respectively. The values showed a high variability and some fish accumulated PCBs at levels similar to those of fish from impacted areas. While inter-sex differences were limited, the season and the morphotype appeared to have the most influence. Fish captured in summer had muscle PCB concentrations about three times higher than those caught in spring and the 'river' morphotype of brook trout showed the highest PCB levels. (C) 2011 Elsevier Ltd. All rights reserved.</t>
  </si>
  <si>
    <t>[Givaudan, N.; Roche, H.] CNRS, UMR8079, F-91405 Orsay, France; [Jaffal, A.; Betoulle, S.; Paris-Palacios, S.; Biagianti-Risbourg, S.] Univ Reims, Lab Ecotoxicol, EA Vignes &amp; Vins Champagne 2069, F-51687 Reims 2, France; [Givaudan, N.; Roche, H.] Univ Paris 11, F-91405 Orsay, France; [Beall, E.] Univ Pau &amp; Pays Adour, INRA, ECOBIOP, UMR 1224, F-63310 St Pee Sur Nivelle, France; [Terreau, A.] IPEV Inst Polaire Francais, F-29280 Plouzane, France</t>
  </si>
  <si>
    <t>AgroParisTech; Centre National de la Recherche Scientifique (CNRS); CNRS - Institute of Ecology &amp; Environment (INEE); Universite de Reims Champagne-Ardenne; Universite Paris Saclay; Universite de Pau et des Pays de l'Adour; INRAE</t>
  </si>
  <si>
    <t>Roche, H (corresponding author), CNRS, UMR8079, F-91405 Orsay, France.</t>
  </si>
  <si>
    <t>helene.roche@u-psud.fr</t>
  </si>
  <si>
    <t>BETOULLE, STÉPHANE/GLT-2314-2022</t>
  </si>
  <si>
    <t>French Polar Institute Paul-Emile Victor [409]; French National Research Agency</t>
  </si>
  <si>
    <t>French Polar Institute Paul-Emile Victor; French National Research Agency(Agence Nationale de la Recherche (ANR))</t>
  </si>
  <si>
    <t>The present study was financially supported by the French Polar Institute Paul-Emile Victor (IMMUNOTOXKER program 409) and by the French National Research Agency (ANR-RISKER Program). We thank the French Polar Institute for its logistic support in Kerguelen Islands as well as the French Austral and Antarctic Territories Administration and the staff of the 56th mission in Kerguelen for their help in the fieldwork.</t>
  </si>
  <si>
    <t>0269-7491</t>
  </si>
  <si>
    <t>1873-6424</t>
  </si>
  <si>
    <t>ENVIRON POLLUT</t>
  </si>
  <si>
    <t>Environ. Pollut.</t>
  </si>
  <si>
    <t>10.1016/j.envpol.2011.01.003</t>
  </si>
  <si>
    <t>758UL</t>
  </si>
  <si>
    <t>WOS:000290192400048</t>
  </si>
  <si>
    <t>Ray, D; Misra, S; Banerjee, R; Weis, D</t>
  </si>
  <si>
    <t>Ray, Dwijesh; Misra, Saumitra; Banerjee, Ranadip; Weis, Dominique</t>
  </si>
  <si>
    <t>Geochemical implications of gabbro from the slow-spreading Northern Central Indian Ocean Ridge, Indian Ocean</t>
  </si>
  <si>
    <t>GEOLOGICAL MAGAZINE</t>
  </si>
  <si>
    <t>Indian Ocean Ridge (IOR); IOR gabbro; IOR basalt; depleted mantle; pelagic sediment mixing</t>
  </si>
  <si>
    <t>MID-ATLANTIC RIDGE; ISOTOPIC CHARACTERIZATION; CRYSTAL FRACTIONATION; ISLANDS OPHIOLITE; TRIPLE JUNCTION; MANTLE; CRUST; ROCKS; SR; PRECISION</t>
  </si>
  <si>
    <t>Gabbro samples (c. &lt; 0.4 Ma old) dredged from close to the 'Vityaz Megamullion' on the slow-spreading Northern Central Indian Ridge (NCIR, 18-22 mm yr(-1)) include mostly olivine gabbro and Fe-Ti oxide gabbro. The cumulate olivine gabbro shows ophitic to subophitic texture with early formed plagioclase crystals in mutual contact with each other, and a narrow range of compositions of olivine (Fo(80-81)), clinopyroxene (magnesium number: 85-87) and plagioclase (An(67-70)). This olivine gabbro could be geochemically cogenetic with the evolved oxide gabbro. These gabbro samples are geochemically distinct from the CIR gabbro occurring along the Vema, Argo and Marie Celeste transform faults and can further be discriminated from the associated NCIR basalts by their clinopyroxene (augite in gabbro, and diopsidic in basalts) and olivine (gabbro: Fo(80-81), basalts: Fo(82-88)) compositions. Our major oxide, trace element and REE geochemistry analyses suggest that the gabbro and the NCIR basalts are also not cogenetic and had experienced different trends of geochemical evolution. The clinopyroxenes of the present NCIR gabbros are geochemically similar to primitive melt that is in equilibrium with mantle peridotite, and do not show any poikilitic texture with resorbed plagioclase; these results negate the possibility of these gabbros being a pre-existing cumulate that has been brought up to the shallower oceanic crust and interacted with the NCIR basalt. The Sr, Pb and Nd isotopic data of the gabbro substantially differ from those of the NCIR basalts and suggest significant contamination of the depleted mantle source of the gabbro, most likely by the Indian Ocean pelagic sediments. The Pb-isotope data suggest that the proportion of pelagic sediment that mixed in the depleted mantle source of the NCIR gabbro is much higher than the level of contamination observed for the Indian Ocean MORBs.</t>
  </si>
  <si>
    <t>[Misra, Saumitra] Univ KwaZulu Natal, Sch Geol Sci, ZA-4000 Durban, South Africa; [Banerjee, Ranadip] Natl Inst Oceanog, Panaji 403004, Goa, India; [Ray, Dwijesh] Natl Ctr Antarctic &amp; Ocean Res, Vasco Da Gama 403804, Goa, India; [Weis, Dominique] Univ British Columbia, Pacific Ctr Isotope &amp; Geochem Res, Vancouver, BC V5Z 1M9, Canada</t>
  </si>
  <si>
    <t>University of Kwazulu Natal; Council of Scientific &amp; Industrial Research (CSIR) - India; CSIR - National Institute of Oceanography (NIO); Ministry of Earth Sciences (MoES) - India; National Centre for Polar and Ocean Research (NCPOR); University of British Columbia</t>
  </si>
  <si>
    <t>Misra, S (corresponding author), Univ KwaZulu Natal, Sch Geol Sci, ZA-4000 Durban, South Africa.</t>
  </si>
  <si>
    <t>misras@ukzn.ac.za</t>
  </si>
  <si>
    <t>Weis, Dominique A/Q-7658-2016; Misra, Saumitra/AAN-1657-2020</t>
  </si>
  <si>
    <t>Weis, Dominique A/0000-0002-6638-5543; Ray, Dwijesh/0000-0002-6320-353X</t>
  </si>
  <si>
    <t>CSIR Network; Office of Naval Research, USA; CSIR-Senior Research Fellowship</t>
  </si>
  <si>
    <t>CSIR Network(Council of Scientific &amp; Industrial Research (CSIR) - India); Office of Naval Research, USA(Office of Naval Research); CSIR-Senior Research Fellowship(Council of Scientific &amp; Industrial Research (CSIR) - India)</t>
  </si>
  <si>
    <t>We are grateful to D. Pyle, T. Morishita, H. Kumagai and P. Leat for their valuable comments on the early versions of the manuscript. We are obliged to the Directors of NCAOR and NIO for constant encouragement. We are indebted to the Ministry of Earth Sciences, Government of India, for allotting the cruises and the scientific party and the crew members of ORV Sagar Kanya for their unstinting help in collecting the samples. This work is supported by the CSIR Network program and Office of Naval Research, USA. The first author (D.R.) also gratefully acknowledges the support of a CSIR-Senior Research Fellowship during the progress of this research. A. K. Chakrabarti helped us on several technical aspects of this manuscript.</t>
  </si>
  <si>
    <t>0016-7568</t>
  </si>
  <si>
    <t>1469-5081</t>
  </si>
  <si>
    <t>GEOL MAG</t>
  </si>
  <si>
    <t>Geol. Mag.</t>
  </si>
  <si>
    <t>10.1017/S001675681000083X</t>
  </si>
  <si>
    <t>758QN</t>
  </si>
  <si>
    <t>WOS:000290180100003</t>
  </si>
  <si>
    <t>Izawa, MRM; Flemming, RL; Banerjee, NR; McCausland, PJA</t>
  </si>
  <si>
    <t>Izawa, Matthew R. M.; Flemming, Roberta L.; Banerjee, Neil R.; McCausland, Philip J. A.</t>
  </si>
  <si>
    <t>Micro-X-ray diffraction assessment of shock stage in enstatite chondrites</t>
  </si>
  <si>
    <t>THERMAL HISTORY; EH3 CHONDRITES; METAMORPHISM; BRECCIATION; CLASSIFICATION; CHONDRULES; METEORITES; EARTH</t>
  </si>
  <si>
    <t>A new method for assessing the shock stage of enstatite chondrites has been developed, using in situ micro-X-ray diffraction (mu XRD) to measure the full width at half maximum (FWHM chi) of peak intensity distributed along the direction of the Debye rings, or chi angle (chi), corresponding to individual lattice reflections in two-dimensional XRD patterns. This mu XRD technique differs from previous XRD shock characterization methods: it does not require single crystals or powders. In situ mu XRD has been applied to polished thin sections and whole-rock meteorite samples. Three frequently observed orthoenstatite reflections were measured: (020), (610), and (131); these were selected as they did not overlap with diffraction lines from other phases. Enstatite chondrites are commonly fine grained, stained or darkened by weathering, shock-induced oxidation, and metal/sulfide inclusions; furthermore, most E chondrites have little olivine or plagioclase. These characteristics inhibit transmitted-light petrography, nevertheless, shock stages have been assigned MacAlpine Hills (MAC) 02837 (EL3) S3, Pecora Escarpment (PCA) 91020 (EL3) S5, MAC 02747 (EL4) S4, Thiel Mountains (TIL) 91714 (EL5) S2, Allan Hills (ALHA) 81021 (EL6) S2, Elephant Moraine (EET) 87746 (EH3) S3, Meteorite Hills (MET) 00783 (EH4) S4, EET 96135 (EH4-5) S2, Lewis Cliff (LEW) 88180 (EH5) S2, Queen Alexandra Range (QUE) 94204 (EH7) S2, LaPaz Icefield (LAP) 02225 (EH impact melt) S1; for the six with published shock stages, there is agreement with the published classification. FWHM chi plotted against petrographic shock stage demonstrates positive linear correlation. FWHM chi ranges corresponding to shock stages were assigned as follows: S1 &lt; 0.7 degrees, S2 = 0.7-1.2 degrees, S3 = 1.2-2.3 degrees, S4 = 2.3-3.5 degrees, S5 &gt; 3.5 degrees, S6-not measured. Slabs of Abee (EH impact-melt breccia), and Northwest Africa (NWA) 2212 (EL6) were examined using mu XRD alone; FWHM chi values place both in the S2 range, consistent with literature values. Micro-XRD analysis may be applicable to other shocked orthopyroxene-bearing rocks.</t>
  </si>
  <si>
    <t>[Izawa, Matthew R. M.; Flemming, Roberta L.; Banerjee, Neil R.; McCausland, Philip J. A.] Univ Western Ontario, Dept Earth Sci, London, ON N6A 5B7, Canada</t>
  </si>
  <si>
    <t>Western University (University of Western Ontario)</t>
  </si>
  <si>
    <t>Izawa, MRM (corresponding author), Univ Western Ontario, Dept Earth Sci, 1151 Richmond St, London, ON N6A 5B7, Canada.</t>
  </si>
  <si>
    <t>matthew.izawa@gmail.com</t>
  </si>
  <si>
    <t>Banerjee, Neil/G-5358-2015</t>
  </si>
  <si>
    <t>Banerjee, Neil/0000-0001-7471-766X; Izawa, Matthew/0000-0001-5456-2912</t>
  </si>
  <si>
    <t>Natural Sciences and Engineering Research Council of Canada; Canada Foundation for Innovation; University of Western Ontario</t>
  </si>
  <si>
    <t>Natural Sciences and Engineering Research Council of Canada(Natural Sciences and Engineering Research Council of Canada (NSERC)CGIAR); Canada Foundation for Innovation(Canada Foundation for InnovationCGIARSpanish Government); University of Western Ontario</t>
  </si>
  <si>
    <t>The authors wish to acknowledge the Antarctic Search for Meteorites (ANSMET) collection program. Samples were kindly provided by NASA-JSC Antarctic meteorite curation program, D. Gregory, and the Royal Ontario Museum. Insightful reviews by E. R. D. Scott and K. Righter, and additional comments by associate editor J. G. Spray led to substantial improvements in this manuscript, and are gratefully acknowledged. Funding for this research was provided by the Natural Sciences and Engineering Research Council of Canada, the Canada Foundation for Innovation, and the University of Western Ontario Academic Development Fund to RLF and NRB. G. R. Osinski (UWO) is thanked for guidance and encouragement. Thanks also to K. Righter (NASA-JSC), D. E. Moser (UWO), D. Jiang (UWO), and Z. Gainsforth (UC Berkeley) for fruitful discussions. This research has made use of NASA's Astrophysics Data System.</t>
  </si>
  <si>
    <t>10.1111/j.1945-5100.2011.01180.x</t>
  </si>
  <si>
    <t>761JB</t>
  </si>
  <si>
    <t>WOS:000290393000002</t>
  </si>
  <si>
    <t>Smith, SM; Zwart, SR; Ploutz-Snyder, RJ; Locke, JP</t>
  </si>
  <si>
    <t>Smith, Scott M.; Zwart, Sara R.; Ploutz-Snyder, Robert J.; Locke, James P.</t>
  </si>
  <si>
    <t>Response to Vitamin D Intake: From the Antarctic to the Institute of Medicine</t>
  </si>
  <si>
    <t>JOURNAL OF NUTRITION</t>
  </si>
  <si>
    <t>[Smith, Scott M.] NASA, Human Adaptat &amp; Countermeasures Div, Univ Space Res Assoc, Houston, TX 77058 USA; NASA, Lyndon B Johnson Space Ctr, Space Med Div, Houston, TX 77058 USA</t>
  </si>
  <si>
    <t>National Aeronautics &amp; Space Administration (NASA); NASA Johnson Space Center; Universities Space Research Association (USRA); National Aeronautics &amp; Space Administration (NASA); NASA Johnson Space Center</t>
  </si>
  <si>
    <t>Smith, SM (corresponding author), NASA, Human Adaptat &amp; Countermeasures Div, Univ Space Res Assoc, Houston, TX 77058 USA.</t>
  </si>
  <si>
    <t>scott.m.smith@nasa.gov</t>
  </si>
  <si>
    <t>Ploutz-Snyder, Robert/GSN-2585-2022</t>
  </si>
  <si>
    <t>Ploutz-Snyder, Robert/0000-0002-8503-2073</t>
  </si>
  <si>
    <t>0022-3166</t>
  </si>
  <si>
    <t>1541-6100</t>
  </si>
  <si>
    <t>J NUTR</t>
  </si>
  <si>
    <t>J. Nutr.</t>
  </si>
  <si>
    <t>10.3945/jn.111.138792</t>
  </si>
  <si>
    <t>Nutrition &amp; Dietetics</t>
  </si>
  <si>
    <t>754CF</t>
  </si>
  <si>
    <t>WOS:000289828800032</t>
  </si>
  <si>
    <t>Smithies, RH; Howard, HM; Evins, PM; Kirkland, CL; Kelsey, DE; Hand, M; Wingate, MTD; Collins, AS; Belousova, E</t>
  </si>
  <si>
    <t>Smithies, R. H.; Howard, H. M.; Evins, P. M.; Kirkland, C. L.; Kelsey, D. E.; Hand, M.; Wingate, M. T. D.; Collins, A. S.; Belousova, E.</t>
  </si>
  <si>
    <t>High-Temperature Granite Magmatism, Crust-Mantle Interaction and the Mesoproterozoic Intracontinental Evolution of the Musgrave Province, Central Australia</t>
  </si>
  <si>
    <t>JOURNAL OF PETROLOGY</t>
  </si>
  <si>
    <t>charnockite; granite geochemistry; intracontinental magmatism; UHT conditions; Mesoproterozoic</t>
  </si>
  <si>
    <t>CONTINENTAL FLOOD VOLCANISM; ALBANY-FRASER OROGEN; U-PB GEOCHRONOLOGY; A-TYPE GRANITES; PARTITION-COEFFICIENTS; ANTARCTIC PENINSULA; UHT METAMORPHISM; THERMAL REGIMES; EAST ANTARCTICA; PLATE-TECTONICS</t>
  </si>
  <si>
    <t>The Musgrave Province lies at the convergence of major structural trends formed during the Proterozoic amalgamation of the North, West and South Australian Cratons prior to c. 1290 Ma. The Musgrave Orogeny, one of three Mesoproterozoic orogenies to affect the province, produced the granites of the Pitjantjatjara Supersuite, which dominate the outcrop. This orogeny was an intracontinental and dominantly extensional event in which ultrahigh-temperature (UHT) conditions persisted from c. 1220 to c. 1120 Ma. The onset of UHT conditions is heralded by a change from low-Yb granites to voluminous Yb-enriched granites, reflecting a rapid decrease in crustal thickness. The Pitjantjatjara granites are ferroan, calc-alkalic to alkali-calcic rocks and include charnockites with an orthopyroxene-bearing primary mineralogy. They were emplaced at temperatures &gt;= 1000 degrees C from c. 1220 to c. 1150 Ma. Their geochemical and Nd and Hf isotopic homogeneity over a scale of &gt; 15000 km(2) reflects a similarly homogeneous source. This source included an old enriched felsic crustal component. However, the bulk source was mafic to intermediate in composition. The long-lived UHT regime, and thermal limits on the amount of crust sustainable below the level of intrusion, indicates a significant (&gt; 50%) mantle-derived source component. However, a positive correlation between Mg-number and F suggests that many Pitjantjatjara granites formed through the breakdown of F-rich biotite in a crustal granulite. We suggest that under-and intraplated mafic magmas assimilated the limited available felsic crust into lower crustal MASH (melting, assimilation, storage, homogenization) domains. These partially cooled but were remobilized during subsequent under-and intra-plating events to produce the Pitjantjatjara granites. The duration of UHT conditions is inconsistent with a mantle plume. It reflects an intracontinental lithospheric architecture where the Musgrave Province was rigidly fixed at the nexus of three thick cratonic masses. This ensured that any asthenospheric upwelling was focused beneath the province, providing a constant supply of both heat and mantle-derived magma.</t>
  </si>
  <si>
    <t>[Smithies, R. H.; Howard, H. M.; Evins, P. M.; Kirkland, C. L.; Wingate, M. T. D.] Geol Survey Western Australia, Perth, WA 6004, Australia; [Kelsey, D. E.; Hand, M.; Collins, A. S.] Univ Adelaide, Ctr Tecton Resources &amp; Explorat TRaX, Sch Earth &amp; Environm Sci, Adelaide, SA 5005, Australia; [Belousova, E.] Macquarie Univ, Dept Earth &amp; Planetary Sci, Sydney, NSW 2109, Australia</t>
  </si>
  <si>
    <t>Geological Survey of Western Australia; University of Adelaide; Macquarie University</t>
  </si>
  <si>
    <t>Smithies, RH (corresponding author), Geol Survey Western Australia, 100 Plain St, Perth, WA 6004, Australia.</t>
  </si>
  <si>
    <t>hugh.smithies@dmp.wa.gov.au</t>
  </si>
  <si>
    <t>Belousova, Elena/JOJ-9926-2023; Kelsey, David E/D-3676-2009; GAU, geochemist/H-1985-2016; Collins, Alan/D-9781-2011; Kirkland, Christopher/S-3305-2016</t>
  </si>
  <si>
    <t>Belousova, Elena/0000-0001-9369-4993; hand, martin/0000-0003-3743-9706; Wingate, Michael/0000-0003-2528-417X; Belousova, Elena/0000-0003-2315-3520; Collins, Alan/0000-0002-3408-5474; Kirkland, Christopher/0000-0003-3367-8961</t>
  </si>
  <si>
    <t>0022-3530</t>
  </si>
  <si>
    <t>1460-2415</t>
  </si>
  <si>
    <t>J PETROL</t>
  </si>
  <si>
    <t>J. Petrol.</t>
  </si>
  <si>
    <t>10.1093/petrology/egr010</t>
  </si>
  <si>
    <t>754FP</t>
  </si>
  <si>
    <t>WOS:000289840500005</t>
  </si>
  <si>
    <t>Bertrand, EM; Saito, MA; Jeon, YJ; Neilan, BA</t>
  </si>
  <si>
    <t>Bertrand, Erin M.; Saito, Mak A.; Jeon, Young Jae; Neilan, Brett A.</t>
  </si>
  <si>
    <t>Vitamin B12 biosynthesis gene diversity in the Ross Sea: the identification of a new group of putative polar B12 biosynthesizers</t>
  </si>
  <si>
    <t>SOUTHERN-OCEAN; PHYTOPLANKTON GROWTH; SARGASSO SEA; ANTARCTICA; BACTERIAL; IRON; COBALT; SYNECHOCOCCUS; DYNAMICS; WATERS</t>
  </si>
  <si>
    <t>P&gt;Vitamin B-12, a cobalt-containing micronutrient, has been shown to limit phytoplankton growth in the Ross Sea of the Southern Ocean. However, B-12 biosynthesis potential in this environment remains uncharacterized. Select bacteria and archaea synthesize B-12 while many phytoplankton require it for growth. Low ratios of bacterial biomass production to primary productivity and high concentrations of labile cobalt in Antarctic surface water suggest that factors controlling bacterial growth rather than cobalt availability may determine vitamin production rates here. In order to assess B-12 biosynthesis potential, degenerate polymerase chain reaction primers were designed to target the genetic locus cbiA/cobB, encoding cobyrinic acid a,c-diamide synthase, a B-12 biosynthesis protein. Sequencing the DNA compliment of Ross Sea 16S rRNA (see Supporting information) allowed targeting of cbiA/cobB probes to dominant bacterial groups. CbiA/cobB DNA sequences were successfully identified in clone libraries from the Ross Sea. To our knowledge, this study represents the first targeted molecular characterization of environmental B-12 biosynthesis potential. A newly identified group of cbiA/cobB sequences dominated the diversity of the sequences retrieved; their expression was confirmed via mass spectrometry-based peptide detection. These sequences seem to have originated from a previously undescribed group of bacteria that could dominate the B-12 biosynthesizing community in polar systems.</t>
  </si>
  <si>
    <t>[Bertrand, Erin M.] MIT WHOI Joint Program Chem Oceanog, Woods Hole, MA 02543 USA; [Bertrand, Erin M.; Saito, Mak A.] Woods Hole Oceanog Inst, Marine Chem &amp; Geochem Dept, Woods Hole, MA 02543 USA; [Bertrand, Erin M.; Jeon, Young Jae; Neilan, Brett A.] Univ New S Wales, Sch Biotechnol &amp; Biomol Sci, Sydney, NSW 2052, Australia; [Neilan, Brett A.] Univ New S Wales, Australian Ctr Astrobiol, Sydney, NSW 2052, Australia</t>
  </si>
  <si>
    <t>Massachusetts Institute of Technology (MIT); Woods Hole Oceanographic Institution; University of New South Wales Sydney; University of New South Wales Sydney</t>
  </si>
  <si>
    <t>Bertrand, EM (corresponding author), MIT WHOI Joint Program Chem Oceanog, Woods Hole, MA 02543 USA.</t>
  </si>
  <si>
    <t>ebertrand@whoi.edu</t>
  </si>
  <si>
    <t>Saito, Mak/ADT-4986-2022; Neilan, Brett A/I-5767-2012</t>
  </si>
  <si>
    <t>Neilan, Brett A/0000-0001-6113-772X</t>
  </si>
  <si>
    <t>NSF [OPP-0440840, OCE-0327225, OCE-0452883, OPP-0732665, OCE-0752291]; Center for Environmental Bioinorganic Chemistry at Princeton; Center for Microbial Oceanography: Research and Education (CMORE); Australian Research Council; EPA STAR</t>
  </si>
  <si>
    <t>NSF(National Science Foundation (NSF)); Center for Environmental Bioinorganic Chemistry at Princeton; Center for Microbial Oceanography: Research and Education (CMORE); Australian Research Council(Australian Research Council); EPA STAR(United States Environmental Protection Agency)</t>
  </si>
  <si>
    <t>We are indebted to Falicia Goh, Tim Salmon and other members of the Neilan Lab at UNSW for technical assistance and helpful discussions. We thank Tyler Goepfert for assistance in collecting field samples, Abigail Noble for assistance with cobalt analyses and to Dan Rogers and Erin Banning for assistance with data analysis and helpful discussions. Thanks to Vladimir V. Bulygin for technical assistance with peptide analyses and to Andrew Allen for helpful discussions regarding eukaryotic and metagenomic sequences. Special thanks to the Captain, Crew, and Raytheon Marine and Science Technical Staff of the R/V N.B. Palmer and CORSACS science parties including Chief Scientist Jack DiTullio. This research was supported by NSF grants OPP-0440840, OCE-0327225, OCE-0452883, OPP-0732665, OCE-0752291, The Center for Environmental Bioinorganic Chemistry at Princeton, The Center for Microbial Oceanography: Research and Education (CMORE), the Australian Research Council, and EPA STAR and NSF Graduate Research Fellowships to EMB.</t>
  </si>
  <si>
    <t>10.1111/j.1462-2920.2011.02428.x</t>
  </si>
  <si>
    <t>753RZ</t>
  </si>
  <si>
    <t>WOS:000289798600014</t>
  </si>
  <si>
    <t>Dorantes-Aranda, JJ; Waite, TD; Godrant, A; Rose, AL; Tovar, CD; Woods, GM; Hallegraeff, GM</t>
  </si>
  <si>
    <t>Dorantes-Aranda, Juan Jose; Waite, T. David; Godrant, Aurelie; Rose, Andrew L.; Tovar, Cesar D.; Woods, Gregory M.; Hallegraeff, Gustaaf M.</t>
  </si>
  <si>
    <t>Novel application of a fish gill cell line assay to assess ichthyotoxicity of harmful marine microalgae</t>
  </si>
  <si>
    <t>HARMFUL ALGAE</t>
  </si>
  <si>
    <t>Ichthyotoxicity; Harmful phytoplankton; Chattonella marina; Karlodinium veneficum; Rainbow trout gill cell line; Fatty acids</t>
  </si>
  <si>
    <t>YELLOWTAIL SERIOLA-QUINQUERADIATA; CHATTONELLA-MARINA; RAINBOW-TROUT; FATTY-ACIDS; PRIMARY CULTURES; TOXICITY; RAPHIDOPHYCEAE; CYTOTOXICITY; KARENIACEAE; TETRAHYMENA</t>
  </si>
  <si>
    <t>Fish-killing microalgae can cause substantial mortalities of cultured finfish, but their killing mechanisms are not completely understood. Since use of cell lines offers significant advantages compared to working with whole organisms, a simple in vitro assay for microalgal ichthyotoxicity is described using the rainbow trout cell line RTgill-W1. We describe the application of a microplate based assay for testing the toxicity of fatty acids to gill cells in a time-dependent manner. Additionally, a modification of this assay using an insert support with permeable membranes is presented to test the toxicity of living marine microalgae. The endpoint is measurement of cell viability using alamarBlue as an indicator dye. Gill cells remained 100% viable for 60 h in the modified version of the basal growth medium, L-15/ex, without fetal bovine serum and with 1% methanol (in which fatty acids were dissolved). In contrast, gill cells survived for 3 h in microplates with insert supports upon exposure to algal seawater-based media. Toxicity of palmitic acid was less than 10%, as observed by loss of gill cell viability, during the first 12 h at all concentrations. However, the highest toxicity was observed at 48-60 h with a reduction of cell viability of 50% after exposure to 140 mg L(-1). The ichthyotoxic raphidophyte Chattonella marina and dinoflagellate Karlodinium veneficum had a negative effect on gill cells, causing up to 70 and 38% loss of viability, respectively, when exposed to high algal concentrations for 2 h. These two simple and reproducible screening tests represent a sensitive and suitable alternative to whole fish ichthyotoxic bioassays for fish-killing marine microalgae. (C) 2011 Elsevier B.V. All rights reserved.</t>
  </si>
  <si>
    <t>[Dorantes-Aranda, Juan Jose; Hallegraeff, Gustaaf M.] Univ Tasmania, Inst Marine &amp; Antarctic Studies, Hobart, Tas 7001, Australia; [Waite, T. David; Godrant, Aurelie] Univ New S Wales, Sch Civil &amp; Environm Engn, Water Res Ctr, Sydney, NSW 2052, Australia; [Rose, Andrew L.] So Cross Univ, Lismore, NSW 2480, Australia; [Tovar, Cesar D.; Woods, Gregory M.] Univ Tasmania, Menzies Res Inst, Hobart, Tas 7001, Australia</t>
  </si>
  <si>
    <t>University of Tasmania; University of New South Wales Sydney; Southern Cross University; University of Tasmania; Menzies Institute for Medical Research</t>
  </si>
  <si>
    <t>Dorantes-Aranda, JJ (corresponding author), Univ Tasmania, Inst Marine &amp; Antarctic Studies, Private Bag 55, Hobart, Tas 7001, Australia.</t>
  </si>
  <si>
    <t>Juan.DorantesAranda@utas.edu.au</t>
  </si>
  <si>
    <t>Waite, T. David/A-1400-2008; Rose, Andrew/B-9557-2012; Dorantes-Aranda, Juan Jose/J-7737-2014; Woods, Greg/J-7533-2014; Hallegraeff, Gustaaf/C-8351-2013</t>
  </si>
  <si>
    <t>Rose, Andrew/0000-0003-1063-3832; Woods, Greg/0000-0001-8421-7917; Tovar Lopez, Cesar Dario/0000-0001-9555-2489; Hallegraeff, Gustaaf/0000-0001-8464-7343; Dorantes-Aranda, Juan J./0000-0003-1513-6501</t>
  </si>
  <si>
    <t>ARC; CONACyT [190179]; DGRI-SEP</t>
  </si>
  <si>
    <t>ARC(Australian Research Council); CONACyT(Consejo Nacional de Ciencia y Tecnologia (CONACyT)); DGRI-SEP</t>
  </si>
  <si>
    <t>The authors thank Robert Gasperini from the Menzies Research Institute, University of Tasmania, and David Evans and Valerie Hecht from the School of Plant Science, University of Tasmania, for facilities support. We also thank Helen Bond for algal culturing support. The authors acknowledge Rick van den Enden from the Australian Antarctic Division for electron microscopy work support. This work was partially supported by an ARC Discovery Grant awarded to Waite T.D. and Hallegraeff G.M. The first author was financed by the fellowships CONACyT 190179 and DGRI-SEP. [SS]</t>
  </si>
  <si>
    <t>1568-9883</t>
  </si>
  <si>
    <t>Harmful Algae</t>
  </si>
  <si>
    <t>10.1016/j.hal.2011.01.002</t>
  </si>
  <si>
    <t>753WB</t>
  </si>
  <si>
    <t>WOS:000289809600003</t>
  </si>
  <si>
    <t>Petrou, K; Doblin, MA; Ralph, PJ</t>
  </si>
  <si>
    <t>Petrou, K.; Doblin, M. A.; Ralph, P. J.</t>
  </si>
  <si>
    <t>Heterogeneity in the photoprotective capacity of three Antarctic diatoms during short-term changes in salinity and temperature</t>
  </si>
  <si>
    <t>SEA-ICE; PLANKTONIC DIATOMS; XANTHOPHYLL-CYCLE; PHOTOSYSTEM-II; FRAGILARIOPSIS-CYLINDRUS; SPECTRAL IRRADIANCE; ENERGY-DISSIPATION; EAST ANTARCTICA; COASTAL WATERS; SOUTHERN-OCEAN</t>
  </si>
  <si>
    <t>The Antarctic marine ecosystem changes seasonally, forming a temporal continuum of specialised niche habitats including open ocean, sea ice and meltwater environments. The ability for phytoplankton to acclimate rapidly to the changed conditions of these environments depends on the species' physiology and photosynthetic plasticity and may ultimately determine their long-term ecological niche adaptation. This study investigated the photophysiological plasticity and rapid acclimation response of three Antarctic diatoms-Fragilariopsis cylindrus, Pseudo-nitzschia subcurvata and Chaetoceros sp.-to a selected range of temperatures and salinities representative of the sea ice, meltwater and pelagic habitats in the Antarctic. Fragilariopsis cylindrus displayed physiological traits typical of adaptation to the sea ice environment. Equally, this species showed photosynthetic plasticity, acclimating to the range of environmental conditions, explaining the prevalence of this species in all Antarctic habitats. Pseudo-nitzschia subcurvata displayed a preference for the meltwater environment, but unlike F. cylindrus, photoprotective capacity was low and regulated via changes in PSII antenna size. Chaetoceros sp. had high plasticity in non-photochemical quenching, suggesting adaptation to variable light conditions experienced in the wind-mixed pelagic environment. While only capturing short-term responses, this study highlights the diversity in photoprotective capacity that exists amongst three dominant Antarctic diatom species and provides insight into links between ecological niche adaptation and species' distribution.</t>
  </si>
  <si>
    <t>[Petrou, K.; Doblin, M. A.; Ralph, P. J.] Univ Technol, Dept Environm Sci, Sydney, NSW 2007, Australia</t>
  </si>
  <si>
    <t>University of Technology Sydney</t>
  </si>
  <si>
    <t>Petrou, K (corresponding author), Univ Technol, Dept Environm Sci, POB 123,Broadway, Sydney, NSW 2007, Australia.</t>
  </si>
  <si>
    <t>klpetrou@uts.edu.au</t>
  </si>
  <si>
    <t>Doblin, Martina/L-1804-2019; Ralph, Peter/L-1527-2019</t>
  </si>
  <si>
    <t>Doblin, Martina/0000-0001-8750-3433; Ralph, Peter/0000-0002-3103-7346; Petrou, Katherina/0000-0002-2703-0694</t>
  </si>
  <si>
    <t>Australian Research Council [DP0773558]; Aquatic Processes Group; Department of Environmental Sciences, University of Technology, Sydney; Australian Postgraduate Award; Commonwealth Scientific and Industrial Research Organisation (CSIRO); Australian Research Council [DP0773558] Funding Source: Australian Research Council</t>
  </si>
  <si>
    <t>Australian Research Council(Australian Research Council); Aquatic Processes Group; Department of Environmental Sciences, University of Technology, Sydney; Australian Postgraduate Award(Australian Government); Commonwealth Scientific and Industrial Research Organisation (CSIRO)(Commonwealth Scientific &amp; Industrial Research Organisation (CSIRO)); Australian Research Council(Australian Research Council)</t>
  </si>
  <si>
    <t>Thanks to Olivia Sackett for experimental assistance and Marlene Zbinden and Vinod Kumar for HPLC analyses. This work was supported by the Australian Research Council grant (DP0773558) awarded to Peter J Ralph, with additional support provided by Aquatic Processes Group and the Department of Environmental Sciences, University of Technology, Sydney. Katherina Petrou was supported by an Australian Postgraduate Award and Commonwealth Scientific and Industrial Research Organisation (CSIRO) Flagship top-up scholarship.</t>
  </si>
  <si>
    <t>10.1007/s00227-011-1628-4</t>
  </si>
  <si>
    <t>752LE</t>
  </si>
  <si>
    <t>WOS:000289691900008</t>
  </si>
  <si>
    <t>Cerfonteyn, ME; Le Roux, PC; Van Vuuren, BJ; Born, C</t>
  </si>
  <si>
    <t>Cerfonteyn, Mia E.; Le Roux, Peter C.; Van Vuuren, Bettine Jansen; Born, Celine</t>
  </si>
  <si>
    <t>CRYPTIC SPATIAL AGGREGATION OF THE CUSHION PLANT AZORELLA SELAGO (APIACEAE) REVEALED BY A MULTILOCUS MOLECULAR APPROACH SUGGESTS FREQUENT INTRASPECIFIC FACILITATION UNDER SUB-ANTARCTIC CONDITIONS</t>
  </si>
  <si>
    <t>AMERICAN JOURNAL OF BOTANY</t>
  </si>
  <si>
    <t>Apiaceae; Azorella selago; intraspecific facilitation; Marion Island; microsatellite markers; relatedness</t>
  </si>
  <si>
    <t>GENETIC-STRUCTURE; HIGH-ANDES; COMMUNITIES; SIZE; CONSEQUENCES; GRADIENTS; SEVERITY; GROWTH; SHRUB</t>
  </si>
  <si>
    <t>. Premise of the study: In abiotically severe habitats, intraspecific aggregations can increase species' fitness by ameliorating stressful environmental factors. However, the difficulty of identifying individual plants in some growth forms makes the measurements of intraspecific aggregation, and therefore the assessment of intraspecific facilitation, problematic. In this study, we examined the genotype composition within cushions of Azorella selago, a sub-Antarctic cushion plant, to investigate the potential extent of intraspecific facilitation. . Methods: The study was performed on Marion Island, South Africa. Two to eight samples were collected from 42 A. selago cushions, comprising eight different growth forms. Samples were genotyped using seven microsatellite markers. . Key results: We showed that all cushion shapes, with the exception of small cushions, may be comprised of more than one genetically distinct individual. . Conclusions: Under harsh sub-Antarctic conditions, intraspecific aggregation between A. selago individuals appears common and may be driven by the positive impacts of environmental amelioration.</t>
  </si>
  <si>
    <t>[Cerfonteyn, Mia E.; Van Vuuren, Bettine Jansen; Born, Celine] Univ Stellenbosch, Dept Bot &amp; Zool, Evolutionary Genom Grp, ZA-7602 Matieland, South Africa; [Le Roux, Peter C.; Van Vuuren, Bettine Jansen] Univ Stellenbosch, Dept Bot &amp; Zool, Ctr Invas Biol, ZA-7602 Matieland, South Africa</t>
  </si>
  <si>
    <t>Stellenbosch University; Stellenbosch University</t>
  </si>
  <si>
    <t>Born, C (corresponding author), Univ Stellenbosch, Dept Bot &amp; Zool, Evolutionary Genom Grp, Private Bag X1, ZA-7602 Matieland, South Africa.</t>
  </si>
  <si>
    <t>celineborn@gmail.com</t>
  </si>
  <si>
    <t>Jansen van Vuuren, Bettine/E-6227-2013; Born, Céline/F-8385-2011; le Roux, Peter Christiaan/E-7784-2011</t>
  </si>
  <si>
    <t>Jansen van Vuuren, Bettine/0000-0002-5334-5358; le Roux, Peter Christiaan/0000-0002-7941-7444; Cerfonteyn, Mia/0000-0003-4360-0033</t>
  </si>
  <si>
    <t>National Research Foundation</t>
  </si>
  <si>
    <t>This project was funded by a National Research Foundation (South African National Antarctic Program) grant. They also thank anonymous reviewers for helpful comments on earlier versions of the manuscript.</t>
  </si>
  <si>
    <t>0002-9122</t>
  </si>
  <si>
    <t>1537-2197</t>
  </si>
  <si>
    <t>AM J BOT</t>
  </si>
  <si>
    <t>Am. J. Bot.</t>
  </si>
  <si>
    <t>10.3732/ajb.1000460</t>
  </si>
  <si>
    <t>762LT</t>
  </si>
  <si>
    <t>WOS:000290480600023</t>
  </si>
  <si>
    <t>Malanson, GP; Resler, LM; Bader, MY; Holtmeier, FK; Butler, DR; Weiss, DJ; Daniels, LD; Fagre, DB</t>
  </si>
  <si>
    <t>Malanson, George P.; Resler, Lynn M.; Bader, Maaike Y.; Holtmeier, Friedrich-Karl; Butler, David R.; Weiss, Daniel J.; Daniels, Lori D.; Fagre, Daniel B.</t>
  </si>
  <si>
    <t>Mountain Treelines: a Roadmap for Research Orientation</t>
  </si>
  <si>
    <t>GLACIER-NATIONAL-PARK; ALPINE TREE-LINE; LOW-TEMPERATURE PHOTOINHIBITION; FOREST-TUNDRA ECOTONE; CARBON BALANCE; CONIFER SEEDLINGS; ABIES-LASIOCARPA; NIWOT RIDGE; REGENERATION PATTERNS; SPATIAL-DISTRIBUTION</t>
  </si>
  <si>
    <t>For over 100 years, mountain treelines have been the subject of varied research endeavors and remain a strong area of investigation. The purpose of this paper is to examine aspects of the epistemology of mountain treeline research-that is, to investigate how knowledge on treelines has been acquired and the changes in knowledge acquisition over time, through a review of fundamental questions and approaches. The questions treeline researchers have raised and continue to raise have undoubtedly directed the current state of knowledge. A continuing, fundamental emphasis has centered on seeking the general cause of mountain treelines, thus seeking an answer to the question, What causes treeline? with a primary emphasis on searching for ecophysiological mechanisms of low-temperature limitation for tree growth and regeneration. However, treeline research today also includes a rich literature that seeks local, landscape-scale causes of treelines and reasons why treelines vary so widely in three-dimensional patterns from one location to the next, and this approach and some of its consequences are elaborated here. In recent years, both lines of research have been motivated greatly by global climate change. Given the current state of knowledge, we propose that future research directions focused on a spatial approach should specifically address cross-scale hypotheses using statistics and simulations designed for nested hierarchies; these analyses will benefit from geographic extension of treeline research.</t>
  </si>
  <si>
    <t>[Resler, Lynn M.] Virginia Tech, Dept Geog, Blacksburg, VA 24061 USA; [Malanson, George P.] Univ Iowa, Dept Geog, Iowa City, IA 52242 USA; [Bader, Maaike Y.] Carl von Ossietzky Univ Oldenburg, Dept Biol &amp; Environm Sci, D-26111 Oldenburg, Germany; [Holtmeier, Friedrich-Karl] Univ Munster, Inst Landscape Ecol, D-48149 Munster, Germany; [Butler, David R.] SW Texas State Univ, Dept Geog, San Marcos, TX 78666 USA; [Weiss, Daniel J.] Yellowstone Ecol Res Ctr, Bozeman, MT 59718 USA; [Daniels, Lori D.] Univ British Columbia, Dept Geog, Vancouver, BC V6T 1Z2, Canada; [Fagre, Daniel B.] US Geol Survey, No Rocky Mt Sci Ctr, W Glacier, MT 59936 USA</t>
  </si>
  <si>
    <t>Virginia Polytechnic Institute &amp; State University; University of Iowa; Carl von Ossietzky Universitat Oldenburg; University of Munster; Texas State University System; Texas State University San Marcos; University of British Columbia; United States Department of the Interior; United States Geological Survey</t>
  </si>
  <si>
    <t>Resler, LM (corresponding author), Virginia Tech, Dept Geog, Blacksburg, VA 24061 USA.</t>
  </si>
  <si>
    <t>resler@vt.edu</t>
  </si>
  <si>
    <t>Bader, Maaike Y./M-7998-2013</t>
  </si>
  <si>
    <t>Bader, Maaike Y./0000-0003-4300-7598; Daniels, Lori/0000-0002-5015-8311; /0000-0002-6175-5648</t>
  </si>
  <si>
    <t>U.S. Geological Survey [04CRA00030]</t>
  </si>
  <si>
    <t>U.S. Geological Survey(United States Geological Survey)</t>
  </si>
  <si>
    <t>This paper was initiated at a workshop organized by the Mountain GeoDynamics Research Group that was supported by cooperative agreement 04CRA00030 with the U.S. Geological Survey.</t>
  </si>
  <si>
    <t>10.1657/1938-4246-43.2.167</t>
  </si>
  <si>
    <t>WOS:000291118700001</t>
  </si>
  <si>
    <t>Bárcena, TG; Finster, KW; Yde, JC</t>
  </si>
  <si>
    <t>Barcena, Teresa G.; Finster, Kai W.; Yde, Jacob C.</t>
  </si>
  <si>
    <t>Spatial Patterns of Soil Development, Methane Oxidation, and Methanotrophic Diversity along a Receding Glacier Forefield, Southeast Greenland</t>
  </si>
  <si>
    <t>ATMOSPHERIC METHANE; OXIDIZING BACTERIA; COMMUNITY STRUCTURE; POTENTIAL ACTIVITY; FOREST SOIL; LENA DELTA; SUCCESSION; FORELAND; RESPIRATION; POPULATIONS</t>
  </si>
  <si>
    <t>Increasing global annual temperature leads to massive loss of ice cover worldwide. Consequently, glaciers retreat and ice-covered areas become exposed. We report on a study from the Mittivakkat Gletscher forefield in Southeast Greenland with special focus on methanotrophy in relation to exposure time to the atmosphere. The Mittivakkat Gletscher has receded since the end of the Little Ice Age (LIA; about AD 1850) and has left behind a series of deposits of decreasing age concurrently with its recession. Soil samples from this chronosequence were examined in order to elucidate main soil variables, as well as the activity and community structure of methanotrophs, a group of microorganisms involved in regulation of atmospheric methane. Soil variables revealed poor soil development, and incubation experiments showed methane consumption rates of 2.14 nmol CH4 day(-1) g(soil)(-1) at 22 degrees C and 1.24 nmol CH4 day(-1) g(soil)(-1) at 10 degrees C in the LIA terminal moraine. Methane consumption was not detected in younger samples, despite the presence of high-affinity methanotrophs in all samples. This was indicated by successful amplification of partial pmoA genes, which code for a subunit of a key enzyme involved in methane oxidation. In addition, the results of the diversity study show that the diversity of the methanotrophic community at the younger, recently deglaciated site P5 is poorer than the diversity of the community retrieved from the LIA moraine. We put forward the hypothesis that aerobic methanotrophs were at very low abundance and diversity during glaciation probably due to anoxia at the ice-sediment interface and that colonization after deglaciation is not completed yet. More detailed studies are required to explain the causes of discrepancy between activity and presence of high-affinity methanotrophs and its relation to the transit from ice-covered probably anoxic to ice-free oxic conditions.</t>
  </si>
  <si>
    <t>[Barcena, Teresa G.; Yde, Jacob C.] Univ Aarhus, Ctr Geomicrobiol, DK-8000 Aarhus C, Denmark; [Barcena, Teresa G.; Yde, Jacob C.] Univ Aarhus, Dept Earth Sci, DK-8000 Aarhus C, Denmark; [Finster, Kai W.] Univ Aarhus, Dept Biol Sci, DK-8000 Aarhus C, Denmark; [Finster, Kai W.] Max Planck Inst Marine Microbiol, D-28359 Bremen, Germany; [Yde, Jacob C.] Univ Bergen, Bjerknes Ctr Climate Res, N-5007 Bergen, Norway</t>
  </si>
  <si>
    <t>Aarhus University; Aarhus University; Aarhus University; Max Planck Society; Bjerknes Centre for Climate Research; University of Bergen</t>
  </si>
  <si>
    <t>Yde, JC (corresponding author), Sogn Og Fjordane Univ Coll, Postbox 133, NO-6851 Sogndal, Norway.</t>
  </si>
  <si>
    <t>jacob.yde@hisf.no</t>
  </si>
  <si>
    <t>Yde, Jacob/M-8839-2017; Chen, Tianren/AAS-6018-2021; Finster, Kai/I-7475-2013</t>
  </si>
  <si>
    <t>Yde, Jacob Clement/0000-0002-6211-2601; G. Barcena, Teresa/0000-0002-9467-692X; Finster, Kai/0000-0002-9132-5542</t>
  </si>
  <si>
    <t>Commission for Scientific Research in Greenland (KVUG) [495229]; Carlsberg Fondet; Faculty of Science, University of Aarhus</t>
  </si>
  <si>
    <t>Commission for Scientific Research in Greenland (KVUG); Carlsberg Fondet(Carlsberg Foundation); Faculty of Science, University of Aarhus</t>
  </si>
  <si>
    <t>This research was funded by the Commission for Scientific Research in Greenland (KVUG-project number 495229), Carlsberg Fondet, and the Faculty of Science, University of Aarhus. The authors thank N. Tvis Knudsen, Tove Wiegers, Soren M. Kristiansen, and Ebbe N. Bak for field assistance. Tove Wiegers is also acknowledged for her helpful assistance in the laboratory. We greatly appreciate the constructive criticism by three anonymous reviewers that helped to improve the quality of the manuscript. The authors are grateful to the Department of Geography and Geology (IGG), University of Copenhagen, for allowing us to use the Sermilik Research Station. This is publication no. A308 from the Bjerknes Centre for Climate Research.</t>
  </si>
  <si>
    <t>10.1657/1938-4246-43.2.178</t>
  </si>
  <si>
    <t>WOS:000291118700002</t>
  </si>
  <si>
    <t>Nuimura, T; Fujita, K; Fukui, K; Asahi, K; Aryal, R; Ageta, Y</t>
  </si>
  <si>
    <t>Nuimura, Takayuki; Fujita, Koji; Fukui, Kotaro; Asahi, Katsuhiko; Aryal, Raju; Ageta, Yutaka</t>
  </si>
  <si>
    <t>Temporal Changes in Elevation of the Debris-Covered Ablation Area of Khumbu Glacier in the Nepal Himalaya since 1978</t>
  </si>
  <si>
    <t>SATELLITE RADAR INTERFEROMETRY; QOMOLANGMA MOUNT EVEREST; MASS-BALANCE; PRECIPITATION SEASONALITY; HIMACHAL-PRADESH; TIBETAN PLATEAU; ASTER DEMS; ICE; SENSITIVITY; VELOCITIES</t>
  </si>
  <si>
    <t>We evaluated elevation changes at four sites on debris-covered ablation area of Khumbu Glacier, Nepal Himalaya, since 1978. In 2004, we carried out a ground survey by differential GPS in the upper- and lowermost areas of the ablation area. The amount of surface lowering was calculated by comparing digital elevation models (DEMs) with 30-m grid size, as generated from survey data corrected in 1978, 1995, and in the present study. Because we could not access the middle parts of the debris-covered area due to surface roughness, for this area we used an ASTER-DEM calibrated by the ground survey data. The amount of surface lowering during the period 1978-2004 was insignificant near the terminus. A remarkable acceleration of surface lowering was found in the middle part of the debris-covered ablation area, where the glacier surface is highly undulating. In the uppermost area, surface lowering has continued at a steady rate. Surface flow speeds have decreased since 1956, revealing that the recent decrease in ice flux from the upper accumulation area would have accelerated the rate of surface lowering of the debris-covered area of Khumbu Glacier during the period 1995-2004.</t>
  </si>
  <si>
    <t>[Nuimura, Takayuki; Fujita, Koji; Ageta, Yutaka] Nagoya Univ, Hydrospher Atmospher Res Ctr, Grad Sch Environm Studies, Chikusa Ku, Nagoya, Aichi 4648601, Japan; [Fukui, Kotaro] Tateyama Caldera Sabo Museum, Toyama 9301406, Japan; [Asahi, Katsuhiko] Ritsumeikan Univ, Dept Geog, Kyoto 6038577, Japan; [Aryal, Raju] Dept Hydrol &amp; Meteorol, Kathmandu 406, Nepal</t>
  </si>
  <si>
    <t>Nagoya University; Ritsumeikan University</t>
  </si>
  <si>
    <t>Nuimura, T (corresponding author), Nagoya Univ, Hydrospher Atmospher Res Ctr, Grad Sch Environm Studies, Chikusa Ku, Furo Cho, Nagoya, Aichi 4648601, Japan.</t>
  </si>
  <si>
    <t>nuimura@nagoya-u.jp</t>
  </si>
  <si>
    <t>Fujita, Koji/E-6104-2010; Nuimura, Takayuki/AGZ-6196-2022; Nuimura, Takayuki/M-5958-2013; FUKUI, Kotaro/H-5600-2018</t>
  </si>
  <si>
    <t>Fujita, Koji/0000-0003-3753-4981; Nuimura, Takayuki/0000-0003-1266-2143; Nuimura, Takayuki/0000-0003-1266-2143; FUKUI, Kotaro/0000-0003-2106-0232</t>
  </si>
  <si>
    <t>Ministry of Education, Culture, Sports, Science and Technology (MEXT) of Japan [13373066, 19253001]; MEXT; Grants-in-Aid for Scientific Research [22241005, 19253001] Funding Source: KAKEN</t>
  </si>
  <si>
    <t>Ministry of Education, Culture, Sports, Science and Technology (MEXT) of Japan(Ministry of Education, Culture, Sports, Science and Technology, Japan (MEXT)); MEXT(Ministry of Education, Culture, Sports, Science and Technology, Japan (MEXT)); Grants-in-Aid for Scientific Research(Ministry of Education, Culture, Sports, Science and Technology, Japan (MEXT)Japan Society for the Promotion of ScienceGrants-in-Aid for Scientific Research (KAKENHI))</t>
  </si>
  <si>
    <t>We wish to thank the staffs of the Department of Hydrology and Meteorology, Ministry of Science and Technology, Nepalese Government, and local sherpas, for their generous assistance during field observations. Valuable comments by K. Nishimura significantly improved the manuscript. A. Sakai helped to improve the manuscript. Field observations and analyses were supported by grants from the Ministry of Education, Culture, Sports, Science and Technology (MEXT) of Japan (Nos. 13373066 and 19253001), and by G-4, the 21st Century COE Program of MEXT.</t>
  </si>
  <si>
    <t>10.1657/1938-4246-43.2.246</t>
  </si>
  <si>
    <t>WOS:000291118700010</t>
  </si>
  <si>
    <t>Olivas, PC; Oberbauer, SF; Tweedie, C; Oechel, WC; Lin, D; Kuchy, A</t>
  </si>
  <si>
    <t>Olivas, Paulo C.; Oberbauer, Steven F.; Tweedie, Craig; Oechel, Walter C.; Lin, David; Kuchy, Andrea</t>
  </si>
  <si>
    <t>Effects of Fine-Scale Topography on CO2 Flux Components of Alaskan Coastal Plain Tundra: Response to Contrasting Growing Seasons</t>
  </si>
  <si>
    <t>ARCTIC TUNDRA; SPHAGNUM MOSSES; SPECTRAL REFLECTANCE; TUSSOCK TUNDRA; CLIMATE-CHANGE; WATER-TABLE; THAW-DEPTH; CARBON; TEMPERATURE; VEGETATION</t>
  </si>
  <si>
    <t>Arctic regions hold considerable reservoirs of soil organic carbon. However, most of this carbon is in a potential labile state, and expected changes in temperature and water availability could strongly affect the carbon balance of tundra ecosystems. Plant community composition and soil carbon are closely tied to microtopography and position relative to the water table. We evaluated CO2 fluxes and moss contribution to ecosystem photosynthesis in response to fine-scale topography across a drained lake bed in Barrow, Alaska, during two contrasting growing seasons. CO2 exchange was assessed through static chamber measurements in three vegetation classes distinguished by plant dominance and topographic position within low-centered polygons. Gross primary production (GPP) and ecosystem respiration (ER) were the lowest under high soil moisture conditions in 2006. ER responded more strongly to wet conditions, resulting in a larger summer sink in 2006 than in 2005 (64 vs. 17g CO2 m(-2), respectively). Microsites responded differently to contrasting weather conditions. Low elevation microsites presented a strong reduction in ER as a result of increased water availability. A maximum of 48% of daytime GPP and 33% of seasonal daytime GPP was contributed by moss on average across microtopographic positions. The interaction between fine-scale microtopography and variation in temperature and water availability can result in considerable differences in CO2 sink activity of the polygonal tundra.</t>
  </si>
  <si>
    <t>[Olivas, Paulo C.; Oberbauer, Steven F.; Kuchy, Andrea] Florida Int Univ, Dept Biol Sci, Miami, FL 33199 USA; [Tweedie, Craig; Lin, David] Univ Texas El Paso, Dept Biol Sci, El Paso, TX 79968 USA; [Oechel, Walter C.] San Diego State Univ, Dept Biol, Global Change Res Grp, San Diego, CA 92182 USA</t>
  </si>
  <si>
    <t>State University System of Florida; Florida International University; University of Texas System; University of Texas El Paso; California State University System; San Diego State University</t>
  </si>
  <si>
    <t>Olivas, PC (corresponding author), Florida Int Univ, Dept Biol Sci, 11200 SW 8th St, Miami, FL 33199 USA.</t>
  </si>
  <si>
    <t>paulo.olivas@fiu.edu</t>
  </si>
  <si>
    <t>Oechel, Walter/M-1347-2019; Oberbauer, Steven F/JNE-2672-2023; Oechel, Walter/F-9361-2010</t>
  </si>
  <si>
    <t>Oberbauer, Steven F/0000-0001-5404-1658; Olivas, Paulo/0000-0002-6308-4470; Oechel, Walter/0000-0002-3504-026X</t>
  </si>
  <si>
    <t>National Science Foundation [0421588]; NSF Office of Polar Programs; Office of Polar Programs (OPP); Directorate For Geosciences [0856628] Funding Source: National Science Foundation; NERC [NE/P002552/1, NE/P003028/1] Funding Source: UKRI</t>
  </si>
  <si>
    <t>National Science Foundation(National Science Foundation (NSF)); NSF Office of Polar Programs(National Science Foundation (NSF)); Office of Polar Programs (OPP); Directorate For Geosciences(National Science Foundation (NSF)NSF - Directorate for Geosciences (GEO)); NERC(UK Research &amp; Innovation (UKRI)Natural Environment Research Council (NERC))</t>
  </si>
  <si>
    <t>This work is based in part on support by the National Science Foundation Biocomplexity in the Environment-Coupled Biogeochemical Cycles program (award 0421588 to San Diego State University), with logistics funded by the NSF Office of Polar Programs. We thank the Ukpeagvik Inupiat Corporation for access to and support of the Barrow Environmental Observatory. Glenn Sheehan, Lewis Brower, and the Barrow Arctic Science Consortium and VECO Polar Services were invaluable for logistical support.</t>
  </si>
  <si>
    <t>10.1657/1938-4246-43.2.256</t>
  </si>
  <si>
    <t>WOS:000291118700011</t>
  </si>
  <si>
    <t>Timmery, S; Hu, XM; Mahillon, J</t>
  </si>
  <si>
    <t>Timmery, Sophie; Hu, Xiaomin; Mahillon, Jacques</t>
  </si>
  <si>
    <t>Characterization of Bacilli Isolated from the Confined Environments of the Antarctic Concordia Station and the International Space Station</t>
  </si>
  <si>
    <t>Bacillus; Confined environments; Plasmid; Conjugation; Oceanobacillus; Paenibacillus</t>
  </si>
  <si>
    <t>THURINGIENSIS SUBSP ISRAELENSIS; CEREUS-GROUP; CONJUGATIVE TRANSFER; SP NOV.; BACTERIAL POPULATION; COMPLETE SEQUENCE; RAPID DETECTION; PLASMID P19; ANTHRACIS; SUBTILIS</t>
  </si>
  <si>
    <t>Bacillus and related genera comprise opportunist and pathogen species that can threaten the health of a crew in confined stations required for long-term missions. In this study, 43 Bacilli from confined environments, that is, the Antarctic Concordia station and the International Space Station, were characterized in terms of virulence and plasmid exchange potentials. No specific virulence feature, such as the production of toxins or unusual antibiotic resistance, was detected. Most of the strains exhibited small or large plasmids, or both, some of which were related to the replicons of the Bacillus anthracis pXO1 and pXO2 virulence elements. One conjugative element, the capacity to mobilize and retromobilize small plasmids, was detected in a Bacillus cereus sensu lato isolate. Six out of 25 tested strains acquired foreign DNA by conjugation. Extremophilic bacteria were identified and exhibited the ability to grow at high pH and salt concentrations or at low temperatures. Finally, the clonal dispersion of an opportunist isolate was demonstrated in the Concordia station. Taken together, these results suggest that the virulence potential of the Bacillus isolates in confined environments tends to be low but genetic transfers could contribute to its capacity to spread.</t>
  </si>
  <si>
    <t>[Timmery, Sophie; Mahillon, Jacques] Catholic Univ Louvain, Lab Food &amp; Environm Microbiol, B-1348 Louvain, Belgium; [Hu, Xiaomin] Chinese Acad Sci, Wuhan Inst Virol, State Key Lab Virol, Wuhan, Peoples R China</t>
  </si>
  <si>
    <t>KU Leuven; Universite Catholique Louvain; Chinese Academy of Sciences; Wuhan Institute of Virology, CAS</t>
  </si>
  <si>
    <t>Mahillon, J (corresponding author), Catholic Univ Louvain, Lab Food &amp; Environm Microbiol, Croix Sud 2-12, B-1348 Louvain, Belgium.</t>
  </si>
  <si>
    <t>jacques.mahillon@uclouvain.be</t>
  </si>
  <si>
    <t>Hu, Xiaomin/GRY-1539-2022</t>
  </si>
  <si>
    <t>European Space Agency [ESA-AO-2004, PRODEX C90255]</t>
  </si>
  <si>
    <t>European Space Agency(European Space Agency)</t>
  </si>
  <si>
    <t>We are deeply indebted to O. Minet and C. Michaux for their invaluable contribution to this work. We also thank R. Van Houdt and N. Leys (SCK-CEN, Mol) for their numerous and inspiring discussions. We acknowledge Professor Prozorov for providing the strain with p19cat. This research was funded by the European Space Agency (ESA-AO-2004: PRODEX C90255).</t>
  </si>
  <si>
    <t>10.1089/ast.2010.0573</t>
  </si>
  <si>
    <t>WOS:000290783000005</t>
  </si>
  <si>
    <t>Hughes, KA; Lee, JE; Tsujimoto, M; Imura, S; Bergstrom, DM; Ware, C; Lebouvier, M; Huiskes, AHL; Gremmen, NJM; Frenot, Y; Bridge, PD; Chown, SL</t>
  </si>
  <si>
    <t>Hughes, Kevin A.; Lee, Jennifer E.; Tsujimoto, Megumu; Imura, Satoshi; Bergstrom, Dana M.; Ware, Chris; Lebouvier, Marc; Huiskes, Ad H. L.; Gremmen, Niek J. M.; Frenot, Yves; Bridge, Paul D.; Chown, Steven L.</t>
  </si>
  <si>
    <t>Food for thought: Risks of non-native species transfer to the Antarctic region with fresh produce</t>
  </si>
  <si>
    <t>BIOLOGICAL CONSERVATION</t>
  </si>
  <si>
    <t>Alien; Non-indigenous; Biosecurity; Propagules; Food; Polar; Antarctica; Sub-Antarctic</t>
  </si>
  <si>
    <t>BIOLOGICAL INVASIONS; DIVERSITY; DIPTERA; TRANSMISSION; MARION</t>
  </si>
  <si>
    <t>To understand fully the risk of biological invasions, it is necessary to quantify propagule pressure along all introduction pathways. In the Antarctic region, importation of fresh produce is a potentially high risk, but as yet unquantified pathway. To address this knowledge gap, &gt;11,250 fruit and vegetables sent to nine research stations in Antarctica and the sub-Antarctic islands, were examined for associated soil, invertebrates and microbial decomposition. Fifty-one food types were sourced from c. 130 locations dispersed across all six of the Earth's inhabited continents. On average, 12% of food items had soil on their surface, 28% showed microbial infection resulting in rot and more than 56 invertebrates were recorded, mainly from leafy produce. Approximately 30% of identified fungi sampled from infected foods were not recorded previously from within the Antarctic region, although this may reflect limited knowledge of Antarctic fungal diversity. The number of non-native flying invertebrates caught within the Rothera Research Station food storage area was linked closely with the level of fresh food resupply by ship and aircraft. We conclude by presenting practical biosecurity measures to reduce the risk of non-native species introductions to Antarctica associated with fresh foods. (C) 2011 Elsevier Ltd. All rights reserved.</t>
  </si>
  <si>
    <t>[Hughes, Kevin A.] British Antarctic Survey, Nat Environm Res Council, Cambridge CB3 0ET, England; [Lee, Jennifer E.; Chown, Steven L.] Univ Stellenbosch, Dept Bot &amp; Zool, Ctr Invas Biol, ZA-7602 Matieland, South Africa; [Tsujimoto, Megumu] Grad Univ Adv Studies, Tokyo, Japan; [Tsujimoto, Megumu] Japan Soc Promot Sci, Tokyo, Japan; [Imura, Satoshi] Natl Inst Polar Res, Tokyo, Japan; [Bergstrom, Dana M.; Ware, Chris] Dept Environm Water Heritage &amp; Arts, Australian Antarctic Div, Kingston, Tas 7050, Australia; [Lebouvier, Marc] Univ Rennes 1, CNRS, Biol Stn, F-35380 Paimpont, France; [Huiskes, Ad H. L.; Gremmen, Niek J. M.] Netherlands Inst Ecol, NL-4400 AC Yerseke, Netherlands; [Frenot, Yves] French Polar Inst Paul Emile Victor, Plouzane, France; [Bridge, Paul D.] CABI Bioserv, Surrey TW20 9TY, England</t>
  </si>
  <si>
    <t>UK Research &amp; Innovation (UKRI); Natural Environment Research Council (NERC); NERC British Antarctic Survey; Stellenbosch University; Graduate University for Advanced Studies - Japan; Japan Society for the Promotion of Science; Research Organization of Information &amp; Systems (ROIS); National Institute of Polar Research (NIPR) - Japan; Australian Antarctic Division; Centre National de la Recherche Scientifique (CNRS); Universite de Rennes; Royal Netherlands Academy of Arts &amp; Sciences; Netherlands Institute of Ecology (NIOO-KNAW)</t>
  </si>
  <si>
    <t>Hughes, KA (corresponding author), British Antarctic Survey, Nat Environm Res Council, Madingley Rd, Cambridge CB3 0ET, England.</t>
  </si>
  <si>
    <t>kehu@bas.ac.uk</t>
  </si>
  <si>
    <t>Hughes, Kevin/JVZ-0793-2024; Tsujimoto, Megumu/JCE-5500-2023; Ware, Chris J/N-4465-2016; Bergstrom, Dana/AAC-2837-2022; Chown, Steven/ABD-7646-2021; Chown, Steven/H-3347-2011</t>
  </si>
  <si>
    <t>Tsujimoto, Megumu/0000-0001-5160-6086; Bergstrom, Dana/0000-0001-8484-8954; Frenot, Yves/0000-0003-2666-1272; Chown, Steven/0000-0001-6069-5105</t>
  </si>
  <si>
    <t>Grants-in-Aid for Scientific Research [23247012] Funding Source: KAKEN; Natural Environment Research Council [bas0100025] Funding Source: researchfish; NERC [bas0100025] Funding Source: UKRI</t>
  </si>
  <si>
    <t>Grants-in-Aid for Scientific Research(Ministry of Education, Culture, Sports, Science and Technology, Japan (MEXT)Japan Society for the Promotion of ScienceGrants-in-Aid for Scientific Research (KAKENHI)); Natural Environment Research Council(UK Research &amp; Innovation (UKRI)Natural Environment Research Council (NERC)); NERC(UK Research &amp; Innovation (UKRI)Natural Environment Research Council (NERC))</t>
  </si>
  <si>
    <t>0006-3207</t>
  </si>
  <si>
    <t>1873-2917</t>
  </si>
  <si>
    <t>BIOL CONSERV</t>
  </si>
  <si>
    <t>Biol. Conserv.</t>
  </si>
  <si>
    <t>10.1016/j.biocon.2011.03.001</t>
  </si>
  <si>
    <t>791MB</t>
  </si>
  <si>
    <t>WOS:000292668200052</t>
  </si>
  <si>
    <t>Lebouvier, M; Laparie, M; Hullé, M; Marais, A; Cozic, Y; Lalouette, L; Vernon, P; Candresse, T; Frenot, Y; Renault, D</t>
  </si>
  <si>
    <t>Lebouvier, M.; Laparie, M.; Hulle, M.; Marais, A.; Cozic, Y.; Lalouette, L.; Vernon, P.; Candresse, T.; Frenot, Y.; Renault, David</t>
  </si>
  <si>
    <t>The significance of the sub-Antarctic Kerguelen Islands for the assessment of the vulnerability of native communities to climate change, alien insect invasions and plant viruses</t>
  </si>
  <si>
    <t>BIOLOGICAL INVASIONS</t>
  </si>
  <si>
    <t>Colonisation; Endemic species; Environmental variables; Human impact; Introduced species; Island communities; Species richness</t>
  </si>
  <si>
    <t>SOUTHERN-OCEAN ISLANDS; HUMAN IMPACTS; EVOLUTIONARY CONSEQUENCES; CALLIPHORIDAE DIPTERA; ECOLOGY; SIZE; INVERTEBRATES; CONSERVATION; INVASIBILITY; TRANSMISSION</t>
  </si>
  <si>
    <t>The suite of environments and anthropogenic modifications of sub-Antarctic islands provide key opportunities to improve our understanding of the potential consequences of climate change and biological species invasions on terrestrial ecosystems. The profound impact of human introduced invasive species on indigenous biota, and the facilitation of establishment as a result of changing thermal conditions, has been well documented on the French sub-Antarctic Kerguelen Islands (South Indian Ocean). The present study provides an overview of the vulnerability of sub-Antarctic terrestrial communities with respect to two interacting factors, namely climate change and alien insects. We present datasets assimilated by our teams on the Kerguelen Islands since 1974, coupled with a review of the literature, to evaluate the mechanism and impact of biological invasions in this region. First, we consider recent climatic trends of the Antarctic region, and its potential influence on the establishment, distribution and abundance of alien insects, using as examples one fly and one beetle species. Second, we consider to what extent limited gene pools may restrict alien species' colonisations. Finally, we consider the vulnerability of native communities to aliens using the examples of one beetle, one fly, and five aphid species taking into consideration their additional impact as plant virus vectors. We conclude that the evidence assimilated from the sub-Antarctic islands can be applied to more complex temperate continental systems as well as further developing international guidelines to minimise the impact of alien species.</t>
  </si>
  <si>
    <t>[Renault, David] Univ Rennes 1, UMR CNRS Ecobio 6553, F-35042 Rennes, France; [Lalouette, L.] Univ Lyon 1, UMR CNRS 5023, F-69622 Villeurbanne, France; [Frenot, Y.] Inst Polaire Francais Paul Emile Victor, F-29280 Plouzane, France; [Marais, A.; Candresse, T.] Univ Bordeaux, INRA, UMR 1332, BFP, F-33883 Villenave Dornon, France; [Hulle, M.; Cozic, Y.] UMR INRA BiO3P, F-35653 Le Rheu, France; [Lebouvier, M.; Laparie, M.; Cozic, Y.; Vernon, P.; Frenot, Y.; Renault, David] Univ Rennes 1, UMR CNRS Ecobio 6553, Stn Biol Paimpont, F-35380 Paimpont, France</t>
  </si>
  <si>
    <t>Centre National de la Recherche Scientifique (CNRS); Universite de Rennes; Centre National de la Recherche Scientifique (CNRS); Universite Claude Bernard Lyon 1; Universite de Bordeaux; INRAE; INRAE; Universite de Rennes</t>
  </si>
  <si>
    <t>Renault, D (corresponding author), Univ Rennes 1, UMR CNRS Ecobio 6553, 263 Ave Gal Leclerc,CS 74205, F-35042 Rennes, France.</t>
  </si>
  <si>
    <t>david.renault@univ-rennes1.fr</t>
  </si>
  <si>
    <t>Vernon, Philippe/A-9019-2010</t>
  </si>
  <si>
    <t>Vernon, Philippe/0000-0002-6237-7511; Frenot, Yves/0000-0003-2666-1272; Marais, Armelle/0000-0003-2482-1543; Candresse, Thierry/0000-0001-9757-1835; Hulle, Maurice/0000-0002-9520-3454; RENAULT, David/0000-0003-3644-1759</t>
  </si>
  <si>
    <t>Institut Polaire Francais [IPEV 136]; CNRS (Zone Atelier de Recherches sur l'Environnement Antarctique et Subantarctique); Agence Nationale de la Recherche [ANR-07-VULN-004]</t>
  </si>
  <si>
    <t>Institut Polaire Francais; CNRS (Zone Atelier de Recherches sur l'Environnement Antarctique et Subantarctique)(Centre National de la Recherche Scientifique (CNRS)); Agence Nationale de la Recherche(Agence Nationale de la Recherche (ANR))</t>
  </si>
  <si>
    <t>We are very grateful to Dr. Jean-Francois Voisin for helpful discussions concerning the distribution of aphids in the early 1960s and to Jean-Christophe Simon for valuable information on the genetics of Rhopalosiphum padi. The authors thank Dr. Gail Schofield and Dr. Jonathan Wilson for helpful amendments on a previous version of our manuscript. This research was supported by the Institut Polaire Francais (IPEV 136), the CNRS (Zone Atelier de Recherches sur l'Environnement Antarctique et Subantarctique) and the Agence Nationale de la Recherche (ANR-07-VULN-004, EVINCE). This research is linked with the SCAR Evolution and Biodiversity in the Antarctic research programme. Mathieu Laparie is supported by a fellow from the MENRT(Universite de Rennes 1, France).</t>
  </si>
  <si>
    <t>1387-3547</t>
  </si>
  <si>
    <t>1573-1464</t>
  </si>
  <si>
    <t>BIOL INVASIONS</t>
  </si>
  <si>
    <t>Biol. Invasions</t>
  </si>
  <si>
    <t>10.1007/s10530-011-9946-5</t>
  </si>
  <si>
    <t>750PH</t>
  </si>
  <si>
    <t>WOS:000289560000011</t>
  </si>
  <si>
    <t>The study of materials collected by Russian expeditions and literature data showed that the pelagic ostracod fauna of the Somov Sea, which lies south of the Antarctic Divergence (AD), is an impoverished complex of the fauna of the Australian-New Zealand Antarctic sector. While to the north of the AD the ostracod fauna includes species introduced from waters of the subantarctic and tropical-subtropical structures, ostracods of the Somov Sea are mainly typical Antarctic species. To the north and south of the AD, ostracod abundance and species richness are highest in the depth range of 200-500 m (especially at 300-400 m). Austrinoecia isocheira is the most common species in the Somov Sea and Alacia hettacra in the adjacent northern region. The more southerly Ross Sea has harsher environmental conditions than the Somov Sea, and its ostracod fauna is a more impoverished complex of mainly Antarctic species. Alacia belgicae and A. isocheira are the dominant species in the Ross Sea, with highest abundances at 200-300 m depth. The proportion of A. hettacra in the Ross Sea taxocene decreases southwards. The taxonomical composition and biogeographical structure of ostracod faunas change in the AD region at the northern boundaries of both seas.</t>
  </si>
  <si>
    <t>[Chavtur, V. G.; Mazdygan, E. R.] Russian Acad Sci, AV Zhirmunsky Inst Marine Biol, Far Eastern Branch, Vladivostok 690041, Russia; [Chavtur, V. G.] Far Eastern Fed Univ, Vladivostok 690050, Russia</t>
  </si>
  <si>
    <t>Chavtur, VG (corresponding author), Russian Acad Sci, AV Zhirmunsky Inst Marine Biol, Far Eastern Branch, Vladivostok 690041, Russia.</t>
  </si>
  <si>
    <t>V43IV</t>
  </si>
  <si>
    <t>WOS:000209676000001</t>
  </si>
  <si>
    <t>Polyakov, IV; Alexeev, VA; Ashik, IM; Bacon, S; Beszczynska-Möller, A; Carmack, EC; Dmitrenko, IA; Fortier, L; Gascard, JC; Hansen, E; Hölemann, J; Ivanov, VV; Kikuchi, T; Kirillov, S; Lenn, YD; McLaughlin, FA; Piechura, J; Repina, I; Timokhov, LA; Walczowski, W; Woodgate, R</t>
  </si>
  <si>
    <t>Polyakov, Igor V.; Alexeev, Vladimir A.; Ashik, Igor M.; Bacon, Sheldon; Beszczynska-Moeller, Agnieszka; Carmack, Eddy C.; Dmitrenko, Igor A.; Fortier, Louis; Gascard, Jean-Claude; Hansen, Edmond; Hoelemann, Jens; Ivanov, Vladimir V.; Kikuchi, Takashi; Kirillov, Sergey; Lenn, Yueng-Djern; McLaughlin, Fiona A.; Piechura, Jan; Repina, Irina; Timokhov, Leonid A.; Walczowski, Waldemar; Woodgate, Rebecca</t>
  </si>
  <si>
    <t>Fate of Early 2000s Arctic Warm Water Pulse</t>
  </si>
  <si>
    <t>OCEAN; VARIABILITY; HALOCLINE; LAYER</t>
  </si>
  <si>
    <t>[Polyakov, Igor V.; Alexeev, Vladimir A.; Ivanov, Vladimir V.] Univ Alaska Fairbanks, Int Arctic Res Ctr, Fairbanks, AK 99775 USA; [Ashik, Igor M.; Kirillov, Sergey; Timokhov, Leonid A.] Arctic &amp; Antarctic Res Inst, St Petersburg 199226, Russia; [Bacon, Sheldon] Univ Southampton, Natl Oceanog Ctr, Southampton, Hants, England; [Beszczynska-Moeller, Agnieszka; Hoelemann, Jens] Alfred Wegener Inst Polar &amp; Marine Res, Bremerhaven, Germany; [Carmack, Eddy C.; McLaughlin, Fiona A.] Inst Ocean Sci, Fisheries &amp; Oceans Canada, Sidney, BC V8L 4B2, Canada; [Dmitrenko, Igor A.] Univ Kiel, Leibniz Inst Marine Sci, IFM GEOMAR, Kiel, Germany; [Fortier, Louis] Univ Laval, Quebec City, PQ, Canada; [Gascard, Jean-Claude] Univ Paris 06, LOCEAN, Paris, France; [Hansen, Edmond] Norwegian Polar Res Inst, Tromso, Norway; [Kikuchi, Takashi] Japan Agcy Marine Earth Sci &amp; Technol, Yokosuka, Kanagawa 2370061, Japan; [Lenn, Yueng-Djern] Bangor Univ, Sch Ocean Sci, Bangor, Gwynedd, Wales; [Piechura, Jan; Walczowski, Waldemar] Polish Acad Sci, Inst Oceanol, Sopot, Poland; [Repina, Irina] AM Obukhov Inst Atmospher Phys, Moscow, Russia; [Woodgate, Rebecca] Univ Washington, Appl Phys Lab, Seattle, WA 98105 USA</t>
  </si>
  <si>
    <t>University of Alaska System; University of Alaska Fairbanks; Arctic &amp; Antarctic Research Institute; University of Southampton; NERC National Oceanography Centre; Helmholtz Association; Alfred Wegener Institute, Helmholtz Centre for Polar &amp; Marine Research; Fisheries &amp; Oceans Canada; University of Kiel; Helmholtz Association; GEOMAR Helmholtz Center for Ocean Research Kiel; Laval University; Museum National d'Histoire Naturelle (MNHN); Sorbonne Universite; Norwegian Polar Institute; Japan Agency for Marine-Earth Science &amp; Technology (JAMSTEC); Bangor University; Polish Academy of Sciences; Institute of Oceanology of the Polish Academy of Sciences; Russian Academy of Sciences; Obukhov Institute of Atmospheric Physics of Russian Academy of Sciences; University of Washington; University of Washington Seattle</t>
  </si>
  <si>
    <t>Polyakov, IV (corresponding author), Univ Alaska Fairbanks, Int Arctic Res Ctr, POB 757335, Fairbanks, AK 99775 USA.</t>
  </si>
  <si>
    <t>igor@iarc.uaf.edu</t>
  </si>
  <si>
    <t>alexeev, vladimir/B-2234-2010; Ivanov, Vladimir/AAX-6830-2020; Repina, Irina A/H-3530-2016; Bacon, Sheldon/B-1519-2013; Ivanov, Vladimir/J-5979-2014; Hoelemann, Jens/N-3608-2016; Bloshkina, Ekaterina/I-6901-2015</t>
  </si>
  <si>
    <t>alexeev, vladimir/0000-0003-3519-2797; Bacon, Sheldon/0000-0002-2471-9373; Ivanov, Vladimir/0000-0003-2569-6027; Hoelemann, Jens/0000-0001-5102-4086; Beszczynska-Moller, Agnieszka/0000-0002-8108-6306; Bloshkina, Ekaterina/0000-0002-2078-7459; Dmitrenko, Igor/0000-0001-8388-7839; Lenn, Yueng-Djern/0000-0001-6031-523X; Walczowski, Waldemar/0000-0002-0243-3307; Repina, Irina/0000-0001-7341-0826</t>
  </si>
  <si>
    <t>Directorate For Geosciences; Office of Polar Programs (OPP) [0908124] Funding Source: National Science Foundation; Natural Environment Research Council [noc010012, NE/H016007/1, NE/I028947/1, noc010002, NE/D006201/1, dml010007] Funding Source: researchfish; NERC [NE/H016007/1, noc010002, NE/I028947/1, dml010007, NE/D006201/1] Funding Source: UKRI</t>
  </si>
  <si>
    <t>Directorate For Geosciences; Office of Polar Programs (OPP)(National Science Foundation (NSF)NSF - Directorate for Geosciences (GEO)); Natural Environment Research Council(UK Research &amp; Innovation (UKRI)Natural Environment Research Council (NERC)); NERC(UK Research &amp; Innovation (UKRI)Natural Environment Research Council (NERC))</t>
  </si>
  <si>
    <t>10.1175/2010BAMS2921.1</t>
  </si>
  <si>
    <t>781YA</t>
  </si>
  <si>
    <t>WOS:000291972700001</t>
  </si>
  <si>
    <t>Dong, G; Xu, TH; Yang, B; Lin, XP; Zhou, XF; Yang, XW; Liu, YH</t>
  </si>
  <si>
    <t>Dong, Guang; Xu, Tunhai; Yang, Bin; Lin, Xiuping; Zhou, Xuefeng; Yang, Xianwen; Liu, Yonghong</t>
  </si>
  <si>
    <t>Chemical Constituents and Bioactivities of Starfish</t>
  </si>
  <si>
    <t>CHEMISTRY &amp; BIODIVERSITY</t>
  </si>
  <si>
    <t>BIOLOGICALLY-ACTIVE GLYCOSIDES; NEURITOGENIC STEROID GLYCOSIDES; DEEP-WATER STARFISH; ASTERINA-PECTINIFERA MULLER; ACANTHASTER-PLANCI L; MARINE POLYHYDROXYLATED STEROIDS; AMURENSIS-VERSICOLOR SLADEN; ANTARCTIC STARFISH; OLIGOGLYCOSIDE SULFATES; STRUCTURE ELUCIDATION</t>
  </si>
  <si>
    <t>Starfish have been the research topic in many chemical and pharmacological laboratories due to their complex secondary metabolites and diverse bioactivities. The aim of this review is to provide an up-to-date review on the chemistry and bioactivity of compounds isolated from all kinds of starfish to illustrate the chemodiversity and biological significance of these constituents, along with their geographical distribution where it is discernible.</t>
  </si>
  <si>
    <t>[Dong, Guang; Yang, Bin; Lin, Xiuping; Zhou, Xuefeng; Yang, Xianwen; Liu, Yonghong] Chinese Acad Sci, S China Sea Inst Oceanol, Key Lab Marine Bioresources Sustainable Utilizat, Guangzhou 510301, Guangdong, Peoples R China; [Dong, Guang] Chinese Acad Sci, Grad Univ, Beijing 100049, Peoples R China; [Xu, Tunhai] Beijing Univ Chinese Med, Sch Chinese Mat Med, Beijing 100102, Peoples R China</t>
  </si>
  <si>
    <t>Chinese Academy of Sciences; South China Sea Institute of Oceanology, CAS; Chinese Academy of Sciences; University of Chinese Academy of Sciences, CAS; Beijing University of Chinese Medicine</t>
  </si>
  <si>
    <t>Liu, YH (corresponding author), Chinese Acad Sci, S China Sea Inst Oceanol, Key Lab Marine Bioresources Sustainable Utilizat, 164 W Xingang Rd, Guangzhou 510301, Guangdong, Peoples R China.</t>
  </si>
  <si>
    <t>yonghongliu@scsio.ac.cn</t>
  </si>
  <si>
    <t>Liu, Yonghong/E-3118-2014; Yang, Xian-Wen/AAL-4272-2021; Yang, Xian/GVU-9087-2022</t>
  </si>
  <si>
    <t>Liu, Yonghong/0000-0001-8327-3108; Yang, Xian-Wen/0000-0002-4967-0844;</t>
  </si>
  <si>
    <t>National Key Basic Research Program of China (973)'s Project [2010CB833800, 2011CB915503]; National Natural Science Foundation of China [30973679, 20902094]; Chinese Academy of Sciences [KSCX2-EW-G-12B, KSCX2-YW-G-073, SQ200904]; Scientific Research Foundation for the Returned Overseas Chinese Scholars, State Education Ministry; LMB Foundation [091002]</t>
  </si>
  <si>
    <t>National Key Basic Research Program of China (973)'s Project(National Basic Research Program of China); National Natural Science Foundation of China(National Natural Science Foundation of China (NSFC)); Chinese Academy of Sciences(Chinese Academy of Sciences); Scientific Research Foundation for the Returned Overseas Chinese Scholars, State Education Ministry(Scientific Research Foundation for the Returned Overseas Chinese Scholars); LMB Foundation</t>
  </si>
  <si>
    <t>This study was supported by grants from the National Key Basic Research Program of China (973)'s Project (2010CB833800 and 2011CB915503), the National Natural Science Foundation of China (30973679 and 20902094), the Knowledge Innovation Program of Chinese Academy of Sciences (KSCX2-EW-G-12B, KSCX2-YW-G-073, and SQ200904), the Scientific Research Foundation for the Returned Overseas Chinese Scholars, State Education Ministry, and the LMB (091002) Foundation.</t>
  </si>
  <si>
    <t>1612-1872</t>
  </si>
  <si>
    <t>1612-1880</t>
  </si>
  <si>
    <t>CHEM BIODIVERS</t>
  </si>
  <si>
    <t>Chem. Biodivers.</t>
  </si>
  <si>
    <t>10.1002/cbdv.200900344</t>
  </si>
  <si>
    <t>Biochemistry &amp; Molecular Biology; Chemistry, Multidisciplinary</t>
  </si>
  <si>
    <t>762EU</t>
  </si>
  <si>
    <t>WOS:000290456600002</t>
  </si>
  <si>
    <t>Rosenzweig, C; Solecki, WD; Blake, R; Bowman, M; Faris, C; Gornitz, V; Horton, R; Jacob, K; LeBlanc, A; Leichenko, R; Linkin, M; Major, D; O'Grady, M; Patrick, L; Sussman, E; Yohe, G; Zimmerman, R</t>
  </si>
  <si>
    <t>Rosenzweig, Cynthia; Solecki, William D.; Blake, Reginald; Bowman, Malcolm; Faris, Craig; Gornitz, Vivien; Horton, Radley; Jacob, Klaus; LeBlanc, Alice; Leichenko, Robin; Linkin, Megan; Major, David; O'Grady, Megan; Patrick, Lesley; Sussman, Edna; Yohe, Gary; Zimmerman, Rae</t>
  </si>
  <si>
    <t>Developing coastal adaptation to climate change in the New York City infrastructure-shed: process, approach, tools, and strategies</t>
  </si>
  <si>
    <t>CLIMATIC CHANGE</t>
  </si>
  <si>
    <t>SEA-LEVEL RISE; IMPACTS; BOSTON</t>
  </si>
  <si>
    <t>While current rates of sea level rise and associated coastal flooding in the New York City region appear to be manageable by stakeholders responsible for communications, energy, transportation, and water infrastructure, projections for sea level rise and associated flooding in the future, especially those associated with rapid icemelt of the Greenland and West Antarctic Icesheets, may be outside the range of current capacity because extreme events might cause flooding beyond today's planning and preparedness regimes. This paper describes the comprehensive process, approach, and tools for adaptation developed by the New York City Panel on Climate Change (NPCC) in conjunction with the region's stakeholders who manage its critical infrastructure, much of which lies near the coast. It presents the adaptation framework and the sea-level rise and storm projections related to coastal risks developed through the stakeholder process. Climate change adaptation planning in New York City is characterized by a multi-jurisdictional stakeholder-scientist process, state-of-the-art scientific projections and mapping, and development of adaptation strategies based on a risk-management approach.</t>
  </si>
  <si>
    <t>[Rosenzweig, Cynthia] NASA, Goddard Inst Space Studies, New York, NY 10025 USA; [Solecki, William D.; Patrick, Lesley] CUNY Hunter Coll, New York, NY 10021 USA; [Blake, Reginald] CUNY, New York City Coll Technol, Brooklyn, NY 11210 USA; [Bowman, Malcolm] SUNY Stony Brook, Stony Brook, NY 11794 USA; [Faris, Craig] Accenture, Washington, DC USA; [Gornitz, Vivien; Horton, Radley; Jacob, Klaus; Major, David; O'Grady, Megan] Columbia Univ, New York, NY USA; [Leichenko, Robin] Rutgers State Univ, Piscataway, NJ USA; [Linkin, Megan] Swiss Reinsurance Amer Corp, Armonk, NY USA; [Sussman, Edna] Sussman ADR LLC, New York, NY USA; [Yohe, Gary] Wesleyan Univ, Middletown, CT USA; [Zimmerman, Rae] NYU, New York, NY USA</t>
  </si>
  <si>
    <t>National Aeronautics &amp; Space Administration (NASA); NASA Goddard Space Flight Center; Goddard Institute for Space Studies; City University of New York (CUNY) System; Hunter College (CUNY); City University of New York (CUNY) System; State University of New York (SUNY) System; State University of New York (SUNY) Stony Brook; Accenture; Columbia University; Rutgers University System; Rutgers University New Brunswick; Wesleyan University; New York University</t>
  </si>
  <si>
    <t>Rosenzweig, C (corresponding author), NASA, Goddard Inst Space Studies, New York, NY 10025 USA.</t>
  </si>
  <si>
    <t>crosenzweig@giss.nasa.gov; aliceleblanc@verizon.net</t>
  </si>
  <si>
    <t>Leichenko, Robin M./C-6047-2013</t>
  </si>
  <si>
    <t>Horton, Radley/0000-0002-5574-9962; Blake, Reginald/0000-0001-9974-0663</t>
  </si>
  <si>
    <t>Division Of Behavioral and Cognitive Sci; Direct For Social, Behav &amp; Economic Scie [0937777] Funding Source: National Science Foundation</t>
  </si>
  <si>
    <t>Division Of Behavioral and Cognitive Sci; Direct For Social, Behav &amp; Economic Scie(National Science Foundation (NSF)NSF - Directorate for Social, Behavioral &amp; Economic Sciences (SBE))</t>
  </si>
  <si>
    <t>0165-0009</t>
  </si>
  <si>
    <t>1573-1480</t>
  </si>
  <si>
    <t>Clim. Change</t>
  </si>
  <si>
    <t>10.1007/s10584-010-0002-8</t>
  </si>
  <si>
    <t>747CW</t>
  </si>
  <si>
    <t>WOS:000289298900006</t>
  </si>
  <si>
    <t>Hartin, CA; Fine, RA; Sloyan, BM; Talley, LD; Chereskin, TK; Happell, J</t>
  </si>
  <si>
    <t>Hartin, Corinne A.; Fine, Rana A.; Sloyan, Bernadette M.; Talley, Lynne D.; Chereskin, Teresa K.; Happell, James</t>
  </si>
  <si>
    <t>Formation rates of Subantarctic mode water and Antarctic intermediate water within the South Pacific</t>
  </si>
  <si>
    <t>CFCs; Antarctic intermediate water; Subantarctic mode water; South Pacific Ocean; Formation rate</t>
  </si>
  <si>
    <t>ATLANTIC DEEP-WATER; LABRADOR SEA-WATER; NORTH-ATLANTIC; CIRCUMPOLAR CURRENT; ATMOSPHERIC CO2; ANNULAR MODE; OVERTURNING CIRCULATION; MESOSCALE EDDIES; SUBTROPICAL GYRE; MASS CONVERSION</t>
  </si>
  <si>
    <t>The formation of Subantarctic Mode Water (SAMW) and Antarctic Intermediate Water (AAIW) significantly contributes to the total uptake and storage of anthropogenic gases, such as CO(2) and chlorofluorocarbons (CFCs), within the world's oceans. SAMW and AAIW formation rates in the South Pacific are quantified based on CFC-12 inventories using hydrographic data from WOCE. CLIVAR, and data collected in the austral winter of 2005. This study documents the first wintertime observations of CFC-11 and CFC-12 saturations with respect to the 2005 atmosphere in the formation region of the southeast Pacific for SAMW and AAIW. SAMW is 94% and 95% saturated for CFC-11 and CFC-12, respectively, and AAIW is 60% saturated for both CFC-11 and CFC-12. SAMW is defined from the Subantarctic Front to the equator between potential densities 26.80-27.06 kg m(-3), and AAIW is defined from the Polar Front to 20 degrees N between potential densities 27.06-27.40 kg m(-3). CFC-12 inventories are 16.0 x 10(6) moles for SAMW and 8.7 x 10(6) moles for AAIW, corresponding to formation rates of 7.3 +/- 2.1 Sv for SAMW and 5.8 +/- 1.7 Sv for AAIW circulating within the South Pacific. Inter-ocean transports of SAMW from the South Pacific to the South Atlantic are estimated to be 4.4 +/- 0.6 Sv. Thus, the total formation of SAMW in the South Pacific is approximately 11.7 +/- 2.2 Sv. These formation rates represent the average formation rates over the major period of CFC input, from 1970 to 2005. The CFC-12 inventory maps provide direct evidence for two areas of formation of SAMW, one in the southeast Pacific and one in the central Pacific. Furthermore, eddies in the central Pacific containing high CFC concentrations may contribute to SAMW and to a lesser extent AAIW formation. These CFC-derived rates provide a baseline with which to compare past and future formation rates of SAMW and AAIW. (C) 2011 Elsevier Ltd. All rights reserved.</t>
  </si>
  <si>
    <t>[Hartin, Corinne A.; Fine, Rana A.; Happell, James] Univ Miami, Rosenstiel Sch Marine &amp; Atmospher Sci, Miami, FL 33149 USA; [Sloyan, Bernadette M.] CSIRO Marine &amp; Atmospher Res, Ctr Australian Weather &amp; Climate Res, Hobart, Tas, Australia; [Sloyan, Bernadette M.] CSIRO Wealth Oceans Natl Res Flagship, Hobart, Tas, Australia; [Talley, Lynne D.; Chereskin, Teresa K.] Univ Calif San Diego, Scripps Inst Oceanog, La Jolla, CA 92093 USA</t>
  </si>
  <si>
    <t>University of Miami; Commonwealth Scientific &amp; Industrial Research Organisation (CSIRO); Commonwealth Scientific &amp; Industrial Research Organisation (CSIRO); University of California System; University of California San Diego; Scripps Institution of Oceanography</t>
  </si>
  <si>
    <t>Hartin, CA (corresponding author), Univ Miami, Rosenstiel Sch Marine &amp; Atmospher Sci, 4600 Rickenbacker Causeway, Miami, FL 33149 USA.</t>
  </si>
  <si>
    <t>chartin@rsmas.miami.edu</t>
  </si>
  <si>
    <t>Sloyan, Bernadette/N-8989-2014</t>
  </si>
  <si>
    <t>Sloyan, Bernadette/0000-0003-0250-0167; Talley, Lynne/0000-0003-1574-729X; Happell, James/0000-0001-6049-3909; Chereskin, Teresa/0000-0003-1214-0978; Hartin, Corinne/0000-0003-1834-6539</t>
  </si>
  <si>
    <t>National Science Foundation [OCE O7-52980, 04-24744, OCE 02-23951, OCE-032754]; Department of Climate Change and Energy Efficiency; CSIRO</t>
  </si>
  <si>
    <t>National Science Foundation(National Science Foundation (NSF)); Department of Climate Change and Energy Efficiency; CSIRO(Commonwealth Scientific &amp; Industrial Research Organisation (CSIRO))</t>
  </si>
  <si>
    <t>C.A. Hartin and R.A. Fine thank the National Science Foundation OCE O7-52980, 04-24744 and OCE 02-23951 for support. L. D. Talley and T. K. Chereskin thank the National Science Foundation OCE-032754 for support. B. M. Sloyan's contribution to this work was undertaken as part of the Australian Climate Change Science Program, funded jointly by the Department of Climate Change and Energy Efficiency and CSIRO. We thank Donald Olson for contributing to our understanding of the role of eddies in formation of Mode Waters.</t>
  </si>
  <si>
    <t>10.1016/j.dsr.2011.02.010</t>
  </si>
  <si>
    <t>771CP</t>
  </si>
  <si>
    <t>WOS:000291135100003</t>
  </si>
  <si>
    <t>Schlüter, L; Henriksen, P; Nielsen, TG; Jakobsen, HH</t>
  </si>
  <si>
    <t>Schluter, Louise; Henriksen, Peter; Nielsen, Torkel Gissel; Jakobsen, Hans H.</t>
  </si>
  <si>
    <t>Phytoplankton composition and biomass across the southern Indian Ocean</t>
  </si>
  <si>
    <t>Phytoplankton; Pigments; Indian Ocean; HPLC; CHEMTAX; Galathea3</t>
  </si>
  <si>
    <t>HPLC PIGMENT ANALYSIS; SUB-ARCTIC PACIFIC; COMMUNITY STRUCTURE; EQUATORIAL PACIFIC; ATLANTIC-OCEAN; TEMPORAL VARIABILITY; CLASS ABUNDANCES; ALGAL PIGMENTS; TIME-SERIES; EL-NINO</t>
  </si>
  <si>
    <t>Phytoplankton composition and biomass was investigated across the southern Indian Ocean. Phytoplankton composition was determined from pigment analysis with subsequent calculations of group contributions to total chlorophyll a (Chl a) using CHEMTAX and, in addition, by examination in the microscope. The different plankton communities detected reflected the different water masses along a transect from Cape Town, South Africa, to Broome, Australia. The first station was influenced by the Agulhas Current with a very deep mixed surface layer. Based on pigment analysis this station was dominated by haptophytes, pelagophytes, cyanobacteria, and prasinophytes. Sub-Antarctic waters of the Southern Ocean were encountered at the next station, where new nutrients were intruded to the surface layer and the total Chl a concentration reached high concentrations of 1.7 mu g Chl a L-1 with increased proportions of diatoms and dinoflagellates. The third station was also influenced by Southern Ocean waters, but located in a transition area on the boundary to subtropical water. Prochlorophytes appeared in the samples and Chl a was low, i.e., 0.3 mu g L-1 in the surface with prevalence of haptophytes, pelagophytes, and cyanobacteria. The next two stations were located in the subtropical gyre with little mixing and general oligotrophic conditions where prochlorophytes, haptophytes and pelagophytes dominated. The last two stations were located in tropical waters influenced by down-welling of the Leeuwin Current and particularly prochlorophytes dominated at these two stations, but also pelagophytes, haptophytes and cyanobacteria were abundant. Haptophytes Type 6 (sensu Zapata et al., 2004), most likely Emiliania huxleyi, and pelagophytes were the dominating eucaryotes in the southern Indian Ocean. Prochlorophytes dominated in the subtrophic and oligotrophic eastern Indian Ocean where Chl a was low. i.e., 0.043-0.086 mu g total Chl a L-1 in the surface, and up to 0.4 mu g Chl a L-1 at deep Chl a maximum. From the pigment analyses it was found that the dinoflagellates of unknown trophy enumerated in the microscope at the oligotrophic stations were possibly heterotrophic or mixotrophic. Presence of zeaxanthin containing heterotrophic bacteria may have increased the abundance of cyanobacteria determined by CHEMTAX. (C) 2011 Elsevier Ltd. All rights reserved.</t>
  </si>
  <si>
    <t>[Schluter, Louise] DHI Water Environm &amp; Hlth, DK-2970 Horsholm, Denmark; [Henriksen, Peter; Nielsen, Torkel Gissel; Jakobsen, Hans H.] Aarhus Univ, Natl Environm Res Inst, Dept Marine Ecol, DK-4000 Roskilde, Denmark; [Nielsen, Torkel Gissel; Jakobsen, Hans H.] Tech Univ Denmark, Sect Oceanecol &amp; Climate, DTU Aqua, Natl Inst Aquat Resources, DK-2970 Horsholm, Denmark</t>
  </si>
  <si>
    <t>Danish Hydraulic Institute (DHI); Aarhus University; Technical University of Denmark</t>
  </si>
  <si>
    <t>Schlüter, L (corresponding author), DHI Water Environm &amp; Hlth, Agern Alle 5, DK-2970 Horsholm, Denmark.</t>
  </si>
  <si>
    <t>lsc@dhigroup.com</t>
  </si>
  <si>
    <t>Nielsen, Torkel Gissel/HLQ-4981-2023; Jakobsen, Hans/I-7200-2013; Henriksen, Peter/I-8031-2013</t>
  </si>
  <si>
    <t>Jakobsen, Hans/0000-0001-9590-2362; Henriksen, Peter/0000-0002-6413-6850; Nielsen, Torkel Gissel/0000-0003-1057-158X</t>
  </si>
  <si>
    <t>Knud Hojgaards Fond; Danish Natural Sciences Research Council; Danish Expedition Foundation</t>
  </si>
  <si>
    <t>Knud Hojgaards Fond; Danish Natural Sciences Research Council(Danish Natural Science Research Council); Danish Expedition Foundation</t>
  </si>
  <si>
    <t>The sampling was conducted during the third Danish Galathea expedition. We thank the Captain of HMDS 'Vaedderen', Carsten Schmidt, and his crew for excellent assistance in connection with our sampling. The project was supported by grants from Knud Hojgaards Fond and the Danish Natural Sciences Research Council. We are grateful to Simon Wright, Australian Antarctic Division, for receiving CHEMTAX ver. 1.95, and to Jacob L. Heyer, Danish Meteorological Institute for preparing Fig. 1. The present work was carried out as part of the Galathea3 expedition under the auspices of the Danish Expedition Foundation. This is Galathea3 contribution no. P77.</t>
  </si>
  <si>
    <t>10.1016/j.dsr.2011.02.007</t>
  </si>
  <si>
    <t>WOS:000291135100005</t>
  </si>
  <si>
    <t>Worby, AP; Meiners, KM; Ackley, SF</t>
  </si>
  <si>
    <t>Worby, A. P.; Meiners, K. M.; Ackley, S. F.</t>
  </si>
  <si>
    <t>Antarctic sea-ice zone research during the International Polar Year, 2007-2009</t>
  </si>
  <si>
    <t>[Worby, A. P.; Meiners, K. M.] Australian Antarctic Div, Kingston, Tas 7050, Australia; [Ackley, S. F.] Univ Texas San Antonio, Dept Geol Sci, San Antonio, TX 78249 USA</t>
  </si>
  <si>
    <t>Australian Antarctic Division; University of Texas System; University of Texas at San Antonio (UTSA)</t>
  </si>
  <si>
    <t>Worby, AP (corresponding author), Australian Antarctic Div, Channel Highway, Kingston, Tas 7050, Australia.</t>
  </si>
  <si>
    <t>Tony.Worby@aad.gov.au</t>
  </si>
  <si>
    <t>10.1016/j.dsr2.2011.01.001</t>
  </si>
  <si>
    <t>WOS:000291505600001</t>
  </si>
  <si>
    <t>Stammerjohn, S; Maksym, T; Heil, P; Massom, RA; Vancoppenolle, M; Leonard, KC</t>
  </si>
  <si>
    <t>Stammerjohn, Sharon; Maksym, Ted; Heil, Petra; Massom, Robert A.; Vancoppenolle, Martin; Leonard, Katherine C.</t>
  </si>
  <si>
    <t>The influence of winds, sea-surface temperature and precipitation anomalies on Antarctic regional sea-ice conditions during IPY 2007</t>
  </si>
  <si>
    <t>Antarctic sea ice; Antarctic ice drift; Snow on sea ice; Ocean-ice-atmosphere system</t>
  </si>
  <si>
    <t>SOUTHERN ANNULAR MODE; SNOW-COVER; IN-SITU; VARIABILITY; WINTER; OCEAN; AMUNDSEN; BELLINGSHAUSEN; SATELLITE; RETREAT</t>
  </si>
  <si>
    <t>The 2007 International Polar Year (IPY) in the Antarctic was distinguished by strong regional and seasonal ice-atmosphere-ocean anomalies associated with an overall weakening of the prevailing westerly circulation. Here we assess the ice-atmosphere-ocean conditions leading up to and during two IPY field campaigns that took place in early spring (September-October): the U.S.-led Sea Ice Mass Balance Antarctica (SIMBA, 68-72 degrees S, 90-95 degrees W) and the Australian-led Sea Ice Physics and Ecosystems eXperiment (SIPEX, 63-67 degrees S, 115-130 degrees E). Our regional analysis is presented within the context of circumpolar and inter-annual variability relevant to other IPY Antarctic studies. Using satellite-derived and numerically analyzed surface and atmospheric variables, we examine relationships between (i) winds and sea-ice concentration and drift, (ii) sea-surface temperature and ice-edge anomalies, and (iii) precipitation and snow accumulation. Though Antarctic-averaged sea-ice extent in September 2007 was the second highest observed for 1979-2007, the SIMBA and SIPEX studies sampled the two regions showing the largest negative sea-ice anomalies in the Southern Ocean. Maps of sea-surface temperature (SST) and sea-ice concentration (SIC) anomalies revealed distinct regional patterns, showing warm SST/low SIC in the greater SIMBA (including all of the Bellingshausen and Amundsen seas) and western SIPEX regions, versus cool SST/high SIC in the Weddell, Ross and eastern SIPEX regions. In the SIMBA and western SIPEX regions, warm northerly winds in May (overlying the warm SSTs) brought anomalously high precipitation to those regions, but due to the regional delays in sea-ice advance (by up to 2 months), most fell on open ocean, which in turn contributed to negative and near-zero September snow depth anomalies in those two regions, respectively. During autumn (March to May), warm SSTs offshore of those regions extended from mid-to-high latitudes, resulting from meridional advection of heat associated with a wave-3 atmospheric circulation pattern. In the SIMBA and SIPEX regions, the late sea-ice advance followed unusually long ice-free summer periods, which suggests that solar ocean warming was relatively high in those regions. The warm ocean conditions may help to explain why the ice edge remained well south of its mean position despite instances during winter of cold southerly winds and northward sea-ice drift. Finally, with respect to the 1978-2008 record, year 2007 was a continuation of decreasing sea ice in the SIMBA region (e.g., decreased annual sea-ice extent and ice season duration), whereas in the SIPEX region, year 2007 was a negative departure from an otherwise slightly positive trend in annual sea-ice extent and ice season duration. (C) 2010 Elsevier Ltd. All rights reserved.</t>
  </si>
  <si>
    <t>[Stammerjohn, Sharon] Univ Calif Santa Cruz, Ocean Sci Dept, Santa Cruz, CA 95064 USA; [Maksym, Ted] British Antarctic Survey, Cambridge, England; [Heil, Petra; Massom, Robert A.] Univ Tasmania, Antarctic Climate &amp; Ecosyst CRC, Sandy Bay, Tas, Australia; [Heil, Petra; Massom, Robert A.] Univ Tasmania, Australian Antarctic Div, Sandy Bay, Tas, Australia; [Vancoppenolle, Martin] Catholic Univ Louvain, Inst Astron &amp; Geophys G Lemaitre, B-1348 Louvain, Belgium; [Vancoppenolle, Martin] Univ Washington, Dept Atmospher Sci, Seattle, WA 98195 USA; [Leonard, Katherine C.] Columbia Univ, Lamont Doherty Earth Observ, Palisades, NY USA; [Leonard, Katherine C.] WSL, Inst Snow &amp; Avalanche Res SLF, Davos, Switzerland</t>
  </si>
  <si>
    <t>University of California System; University of California Santa Cruz; UK Research &amp; Innovation (UKRI); Natural Environment Research Council (NERC); NERC British Antarctic Survey; University of Tasmania; Australian Antarctic Division; University of Tasmania; Universite Catholique Louvain; University of Washington; University of Washington Seattle; Columbia University; Swiss Federal Institutes of Technology Domain; Swiss Federal Institute for Forest, Snow &amp; Landscape Research</t>
  </si>
  <si>
    <t>Stammerjohn, S (corresponding author), Univ Calif Santa Cruz, Ocean Sci Dept, Santa Cruz, CA 95064 USA.</t>
  </si>
  <si>
    <t>sharons@ldeo.columbia.edu</t>
  </si>
  <si>
    <t>Vancoppenolle, Martin/B-3750-2011; Vancoppenolle, Martin/AAA-7711-2022</t>
  </si>
  <si>
    <t>Vancoppenolle, Martin/0000-0002-7573-8582; Vancoppenolle, Martin/0000-0002-7573-8582; Massom, Robert/0000-0003-1533-5084; Heil, Petra/0000-0003-2078-0342; STAMMERJOHN, SHARON/0000-0002-1697-8244</t>
  </si>
  <si>
    <t>NSF/OPP [ANT-07-03682, ANT-06-32282]; Australian Government's Cooperative Research Centres Programme through the Antarctic Climate and Ecosystems Cooperative Research Centre; FRFC-FNRS (Sea-ice biogeochemistry in polar oceans); Directorate For Geosciences; Office of Polar Programs (OPP) [0823101] Funding Source: National Science Foundation; Natural Environment Research Council [bas0100023] Funding Source: researchfish; NERC [bas0100023] Funding Source: UKRI</t>
  </si>
  <si>
    <t>NSF/OPP(National Science Foundation (NSF)); Australian Government's Cooperative Research Centres Programme through the Antarctic Climate and Ecosystems Cooperative Research Centre(Australian GovernmentDepartment of Industry, Innovation and ScienceCooperative Research Centres (CRC) Programme); FRFC-FNRS (Sea-ice biogeochemistry in polar oceans)(Fonds de la Recherche Scientifique - FNRS); Directorate For Geosciences; Office of Polar Programs (OPP)(National Science Foundation (NSF)NSF - Directorate for Geosciences (GEO)); Natural Environment Research Council(UK Research &amp; Innovation (UKRI)Natural Environment Research Council (NERC)); NERC(UK Research &amp; Innovation (UKRI)Natural Environment Research Council (NERC))</t>
  </si>
  <si>
    <t>Participation on SIMBA by SS and KL was under the auspices of NSF/OPP grants ANT-07-03682 (PI S.F. Ackley, UTAS) and ANT-06-32282 (P.I. S.S. Jacobs, LDEO), during which SS was a NOAA Climate and Global Change Postdoctoral Fellow, administered by the University Corporation for Atmospheric Research. For PH and RM, this work contributes to the Australian Antarctic Science projects 742. 2678, 2901 and 3204, and was supported by the Australian Government's Cooperative Research Centres Programme through the Antarctic Climate and Ecosystems Cooperative Research Centre. MV was supported by FRFC-FNRS (Sea-ice biogeochemistry in polar oceans). TM thanks the British Antarctic Survey, and Gareth Marshall and Tony Phillips for processing the precipitation data and assistance with the production of figures. The GSFC SMMR-SSM/I sea-ice concentration data were from the EOS Distributed Active Archive Center (DAAC) at the National Snow and Ice Data Center, University of Colorado in Boulder, Colorado (http://nsidc.org). The sea-level pressure and 10-m wind data were from the National Center for Environmental Prediction/National Center for Atmospheric Research Reanalysis Project (http://www.cdc.noaa.gov). Precipitation was derived from the European Centre for Medium range Weather Forecasts (ECMWF) interim reanalysis (www.ecmwf.int/research/era/do/get/era-interim). The International Research Institute for Climate Prediction (http://iridl.ldeo.columbia.edu/) provided the sea-surface temperature data produced by Reynolds et al. (2002). Chuck Fowler (Colorado Center for Astrodynamics Research, University of Colorado) is thanked for providing the satellite-derived sea-ice motion product. We thank Stan Jacobs, Steve Ackley, Tony Worby, Cathy Geiger and Rich Cullather for discussions relating to this paper. Finally we thank the ships' captain, crew, and logistical support during the U.S.- and Australian-led IPY field studies.</t>
  </si>
  <si>
    <t>10.1016/j.dsr2.2010.10.026</t>
  </si>
  <si>
    <t>WOS:000291505600002</t>
  </si>
  <si>
    <t>Xie, H; Ackley, SF; Yi, D; Zwally, HJ; Wagner, P; Weissling, B; Lewis, M; Ye, K</t>
  </si>
  <si>
    <t>Xie, H.; Ackley, S. F.; Yi, D.; Zwally, H. J.; Wagner, P.; Weissling, B.; Lewis, M.; Ye, K.</t>
  </si>
  <si>
    <t>Sea-ice thickness distribution of the Bellingshausen Sea from surface measurements and ICESat altimetry</t>
  </si>
  <si>
    <t>ASPeCt; Electromagnetic induction; ICESat; Sea-ice thickness; Antarctic Sea ice</t>
  </si>
  <si>
    <t>AIRBORNE LASER; WEDDELL-SEA; SNOW; OCEAN; RADAR; PHASE</t>
  </si>
  <si>
    <t>Although sea-ice extent in the Bellingshausen-Amundsen (BA) seas sector of the Antarctic has shown significant decline over several decades, there is not enough data to draw any conclusion on sea-ice thickness and its change for the BA sector, or for the entire Southern Ocean. This paper presents our results of snow and ice thickness distributions from the SIMBA 2007 experiment in the Bellingshausen Sea, using four different methods (ASPeCt ship observations, downward-looking camera imaging, ship-based electromagnetic induction (EM) sounding, and in situ measurements using ice drills). A snow freeboard and ice thickness model generated from in situ measurements was then applied to contemporaneous ICESat (satellite laser altimetry) measured freeboard to derive ice thickness at the ICESat footprint scale. Errors from in situ measurements and from ICESat freeboard estimations were incorporated into the model, so a thorough evaluation of the model and uncertainty of the ice thickness estimation from ICESat are possible. Our results indicate that ICESat derived snow freeboard and ice thickness distributions (asymmetrical unimodal tailing to right) for first-year ice (0.29 +/- 0.14 m for mean snow freeboard and 1.06 +/- 0.40 m for mean ice thickness), multi-year ice (0.48 +/- 0.26 and 1.59 +/- 0.75 m, respectively), and all ice together (0.42 +/- 0.24 and 1.38 +/- 0.70 m, respectively) for the study area seem reasonable compared with those values from the in situ measurements, ASPeCt observations, and EM measurements. The EM measurements can act as an appropriate supplement for ASPeCt observations taken hourly from the ship's bridge and provide reasonable ice and snow distributions under homogeneous ice conditions. Our proposed approaches: (1) of using empirical equations relating snow freeboard to ice thickness based on in situ measurements and (2) of using isostatic equations that replace snow depth with snow freeboard (or empirical equations that convert freeboard to snow depth), are efficient and important ways to derive ice thickness from ICESat altimetry at the footprint scale for Antarctic sea ice. Spatial and temporal snow and ice thickness from satellite altimetry for the BA sector and for the entire Southern Ocean is therefore possible. (C) 2010 Elsevier Ltd. All rights reserved.</t>
  </si>
  <si>
    <t>[Xie, H.; Ackley, S. F.; Wagner, P.; Weissling, B.; Lewis, M.] Univ Texas San Antonio, Dept Geol Sci, Lab Remote Sensing &amp; Geoinformat, San Antonio, TX 78249 USA; [Yi, D.] Goddard Space Flight Ctr, SGT Inc, Cryospher Sci Branch, Greenbelt, MD 20771 USA; [Ye, K.] Univ Texas San Antonio, Dept Management Sci &amp; Stat, San Antonio, TX 78249 USA</t>
  </si>
  <si>
    <t>University of Texas System; University of Texas at San Antonio (UTSA); Stinger Ghaffarian Technologies, Inc. (SGT); National Aeronautics &amp; Space Administration (NASA); NASA Goddard Space Flight Center; University of Texas System; University of Texas at San Antonio (UTSA)</t>
  </si>
  <si>
    <t>Xie, H (corresponding author), Univ Texas San Antonio, Dept Geol Sci, Lab Remote Sensing &amp; Geoinformat, San Antonio, TX 78249 USA.</t>
  </si>
  <si>
    <t>Hongjie.xie@utsa.edu</t>
  </si>
  <si>
    <t>Xie, Hongjie/B-5845-2009</t>
  </si>
  <si>
    <t>Xie, Hongjie/0000-0003-3516-1210; Yi, Donghui/0000-0001-6363-5538</t>
  </si>
  <si>
    <t>U.S. NSF [AWT0703682]; NASA [NNX08AQ87G]; NASA [95455, NNX08AQ87G] Funding Source: Federal RePORTER</t>
  </si>
  <si>
    <t>U.S. NSF(National Science Foundation (NSF)); NASA(National Aeronautics &amp; Space Administration (NASA)); NASA(National Aeronautics &amp; Space Administration (NASA))</t>
  </si>
  <si>
    <t>This research was supported by a U.S. NSF Grant (#AWT0703682) and a NASA Grant (#NNX08AQ87G). We gratefully acknowledge the team of ice observers on the SIMBA cruise and the NASA's effort and coordination in adjusting the ICESat Laser 3i campaign schedule to fully utilize the field measurements. We are very grateful to the three anonymous reviewers and editor Tony Worby for their helpful comments and suggestions to improve the paper.</t>
  </si>
  <si>
    <t>10.1016/j.dsr2.2010.10.038</t>
  </si>
  <si>
    <t>WOS:000291505600004</t>
  </si>
  <si>
    <t>Kramer, M; Swadling, KM; Meiners, KM; Kiko, R; Scheltz, A; Nicolaus, M; Werner, I</t>
  </si>
  <si>
    <t>Kramer, Maike; Swadling, Kerrie M.; Meiners, Klaus M.; Kiko, Rainer; Scheltz, Annette; Nicolaus, Marcel; Werner, Iris</t>
  </si>
  <si>
    <t>Antarctic sympagic meiofauna in winter: Comparing diversity, abundance and biomass between perennially and seasonally ice-covered regions</t>
  </si>
  <si>
    <t>Sympagic meiofauna; Sea ice; Abundance; Biomass; WWOS; SIPEX; Antarctica: western Weddell Sea: 60-65 degrees S, 41-57 degrees W; Antarctica: southern Indian Ocean: 64-65 degrees S, 116-129 degrees E</t>
  </si>
  <si>
    <t>WESTERN WEDDELL SEA; PACK ICE; COPEPODS; ECOLOGY; BIOTA; CTENOPHORE; SNOW</t>
  </si>
  <si>
    <t>This study of Antarctic sympagic meiofauna in pack ice during late winter compares communities between the perennially ice-covered western Weddell Sea and the seasonally ice-covered southern Indian Ocean. Sympagic meiofauna (proto- and metazoans &gt; 20 mu m) and eggs &gt; 20 mu m were studied in terms of diversity, abundance and carbon biomass, and with respect to vertical distribution. Metazoan meiofauna had significantly higher abundance and biomass in the western Weddell Sea (medians: 31.1 x 10(3) m(-2) and 6.53 mg m(-2), respectively) than in the southern Indian Ocean (medians: 1.0 x 10(3) m(-2) and 0.06 mg m(-2), respectively). Metazoan diversity was also significantly higher in the western Weddell Sea. Furthermore, the two regions differed significantly in terms of meiofauna community composition, as revealed through multivariate analyses. The overall diversity of sympagic meiofauna was high, and integrated abundance and biomass of total meiofauna were also high in both regions (0.6-178.6 X 10(3) m(-2) and 0.02-89.70 mg m(-2), respectively), mostly exceeding values reported earlier from the northern Weddell Sea in winter. We attribute the differences in meiofauna communities between the two regions to the older first-year ice and multi-year ice that is present in the western Weddell Sea, but not in the southern Indian Ocean. Our study indicates the significance of perennially ice-covered regions for the establishment of diverse and abundant meiofauna communities. Furthermore, it highlights the potential importance of sympagic meiofauna for the organic matter pool and trophic interactions in sea ice. (C) 2010 Elsevier Ltd. All rights reserved.</t>
  </si>
  <si>
    <t>[Kramer, Maike; Scheltz, Annette; Werner, Iris] Inst Polar Ecol IPO, D-24148 Kiel, Germany; [Swadling, Kerrie M.] Univ Tasmania, Inst Marine &amp; Antarctic Studies, Hobart, Tas 7001, Australia; [Meiners, Klaus M.] Australian Antarctic Div AAD, Dept Environm Water Heritage &amp; Arts, Kingston, Tas 7050, Australia; [Meiners, Klaus M.] Antarctic Climate &amp; Ecosyst Cooperat Res Ctr ACE, Hobart, Tas 7001, Australia; [Kiko, Rainer] IFM, GEOMAR Leibniz Inst Marine Sci, D-24105 Kiel, Germany; [Nicolaus, Marcel] Alfred Wegener Inst Polar &amp; Marine Res, D-27570 Bremerhaven, Germany</t>
  </si>
  <si>
    <t>University of Tasmania; Australian Antarctic Division; Antarctic Climate &amp; Ecosystems Cooperative Research Centre (ACE CRC); Helmholtz Association; GEOMAR Helmholtz Center for Ocean Research Kiel; Helmholtz Association; Alfred Wegener Institute, Helmholtz Centre for Polar &amp; Marine Research</t>
  </si>
  <si>
    <t>Kramer, M (corresponding author), Inst Polar Ecol IPO, Wischhofstr 1-3,Geb 12, D-24148 Kiel, Germany.</t>
  </si>
  <si>
    <t>mkramer@ipoe.uni-kiel.de</t>
  </si>
  <si>
    <t>Nicolaus, Marcel/A-3658-2013</t>
  </si>
  <si>
    <t>Nicolaus, Marcel/0000-0003-0903-1746; Swadling, Kerrie/0000-0002-7620-841X; Kiko, Rainer/0000-0002-7851-9107</t>
  </si>
  <si>
    <t>Deutsche Forschungsgesellschaft [WE 2536/11-1]; Australian Government through the Antarctic Climate and Ecosystems Cooperative Research Centre (ACE CRC); Australian Antarctic Science Project [2767, 1358]</t>
  </si>
  <si>
    <t>Deutsche Forschungsgesellschaft(German Research Foundation (DFG)); Australian Government through the Antarctic Climate and Ecosystems Cooperative Research Centre (ACE CRC)(Australian GovernmentDepartment of Industry, Innovation and ScienceCooperative Research Centres (CRC) Programme); Australian Antarctic Science Project</t>
  </si>
  <si>
    <t>We thank all those who helped us in the field and lab during ANT-XXIII/7 and SIPEX, particularly Erika Allhusen (Alfred Wegener Institute, Bremerhaven) and Dai Fang-Fang (University of Zhejiang Wanli), who did most of the chlorophyll sampling and measurements during ANT-XXIII/7. We thank Heike Wagele (University of Bonn) for identification of the nudibranch Tergipes antarcticus, Sigrid Schiel (Alfred Wegener Institute, Bremerhaven) for her help with harpacticoid taxonomy, Ole Riemann (University of Wurzburg Graduate School), Alexander Kieneke (German Center for Marine Biodiversity Research, Wilhelmshaven) and Wilko Ahlrichs (University of Oldenburg) as well as Bart Tessens (University of Hasselt) for their help with platyhelminth taxonomy and electron microscopy. Kerri Scolardi (Mote Marine Laboratory, Sarasota, Florida) is thanked for giving her opinion on the unidentified ctenophore and for providing information about Antarctic planktonic ctenophores. We thank Dieter Piepenburg (Institute for Polar Ecology, Kiel) for his advice concerning statistics. We further acknowledge the effort of two anonymous reviewers, whose constructive comments helped to improve the manuscript. The constant support by captains, officers and crews of R.V. Polarstern and R.S.V. Aurora Australis during the expeditions ANT-XXIII/7 and SIPEX is gratefully acknowledged. This research was supported by the Deutsche Forschungsgesellschaft WE 2536/11-1 (to IW, MK, AS) as well as by the Australian Government through the Antarctic Climate and Ecosystems Cooperative Research Centre (ACE CRC) and Australian Antarctic Science Project 2767 (to MM) and 1358 (to KS).</t>
  </si>
  <si>
    <t>10.1016/j.dsr2.2010.10.029</t>
  </si>
  <si>
    <t>WOS:000291505600006</t>
  </si>
  <si>
    <t>Norman, L; Thomas, DN; Stedmon, CA; Granskog, MA; Papadimitriou, S; Krapp, RH; Meiners, KM; Lannuzel, D; van der Merwe, P; Dieckmann, GS</t>
  </si>
  <si>
    <t>Norman, Louiza; Thomas, David N.; Stedmon, Colin A.; Granskog, Mats A.; Papadimitriou, Stathys; Krapp, Rupert H.; Meiners, Klaus M.; Lannuzel, Delphine; van der Merwe, Pier; Dieckmann, Gerhard S.</t>
  </si>
  <si>
    <t>The characteristics of dissolved organic matter (DOM) and chromophoric dissolved organic matter (CDOM) in Antarctic sea ice</t>
  </si>
  <si>
    <t>Sea ice; Antarctic; Coloured dissolved organic matter (CDOM); Dissolved organic matter (DOM); Photochemistry; Biogeochemistry</t>
  </si>
  <si>
    <t>OPTICAL-PROPERTIES; INORGANIC CARBON; AMINO-ACIDS; PHOTOCHEMICAL PRODUCTION; WEDDELL SEA; MARINE ORGANISMS; GAP LAYERS; OPEN-OCEAN; UV; RIVER</t>
  </si>
  <si>
    <t>An investigation of coloured dissolved organic matter (CDOM) and its relationships to physical and biogeochemical parameters in Antarctic sea ice and oceanic water have indicated that ice melt may both alter the spectral characteristics of CDOM in Antarctic surface waters and serve as a likely source of fresh autochthonous CDOM and labile DOC. Samples were collected from melted bulk sea ice, sea ice brines, surface gap layer waters, and seawater during three expeditions: one during the spring to summer and two during the winter to spring transition period. Variability in both physical (temperature and salinity) and biogeochemical parameters (dissolved and particulate organic carbon and nitrogen, as well as chlorophyll a) was observed during and between studies, but CDOM absorption coefficients measured at 375 nm (a(375)) did not differ significantly. Distinct peaked absorption spectra were consistently observed for bulk ice, brine, and gap water, but were absent in the seawater samples. Correlation with the measured physical and biogeochemical parameters could not resolve the source of these peaks, but the shoulders and peaks observed between 260 and 280 nm and between 320 to 330 nm respectively, particularly in the samples taken from high light-exposed gap layer environment, suggest a possible link to aromatic and mycosporine-like amino acids. Sea ice CDOM susceptibility to photo-bleaching was demonstrated in an in situ 120 hour exposure, during which we observed a loss in CDOM absorption of 53% at 280 nm, 58% at 330 nm, and 30% at 375 nm. No overall coincidental loss of DOC or DON was measured during the experimental period. A relationship between the spectral slope (S) and carbon-specific absorption (a*(375)) indicated that the characteristics of CDOM can be described by the mixing of two broad end-members; and aged material, present in brine and seawater samples characterised by highs values and low a*(375); and a fresh material, due to elevated in situ production, present in the bulk ice samples characterised by low S and high a*(375). The DOC data reported here have been used to estimate that approximately 8 Tg C yr(-1) (similar to 11% of annual sea ice algae primary production) may be exported to the surface ocean during seasonal sea ice melt in the form of DOC. (C) 2010 Elsevier Ltd. All rights reserved.</t>
  </si>
  <si>
    <t>[Norman, Louiza; Thomas, David N.; Papadimitriou, Stathys] Bangor Univ, Coll Nat Sci, Sch Ocean Sci, Menai Bridge LL59 5AB, Anglesey, Wales; [Stedmon, Colin A.] Aarhus Univ, Natl Environm Res Inst, Dept Marine Ecol, DK-4000 Roskilde, Denmark; [Granskog, Mats A.] Univ Lapland, Arctic Ctr, Rovaniemi 96101, Finland; [Granskog, Mats A.] Polar Environm Ctr, Norwegian Polar Inst, N-9296 Tromso, Norway; [Krapp, Rupert H.] Univ Ctr Svalbard, N-9171 Longyearbyen, Norway; [Meiners, Klaus M.; Lannuzel, Delphine; van der Merwe, Pier] Antarctic Climate &amp; Ecosyst Cooperat Res Ctr, Hobart, Tas 7001, Australia; [Lannuzel, Delphine] Ctr Marine Sci, Hobart, Tas 7001, Australia; [van der Merwe, Pier] Univ Tasmania, Inst Antarctic &amp; So Ocean Studies, Hobart, Tas 7001, Australia; [Dieckmann, Gerhard S.] Alfred Wegener Inst Polar &amp; Marine Res, D-27570 Bremerhaven, Germany</t>
  </si>
  <si>
    <t>Bangor University; Aarhus University; University of Lapland; Norwegian Polar Institute; University Centre Svalbard (UNIS); Antarctic Climate &amp; Ecosystems Cooperative Research Centre (ACE CRC); University of Tasmania; Helmholtz Association; Alfred Wegener Institute, Helmholtz Centre for Polar &amp; Marine Research</t>
  </si>
  <si>
    <t>Thomas, DN (corresponding author), Bangor Univ, Coll Nat Sci, Sch Ocean Sci, Menai Bridge LL59 5AB, Anglesey, Wales.</t>
  </si>
  <si>
    <t>Louisa.Norman@student.uts.edu.au; d.thomas@bangor.ac.uk; cst@dmu.dk; mats.granskog@npolar.no; s.papadimitriou@bangor.ac.uk; rkrapp@gmail.com; Klaus.Meiners@acecrc.org.au; delphine.lannuzel@utas.edu.au; pvander@utas.edu.au; Gerhard.dieckmann@awi.de</t>
  </si>
  <si>
    <t>Stedmon, Colin Andrew/B-5841-2008; Dieckmann, Gerhard S/B-4307-2010; Thomas, David Neville/B-1448-2010; lannuzel, delphine/J-7937-2014; van der Merwe, Pier/C-9210-2015</t>
  </si>
  <si>
    <t>Stedmon, Colin Andrew/0000-0001-6642-9692; Thomas, David Neville/0000-0001-8832-5907; lannuzel, delphine/0000-0001-6154-1837; Granskog, Mats/0000-0002-5035-4347; van der Merwe, Pier/0000-0002-7428-8030; Papadimitriou, Stathys/0000-0001-8540-1169</t>
  </si>
  <si>
    <t>Carlsberg Foundation; Danish Research Council [272-07-0485]; NERC; Royal Society; Leverhulme Trust; German Research Council (DFG) [WE2536/6-2]; Australian Government through the Antarctic Climate and Ecosystems Cooperative Research Centre; Australian Antarctic Division [2767]; Academy of Finland [108150]; Academy of Finland (AKA) [108150] Funding Source: Academy of Finland (AKA); Natural Environment Research Council [NE/E016251/1] Funding Source: researchfish; NERC [NE/E016251/1] Funding Source: UKRI</t>
  </si>
  <si>
    <t>Carlsberg Foundation(Carlsberg Foundation); Danish Research Council(Det Frie Forskningsrad (DFF)); NERC(UK Research &amp; Innovation (UKRI)Natural Environment Research Council (NERC)); Royal Society(Royal Society); Leverhulme Trust(Leverhulme Trust); German Research Council (DFG)(German Research Foundation (DFG)); Australian Government through the Antarctic Climate and Ecosystems Cooperative Research Centre(Australian GovernmentDepartment of Industry, Innovation and ScienceCooperative Research Centres (CRC) Programme); Australian Antarctic Division; Academy of Finland(Research Council of Finland); Academy of Finland (AKA); Natural Environment Research Council(UK Research &amp; Innovation (UKRI)Natural Environment Research Council (NERC)); NERC(UK Research &amp; Innovation (UKRI)Natural Environment Research Council (NERC))</t>
  </si>
  <si>
    <t>CS was supported by the Carlsberg Foundation and the Danish Research Council (grant #272-07-0485). DNT, LN &amp; SP were supported by grants from NERC, The Royal Society and the Leverhulme Trust. MAC was supported by a grant from the Academy of Finland (#108150). RHK was supported by the German Research Council (DFG; grant #WE2536/6-2). The work during SIPEX was supported by the Australian Government through the Antarctic Climate and Ecosystems Cooperative Research Centre, and by the Australian Antarctic Division through AAS project 2767. We are grateful to the crews of R.V. Polarstern and R.S. Aurora Australis as well as numerous colleagues, too many to mention, on each trip for their help in making this work possible. In particular we thank H. Betts, E Allhusen, A Scheltz, D.P. Kennedy and R. Thomas for their help in sample analyses and preparation for the cruises. We also thank Lisa Miller and two anonymous reviewers for their useful suggestions on an early version of this manuscript.</t>
  </si>
  <si>
    <t>10.1016/j.dsr2.2010.10.030</t>
  </si>
  <si>
    <t>WOS:000291505600007</t>
  </si>
  <si>
    <t>Ozsoy-Cicek, B; Kern, S; Ackley, SF; Xie, HJ; Tekeli, AE</t>
  </si>
  <si>
    <t>Ozsoy-Cicek, Burcu; Kern, Stefan; Ackley, Stephen F.; Xie, Hongjie; Tekeli, Ahmet E.</t>
  </si>
  <si>
    <t>Intercomparisons of Antarctic sea ice types from visual ship, RADARSAT-1 SAR, Envisat ASAR, QuikSCAT, and AMSR-E satellite observations in the Bellingshausen Sea</t>
  </si>
  <si>
    <t>Sea ice type discrimination; Antarctica; Microwave remote sensing; Scatterometer</t>
  </si>
  <si>
    <t>WEDDELL-SEA; BACKSCATTER; SIGNATURES; SNOW; IDENTIFICATION; THICKNESS; IMPACT</t>
  </si>
  <si>
    <t>Antarctic Sea Ice Processes and Climate (ASPeCt) visual ship-based observations were conducted in the Bellingshausen Sea during the Sea Ice Mass Balance in the Antarctic (SIMBA) cruise in austral spring 2007. A total of 59 ASPeCt observations are compared to coincident satellite active and passive microwave data. Envisat and RADARSAT-1 C-Band HH-polarization radar backscatter values (called NRCS henceforth) are derived on km-scales for six individual ice types and ice type mixtures. C-Band HH-polarized and Ku-Band VV-polarized NRCS are extracted on several 10 km-scale areas from coincident Envisat, RADARSAT-1, and QuikSCAT radar images for areas primarily covered with multiyear, deformed first-year, and undeformed young ice, as well as ice of the marginal ice zone (MIZ). The C-Band NRCS permits distinction between first-year, MIZ, and undeformed young ice. However, NRCS of the multiyear ice zone overlaps with that of the other ice zones and types. Ku-Band NRCS obtained for the same ice types permits discrimination of the first-year ice zone only. Obtained NRCS agree with those of previous studies and suggest a high degree of deformation and considerable potential for flooding for the first-year ice case. In comparison to large scale NRCS, AMSR-E snow depth values form two clearly separated clusters, one for 0.24-0.35 m depth (first-year ice zone) and one for 0.36-0.54 m depth (multiyear ice zone). However, a comparison to ASPeCt observations suggests a remarkable underestimation of the snow depth by AMSR-E in the multiyear-first-year-ice transition zone and for first-year cake ice. Nevertheless, a fusion of the coarse AMSR-E snow depth ranges for interior pack ice regions with radar imagery at large scale, appears promising for mapping the major zones (MIZ and Pack Ice) and ice types (first-year and multiyear) of Antarctic sea ice on a circumpolar basis. (C) 2010 Elsevier Ltd. All rights reserved.</t>
  </si>
  <si>
    <t>[Ozsoy-Cicek, Burcu; Ackley, Stephen F.; Xie, Hongjie; Tekeli, Ahmet E.] Univ Texas San Antonio, Lab Remote Sensing &amp; Geoinformat, San Antonio, TX 78249 USA; [Kern, Stefan] Ctr Marine &amp; Atmospher Sci, Inst Oceanog, Hamburg, Germany</t>
  </si>
  <si>
    <t>University of Texas System; University of Texas at San Antonio (UTSA)</t>
  </si>
  <si>
    <t>Ozsoy-Cicek, B (corresponding author), Univ Texas San Antonio, Lab Remote Sensing &amp; Geoinformat, San Antonio, TX 78249 USA.</t>
  </si>
  <si>
    <t>burcu@drcicek.com</t>
  </si>
  <si>
    <t>tekeli, ahmet e/F-7594-2011; Ozsoy, Burcu/AAH-5348-2020; Xie, Hongjie/B-5845-2009</t>
  </si>
  <si>
    <t>Ozsoy, Burcu/0000-0003-4320-1796; Xie, Hongjie/0000-0003-3516-1210; Tekeli, Ahmet/0000-0001-9026-4373; Kern, Stefan/0000-0001-7281-3746</t>
  </si>
  <si>
    <t>United States National Science Foundation (NSF) [AWT0703682]; NASA [NNX08AQ87G]; National Science Foundation; NASA [NNX08AQ87G, 95455] Funding Source: Federal RePORTER</t>
  </si>
  <si>
    <t>United States National Science Foundation (NSF)(National Science Foundation (NSF)); NASA(National Aeronautics &amp; Space Administration (NASA)); National Science Foundation(National Science Foundation (NSF)); NASA(National Aeronautics &amp; Space Administration (NASA))</t>
  </si>
  <si>
    <t>We wish to acknowledge United States National Science Foundation (NSF) Grant ANT (#AWT0703682) and NASA Grant (#NNX08AQ87G) to UTSA for support. The National Snow and Ice Data Center in Boulder, Colorado provided AMSR-E images, NASA Distributed Active Archive Center provided MODIS, and Institut Francais pour l'Exploitation de la Mer (IFREMER) provided QuikSCAT images. Their support is gratefully acknowledged. ESA is thanked for providing Envisat ASAR images (C, ESA, 2007), and NIC/RPSC provided RADARSAT-1 images taken by Canadian Space Agency and their purchase was supported by the National Science Foundation. Additional Envisat images provided by ESA through Category-1 project (ID #6097) to UTSA are greatly appreciated. We are also grateful to sea ice observers aboard R/V Nathaniel B. Palmer. Sincere thanks also go to editor Petra Heil for her valuable support in writing the paper. The Python code for processing and calibration of the Envisat ASAR images was kindly provided by Lars Kaleschke. The International Space Science Institute (Bern, Switzerland) is acknowledged for supporting this study via project #137, #169, and #184.</t>
  </si>
  <si>
    <t>10.1016/j.dsr2.2010.10.031</t>
  </si>
  <si>
    <t>WOS:000291505600008</t>
  </si>
  <si>
    <t>Worby, AP; Steer, A; Lieser, JL; Heil, P; Yi, DH; Markus, T; Allison, I; Massom, RA; Galin, N; Zwally, J</t>
  </si>
  <si>
    <t>Worby, Anthony P.; Steer, Adam; Lieser, Jan L.; Heil, Petra; Yi, Donghui; Markus, Thorsten; Allison, Ian; Massom, Robert A.; Galin, Natalia; Zwally, Jay</t>
  </si>
  <si>
    <t>Regional-scale sea-ice and snow thickness distributions from in situ and satellite measurements over East Antarctica during SIPEX 2007</t>
  </si>
  <si>
    <t>Antarctic zone; Sea ice; Laser altimeters; Remote sensing; ICESat; ASPeCt</t>
  </si>
  <si>
    <t>INTERANNUAL VARIABILITY; PENINSULA; OCEAN; ALBEDO; COVER; DRIFT</t>
  </si>
  <si>
    <t>The Sea Ice Physics and Ecosystem eXperiment (SIPEX) was conducted in the East Antarctic pack ice zone between 115-130 degrees E from 9 September - 11 October, 2007. In situ measurements of sea-ice and snow properties were conducted at 15 ice stations, together with ship-based ASPeCt observations. The ice and snow thickness varied considerably in different regions of the pack ice, with particularly thick ice associated with deformation and a strong slope jet in the southwest of the study region. The mean ice thickness was 0.99 m (1.57 m excluding the northern marginal ice zones), but varied from 0.61 m along the southern leg to 1.80 m along the western leg, with pockets of considerably thicker ice in some regions. Swell was observed on two occasions penetrating more than 330 km south of the ice edge into regions with 80-100% ice concentration. Ice thicknesses calculated from near coincident ICESat laser altimetry (1.74 m) are similar to the in-situ observations in the central pack (1.57 m). (C) 2010 Elsevier Ltd. All rights reserved.</t>
  </si>
  <si>
    <t>[Worby, Anthony P.; Steer, Adam; Lieser, Jan L.; Heil, Petra; Allison, Ian; Massom, Robert A.] Univ Tasmania, Antarctic Climate &amp; Ecosyst Cooperat Res Ctr, Hobart, Tas 7001, Australia; [Worby, Anthony P.; Steer, Adam; Heil, Petra; Allison, Ian; Massom, Robert A.] Australian Antarctic Div, Kingston, Tas 7050, Australia; [Galin, Natalia] Univ Tasmania, Inst Marine &amp; Antarctic Studies, Hobart, Tas 7001, Australia; [Yi, Donghui] SGT Inc, Goddard Space Flight Ctr, Greenbelt, MD USA; [Markus, Thorsten; Zwally, Jay] NASA, Goddard Space Flight Ctr, Cryospher Sci Branch, Greenbelt, MD 20771 USA; [Galin, Natalia] UCL, Ctr Polar Oceanog &amp; Modelling, London, England</t>
  </si>
  <si>
    <t>Antarctic Climate &amp; Ecosystems Cooperative Research Centre (ACE CRC); University of Tasmania; Australian Antarctic Division; University of Tasmania; Stinger Ghaffarian Technologies, Inc. (SGT); National Aeronautics &amp; Space Administration (NASA); NASA Goddard Space Flight Center; National Aeronautics &amp; Space Administration (NASA); NASA Goddard Space Flight Center; University of London; University College London</t>
  </si>
  <si>
    <t>Worby, AP (corresponding author), Univ Tasmania, Antarctic Climate &amp; Ecosyst Cooperat Res Ctr, Private Bag 80, Hobart, Tas 7001, Australia.</t>
  </si>
  <si>
    <t>tony.worby@aad.gov.au</t>
  </si>
  <si>
    <t>Allison, Ian F/I-4477-2015; Worby, Anthony P/A-2373-2012; Markus, Thorsten/D-5365-2012; Lieser, Jan/J-7157-2014</t>
  </si>
  <si>
    <t>Allison, Ian F/0000-0001-9599-0251; Lieser, Jan/0000-0001-6870-1311; Massom, Robert/0000-0003-1533-5084; Steer, Adam/0000-0003-0046-7236; Heil, Petra/0000-0003-2078-0342; Yi, Donghui/0000-0001-6363-5538</t>
  </si>
  <si>
    <t>Australian Government through the Antarctic Climate and Ecosystems Cooperative Research Centre</t>
  </si>
  <si>
    <t>Australian Government through the Antarctic Climate and Ecosystems Cooperative Research Centre(Australian GovernmentDepartment of Industry, Innovation and ScienceCooperative Research Centres (CRC) Programme)</t>
  </si>
  <si>
    <t>Our thanks to colleagues aboard the Aurora Australis for their contributions to the hourly underway ASPeCt sea ice observations. Thanks also to Captain Murray Doyle, the officers and crew of RSV Aurora Australis for their outstanding support of this project. Chief Pilot Dave Pullinger and other staff of Helicopter Resources provided excellent aircraft support for a number of programs for which we are very grateful. NASA's ICESat Science Team is thanked for accommodating the necessary change in schedule to the ICESat 131 mission to coincide with the SIPEX and SIMBA field campaigns. This work was supported in part by the Australian Government through the Antarctic Climate and Ecosystems Cooperative Research Centre.</t>
  </si>
  <si>
    <t>10.1016/j.dsr2.2010.12.001</t>
  </si>
  <si>
    <t>WOS:000291505600010</t>
  </si>
  <si>
    <t>Heil, P; Massom, RA; Allison, I; Worby, AP</t>
  </si>
  <si>
    <t>Heil, Petra; Massom, Robert A.; Allison, Ian; Worby, Anthony P.</t>
  </si>
  <si>
    <t>Physical attributes of sea-ice kinematics during spring 2007 off East Antarctica</t>
  </si>
  <si>
    <t>Sea-ice dynamics; High-frequency processes; Atmospheric intensification; Inertial response; East Antarctica; SIPEX (IPY)</t>
  </si>
  <si>
    <t>WESTERN WEDDELL SEA; WATER MASSES; DEFORMATION; DRIFT; VARIABILITY; MOTION; SLOPE; MODEL; OCEAN; BUOY</t>
  </si>
  <si>
    <t>In austral spring 2007, two meso-scale (of the order of 10-100 km) drifting buoy arrays were deployed to investigate the sea-ice kinematics off East Antarctica during the Sea Ice Physics and Ecosystem eXperiment (SIPEX). Deployment locations were within the one oceanic surface-drift regime with similarly high ice concentrations, the two arrays were about 440 km apart. Deployments of the two arrays were separated by 18 days. During spring 2007 the sea ice in the region was under the influence of enhanced atmospheric forcing, associated with an unprecedented seasonal increase in cyclone intensity. This atmospheric anomaly also led to repeated winter breakouts of the fast ice around much of East Antarctica (112-134 degrees E), which, in turn, enabled the southward advection of pack ice into zones of quasi-stationary ice. Consequently, synoptic-scale atmospheric activity strongly influenced the characteristics of the regional fast-ice zone. Despite the intensified atmospheric forcing, only 73% of the variability in sea-ice motion is explained by direct atmospheric forcing, compared to 85% derived in previous studies for the same region and time of year. This reduction of synoptic-scale (multi-daily period) variability agrees with relatively high levels of semi-diurnal motion variance (compared to previous studies). Non-linear ice mechanics enable this energy cascade to higher frequencies. Both arrays experienced significant divergence, which enlarged their area by 230% (eastern array, 28 days) and 267% (western array, 30 days) without significant decrease of ice concentration within the enclosed area, indicating that active ice growth was still prevalent in the region. Divergence and shear deformation dominated the deformation parameters. Crown Copyright (C) 2010 Published by Elsevier Ltd. All rights reserved.</t>
  </si>
  <si>
    <t>[Heil, Petra] Univ Tasmania, Australian Antarctic Div, Hobart, Tas, Australia; Univ Tasmania, ACE CRC, Hobart, Tas, Australia</t>
  </si>
  <si>
    <t>Heil, P (corresponding author), Univ Tasmania, Australian Antarctic Div, Hobart, Tas, Australia.</t>
  </si>
  <si>
    <t>petra.heil@utas.edu.au</t>
  </si>
  <si>
    <t>Allison, Ian F/I-4477-2015; Worby, Anthony P/A-2373-2012</t>
  </si>
  <si>
    <t>Allison, Ian F/0000-0001-9599-0251; Massom, Robert/0000-0003-1533-5084; Heil, Petra/0000-0003-2078-0342</t>
  </si>
  <si>
    <t>European Space Agency [4114]; Australian Antarctic Science [742, 2678, 2901, 3024]; Government's Cooperative Research Centres Programme through the Antarctic Climate and Ecosystems Cooperative Research Centre</t>
  </si>
  <si>
    <t>European Space Agency(European Space Agency); Australian Antarctic Science; Government's Cooperative Research Centres Programme through the Antarctic Climate and Ecosystems Cooperative Research Centre(Australian GovernmentDepartment of Industry, Innovation and ScienceCooperative Research Centres (CRC) Programme)</t>
  </si>
  <si>
    <t>M. Richardson is thanked for his help in equipping and calibrating the buoys. A. Steer and D. Tonna are thanked for their help during buoy deployment. We gratefully acknowledge the professional support of the captain, the officers and crew of the RSV Aurora Australis, as well as the helicopter pilots and crew during SIPEX. J. Lieser is thanked for comments on this manuscript, as are C.A. Geiger (Editor) and two anonymous reviewers. Envisat ASAR data ((c) ESA (2007)) were provided by the European Space Agency under grant #4114. MODIS imagery were obtained from the NASA MODIS archive (http://ladsweb.nascom.nasa.gov/). NCEP-2 Reanalysis data are from the NOAA/OAR/ESRL PSD, Boulder, Colorado, USA (http://www.cdc.noaa.gov/). The International Space Science Institute (Bern, Switzerland) is thanked for supporting scientific collaborations of this study through projects Monitoring of Antarctic sea ice during IPY 2007/08 (#137) and Space-borne monitoring of polar sea ice (#169). Cyclone statistics were obtained using the University of Melbourne's Automatic Cyclone Tracker based on Murray and Simmonds (1991). Ice concentration data were obtained from the NASA Earth Observing System Distributed Arctic Archive Center at the US National Snow and Ice Data Center, University of Colorado, Boulder (http://nsidc.org/). GMT public domain software (Wessel and Smith, 1995) was used to compile some figures within this manuscript. This project is supported by the Australian Antarctic Science grants 742, 2678, 2901 and 3024 and is supported by the Australian Government's Cooperative Research Centres Programme through the Antarctic Climate and Ecosystems Cooperative Research Centre.</t>
  </si>
  <si>
    <t>10.1016/j.dsr2.2010.12.004</t>
  </si>
  <si>
    <t>WOS:000291505600013</t>
  </si>
  <si>
    <t>Meiners, KM; Norman, L; Granskog, MA; Krell, A; Heil, P; Thomas, DN</t>
  </si>
  <si>
    <t>Meiners, Klaus M.; Norman, Louiza; Granskog, Mats A.; Krell, Andreas; Heil, Petra; Thomas, David N.</t>
  </si>
  <si>
    <t>Physico-ecobiogeochemistry of East Antarctic pack ice during the winter-spring transition</t>
  </si>
  <si>
    <t>Sea ice; Biogeochemistry; Nutrients; Algae; Biomass; East Antarctica</t>
  </si>
  <si>
    <t>PHYTOPLANKTON COMMUNITY STRUCTURE; SEA-ICE; WEDDELL SEA; SYMPAGIC ORGANISMS; INORGANIC CARBON; CHEMTAX ANALYSIS; MARGUERITE BAY; PLATELET ICE; GAP LAYERS; SUMMER</t>
  </si>
  <si>
    <t>Our study provides information on the relationships between physical, chemical, and biological properties of East Antarctic sea ice sampled as part of the Sea Ice Physics and Ecosystem experiment (SIPEX) during the winter-spring transition in 2007. The sampled sea ice showed a high contribution of granular ice, indicating the turbulent conditions during sea ice formation off East Antarctica. The sea ice was cold, with brine volumes often below or very close to the theoretical percolation threshold of sea ice. Dissolved inorganic nutrient concentrations showed both positive and negative deviations from theoretical dilution lines, indicating both nutrient uptake as well as nutrient remineralisation in sea ice brines. Cold temperatures, high brine salinities, and low brine volumes limited high ice algal biomass to the warmer and more porous sea ice layers at the ice-water interface. We hypothesise that East Antarctic sea ice shows generally low ice algal biomass accumulation due to a combination of relatively low snow-loading, relatively cold ice temperatures, and short persistence of sea ice into the warm forcing regime, all of which prevent the development of significant internal and surface communities. (C) 2010 Elsevier Ltd. All rights reserved.</t>
  </si>
  <si>
    <t>[Meiners, Klaus M.; Heil, Petra] Antarctic Climate &amp; Ecosyst Cooperat Res Ctr, Hobart, Tas 7001, Australia; [Norman, Louiza; Thomas, David N.] Bangor Univ, Coll Nat Sci, Sch Ocean Sci, Menai Bridge LL59 5AB, Anglesey, Wales; [Granskog, Mats A.] Univ Lapland, Arctic Ctr, Rovaniemi 96101, Finland; [Granskog, Mats A.] Polar Environm Ctr, Norwegian Polar Inst, N-9296 Tromso, Norway; [Krell, Andreas] Alfred Wegener Inst Polar &amp; Marine Res, D-27515 Bremerhaven, Germany; [Heil, Petra] Australian Antarctic Div, Dept Sustainabil Environm Water Populat &amp; Communi, Kingston, Tas 7050, Australia</t>
  </si>
  <si>
    <t>Antarctic Climate &amp; Ecosystems Cooperative Research Centre (ACE CRC); Bangor University; University of Lapland; Norwegian Polar Institute; Helmholtz Association; Alfred Wegener Institute, Helmholtz Centre for Polar &amp; Marine Research; Australian Antarctic Division</t>
  </si>
  <si>
    <t>Meiners, KM (corresponding author), Antarctic Climate &amp; Ecosyst Cooperat Res Ctr, Private Bag 80, Hobart, Tas 7001, Australia.</t>
  </si>
  <si>
    <t>klaus.meiners@acecrc.org.au; l.norman@bangor.ac.uk; mats.granskog@npolar.no; andreas.krell@awi.de; petra.heil@utas.edu.au; d.thomas@bangor.ac.uk</t>
  </si>
  <si>
    <t>Thomas, David Neville/B-1448-2010</t>
  </si>
  <si>
    <t>Thomas, David Neville/0000-0001-8832-5907; Heil, Petra/0000-0003-2078-0342; Granskog, Mats/0000-0002-5035-4347</t>
  </si>
  <si>
    <t>Academy of Finland [108150]; UK Natural Environment Research Council; Australian Government's Cooperative Research Centre Program through the Antarctic Climate and Ecosystems Cooperative Research Centre; Australian Antarctic Science [2767]; Academy of Finland (AKA) [108150] Funding Source: Academy of Finland (AKA); Natural Environment Research Council [NE/E016251/1] Funding Source: researchfish; NERC [NE/E016251/1] Funding Source: UKRI</t>
  </si>
  <si>
    <t>Academy of Finland(Research Council of Finland); UK Natural Environment Research Council(UK Research &amp; Innovation (UKRI)Natural Environment Research Council (NERC)); Australian Government's Cooperative Research Centre Program through the Antarctic Climate and Ecosystems Cooperative Research Centre(Australian GovernmentDepartment of Industry, Innovation and ScienceCooperative Research Centres (CRC) Programme); Australian Antarctic Science; Academy of Finland (AKA); Natural Environment Research Council(UK Research &amp; Innovation (UKRI)Natural Environment Research Council (NERC)); NERC(UK Research &amp; Innovation (UKRI)Natural Environment Research Council (NERC))</t>
  </si>
  <si>
    <t>We thank captain and crew of Aurora Australis for their continued logistical support during V1/2007. We are grateful to the voyage leader T. Worby and deputy voyage leader D. Tonna for their ongoing support both in the lead-up and during the SIPEX voyage. We acknowledge the expert help of the AAD Science Technical Support team and the help of our colleagues working with us in the field. We thank A. Scheltz and C. Crawford for their help with sample processing and D. Davis, D. Lannuzel, T. Rodemann, and P. van der Merwe for their support with the analysis of POC/PN. T. Toyota and A. Steer assisted greatly in thin section preparation. S. Papadimitriou is thanked for his help with inorganic nutrient analyses and A. Moy for his help with transfer and analysis of oxygen isotope samples. D. Lannuzel, J. Lieser, K. Ryan, an anonymous reviewer, and L. Miller provided constructive comments on an earlier draft of this paper. MAG was supported by a grant from the Academy of Finland (#108150). LN &amp; DTs involvement was supported by the UK Natural Environment Research Council. This work was supported by the Australian Government's Cooperative Research Centre Program through the Antarctic Climate and Ecosystems Cooperative Research Centre (ACE CRC) and through Australian Antarctic Science grant #2767.</t>
  </si>
  <si>
    <t>10.1016/j.dsr2.2010.10.033</t>
  </si>
  <si>
    <t>WOS:000291505600014</t>
  </si>
  <si>
    <t>van der Merwe, P; Lannuzel, D; Bowie, AR; Nichols, CAM; Meiners, KM</t>
  </si>
  <si>
    <t>van der Merwe, P.; Lannuzel, D.; Bowie, A. R.; Nichols, C. A. Mancuso; Meiners, K. M.</t>
  </si>
  <si>
    <t>Iron fractionation in pack and fast ice in East Antarctica: Temporal decoupling between the release of dissolved and particulate iron during spring melt</t>
  </si>
  <si>
    <t>Antarctica; Particulate iron; Dissolved iron; Iron fractionation; Fast ice; Pack ice; SIPEX</t>
  </si>
  <si>
    <t>SEA-ICE; ROSS SEA; BINDING LIGANDS; ORGANIC-LIGANDS; SOUTHERN-OCEAN; TRACE-METALS; PHYTOPLANKTON; CHEMILUMINESCENCE; BIOGEOCHEMISTRY; FERTILIZATION</t>
  </si>
  <si>
    <t>Iron is a fundamental nutrient limiting phytoplankton growth in vast regions of the Southern Ocean. Sea ice, which covers similar to 80% of the Southern Ocean (south of 60 degrees S) during maximum extent, can concentrate iron up to two orders of magnitude higher than in the underlying sea water. The fractionation of iron between the particulate and dissolved fractions depends on the location and type of sea-ice formation and can impact on the bioavailability of this important trace element. This study is the first to document iron fractionation and concentration in both pack and fast ice during a single research study. Sampling was from within the 110-130 degrees E sector of Antarctica. We observed markedly higher concentrations of particulate iron at our fast-ice site (0.96-214 nM) relative to several pack-ice sites (0.87-77.7 nM). A high particulate-to-dissolved iron ratio was observed at the fast-ice site (285:1) relative to the highest observed in pack ice (23:1). This suggests a decoupling between the sources and/or sinks of the dissolved and particulate fractions. Preferential release of dissolved iron (and not particulate iron) into brines at all sites sampled with the sack hole method (and therefore indicative of brine drainage) indicates the diffuse nature of the dissolved fraction. Furthermore, this indicates that there may be a temporal decoupling between the release of the dissolved and the particulate fractions into the water column as sea ice becomes more permeable during the seasonal melt. Implications for phytoplankton production in Antarctic sea ice are discussed. (C) 2010 Elsevier Ltd. All rights reserved.</t>
  </si>
  <si>
    <t>[van der Merwe, P.; Lannuzel, D.; Bowie, A. R.; Nichols, C. A. Mancuso; Meiners, K. M.] Univ Tasmania, Antarctic Climate &amp; Ecosyst Cooperat Res Ctr, Hobart, Tas 7001, Australia; [van der Merwe, P.] Univ Tasmania, Inst Marine &amp; Antarct Studies, Hobart, Tas 7001, Australia; [Lannuzel, D.] Ctr Marine Sci, Hobart, Tas 7001, Australia; [Nichols, C. A. Mancuso] Commonwealth Sci &amp; Ind Res Org, Mol &amp; Hlth Technol, Hobart, Tas 7000, Australia</t>
  </si>
  <si>
    <t>Antarctic Climate &amp; Ecosystems Cooperative Research Centre (ACE CRC); University of Tasmania; University of Tasmania; Commonwealth Scientific &amp; Industrial Research Organisation (CSIRO)</t>
  </si>
  <si>
    <t>van der Merwe, P (corresponding author), Univ Tasmania, Antarctic Climate &amp; Ecosyst Cooperat Res Ctr, Private Bag 80, Hobart, Tas 7001, Australia.</t>
  </si>
  <si>
    <t>Nichols, Carol/C-2290-2008; lannuzel, delphine/J-7937-2014; Bowie, Andrew/C-8677-2013; van der Merwe, Pier/C-9210-2015</t>
  </si>
  <si>
    <t>Nichols, Carol/0000-0002-2739-4690; lannuzel, delphine/0000-0001-6154-1837; Bowie, Andrew/0000-0002-5144-7799; van der Merwe, Pier/0000-0002-7428-8030</t>
  </si>
  <si>
    <t>Australian Government's Cooperative Research Centres Programme through the Antarctic Climate and Ecosystems Cooperative Research Centre (ACE CRC); Australian Antarctic Science projects [2767, 3026]</t>
  </si>
  <si>
    <t>Australian Government's Cooperative Research Centres Programme through the Antarctic Climate and Ecosystems Cooperative Research Centre (ACE CRC)(Australian GovernmentDepartment of Industry, Innovation and ScienceCooperative Research Centres (CRC) Programme); Australian Antarctic Science projects</t>
  </si>
  <si>
    <t>We gratefully acknowledge the officers and crew of R.S.V. Aurora Australis, as well as the colleagues and support personnel involved in the SIPEX expedition. This work was funded by the Australian Government's Cooperative Research Centres Programme through the Antarctic Climate and Ecosystems Cooperative Research Centre (ACE CRC). This work was sponsored by Australian Antarctic Science projects (#2767 and #3026). We would like to thank Dr. Tony Worby for his support and training during SIPEX. We are indebted to the Commonwealth Scientific and Industrial Research Organisation (CSIRO) Marine and Atmospheric Research for providing a trace metal clean container laboratory during SIPEX. This manuscript was improved by the input of two anonymous reviewers, so we thank them for their time and effort. We would like to thank Dr. Ashley Townsend and the Central Science Laboratory at the University of Tasmania for invaluable mentoring and support with the SF-ICP-MS analyses. The analysis for total nitrogen, carbon and hydrogen was determined by Dr. Thomas Rodemann at the Central Science Laboratory, University of Tasmania.</t>
  </si>
  <si>
    <t>10.1016/j.dsr2.2010.10.036</t>
  </si>
  <si>
    <t>WOS:000291505600018</t>
  </si>
  <si>
    <t>Vancoppenolle, M; Timmermann, R; Ackley, SF; Fichefet, T; Goosse, H; Heil, P; Leonard, KC; Lieser, J; Nicolaus, M; Papakyriakou, T; Tison, JL</t>
  </si>
  <si>
    <t>Vancoppenolle, Martin; Timmermann, Ralph; Ackley, Stephen F.; Fichefet, Thierry; Goosse, Hugues; Heil, Petra; Leonard, Katherine C.; Lieser, Jan; Nicolaus, Marcel; Papakyriakou, Tim; Tison, Jean-Louis</t>
  </si>
  <si>
    <t>Assessment of radiation forcing data sets for large-scale sea ice models in the Southern Ocean</t>
  </si>
  <si>
    <t>Antarctic; Sea ice; Forcing; Radiation; Model</t>
  </si>
  <si>
    <t>WESTERN WEDDELL SEA; TURBULENT EXCHANGE; SURFACE; SNOW; VARIABILITY; CLIMATE; DRIFT; PARAMETERIZATIONS; CIRCULATION; SIMULATION</t>
  </si>
  <si>
    <t>Little is known about errors in the atmospheric forcings of large-scale sea ice-ocean models around Antarctica. These forcings involve atmospheric reanalyses, typically those from the National Center for Environmental Prediction and National Center from Atmospheric Research (NCEP-NCAR), climatologies, and empirical parameterizations of atmosphere-ice heat and radiation fluxes. In the present paper, we evaluate the atmospheric forcing fields of sea ice models in the Southern Ocean using meteorological and radiation observations from two drifting station experiments over Antarctic sea ice. These are Sea Ice Mass Balance in the Antarctic (SIMBA, Bellingshausen Sea, October 2007) and ISPOL (Ice Station POLarstern, Weddell Sea, December 2004). For the comparison, it is assumed that those point measurements are representative of the whole model grid cell they were collected in. Analysis suggests that the NCEP-NCAR reanalyses have relatively low biases for variables that are assimilated by the system (temperature, winds and humidity) and are less accurate for those which are not (cloud fraction and radiation fluxes). The main deficiencies are significant day-to-day errors in air temperature (root-mean-square error 1.4-3.8 degrees C) and a 0.2-0.6 g/kg mean overestimation in NCEP-NCAR specific humidity. In addition, associated with an underestimation of cloud fraction, NCEP-NCAR shortwave radiation features a large positive bias (43-109 w/m(2)), partly compensated by a 20-45 W/m(2) negative bias in longwave radiation. Those biases can be drastically reduced by using empirical formulae of radiation fluxes and climatologies of relative humidity and cloud cover. However, this procedure leads to a loss of day-to-day and interannual variability in the radiation fields. We provide technical recommendations on how the radiation forcing should be handled to reduce sea ice model forcing errors. The various errors in forcing fields found here should not hide the great value of atmospheric reanalyses for the simulation of the ice-ocean system. (C) 2010 Elsevier Ltd. All rights reserved.</t>
  </si>
  <si>
    <t>[Vancoppenolle, Martin; Fichefet, Thierry; Goosse, Hugues] Catholic Univ Louvain, Georges Lemaitre Ctr Earth &amp; Climate Res, Earth &amp; Life Inst, B-1348 Louvain, Belgium; [Vancoppenolle, Martin] Univ Washington, Dept Atmospher Sci, Seattle, WA 98195 USA; [Timmermann, Ralph] Alfred Wegener Inst Polar &amp; Marine Res, D-2850 Bremerhaven, Germany; [Ackley, Stephen F.] Univ Texas San Antonio, Dept Earth &amp; Environm Sci, San Antonio, TX USA; [Heil, Petra; Lieser, Jan] Univ Tasmania, ACE CRC, Hobart, Tas, Australia; [Heil, Petra; Lieser, Jan] Univ Tasmania, Australian Antarctic Div, Hobart, Tas, Australia; [Leonard, Katherine C.] Columbia Univ, Lamont Doherty Earth Observ, Palisades, NY USA; [Leonard, Katherine C.] WSL Inst Snow &amp; Avalanche Res SLF, Davos, Switzerland; [Nicolaus, Marcel] Norwegian Polar Res Inst, Tromso, Norway; [Papakyriakou, Tim] Univ Manitoba, Ctr Earth Observat Sci, Winnipeg, MB, Canada; [Tison, Jean-Louis] Univ Libre Bruxelles, Lab Glaciol, Brussels, Belgium</t>
  </si>
  <si>
    <t>Universite Catholique Louvain; University of Washington; University of Washington Seattle; Helmholtz Association; Alfred Wegener Institute, Helmholtz Centre for Polar &amp; Marine Research; University of Texas System; University of Texas at San Antonio (UTSA); University of Tasmania; Antarctic Climate &amp; Ecosystems Cooperative Research Centre (ACE CRC); University of Tasmania; Australian Antarctic Division; Columbia University; Swiss Federal Institutes of Technology Domain; Swiss Federal Institute for Forest, Snow &amp; Landscape Research; Norwegian Polar Institute; University of Manitoba; Universite Libre de Bruxelles</t>
  </si>
  <si>
    <t>Vancoppenolle, M (corresponding author), Catholic Univ Louvain, Georges Lemaitre Ctr Earth &amp; Climate Res, Earth &amp; Life Inst, B-1348 Louvain, Belgium.</t>
  </si>
  <si>
    <t>vancop@astr.ucl.ac.be</t>
  </si>
  <si>
    <t>Reay, David/F-4054-2010; Nicolaus, Marcel/A-3658-2013; Vancoppenolle, Martin/AAA-7711-2022; Vancoppenolle, Martin/B-3750-2011; Lieser, Jan/J-7157-2014; Tison, Jean-Louis/F-4065-2015</t>
  </si>
  <si>
    <t>Nicolaus, Marcel/0000-0003-0903-1746; Vancoppenolle, Martin/0000-0002-7573-8582; Vancoppenolle, Martin/0000-0002-7573-8582; Lieser, Jan/0000-0001-6870-1311; Tison, Jean-Louis/0000-0002-9758-3454; Heil, Petra/0000-0003-2078-0342; Papakyriakou, Tim/0000-0002-2019-9104</t>
  </si>
  <si>
    <t>Australian Government's Cooperative Research Centre's Program through the Antarctic Climate and Ecosystems Cooperative Research Centre; United States NSF Office of Polar Programs [ANT-06-32282, ANT-07-03682]</t>
  </si>
  <si>
    <t>Australian Government's Cooperative Research Centre's Program through the Antarctic Climate and Ecosystems Cooperative Research Centre(Australian GovernmentDepartment of Industry, Innovation and ScienceCooperative Research Centres (CRC) Programme); United States NSF Office of Polar Programs</t>
  </si>
  <si>
    <t>This study was initiated on R/V N.B. Palmer, hence members of the SIBCLIM, Palmer's Captain Mike and crew as well as SIMBA cruise fellows are warmly thanked for inspiration. Bruno Delille, Klaus Meiners, Christian Fristen, Ivan Grozny and Christiane Lancelot are acknowledged for discussions, Mike Lewis for the ice thickness and surface temperature data at SIMBA, Wesley Ebisuzaki and Anna Borovikov for help on the NCEP/NCAR assimilation system. The NCEP/NCAR reanalysis data were provided by the National Oceanic and Atmospheric Administration-Cooperative Institute for Research in Environmental Sciences Climate Diagnostics Center, Boulder, online at http://www.cdc.noaa.gov.ISPOL data were kindly made available by AWI. Authors gratefully acknowledge support from the projects BELCANTO (Belgian Science Federal Policy Office), SIBCLIM (Communaute Francaise de Belgique, ARC 02/07-287), and Sea-ice biogeochemistry in polar oceans (FRFC-FNRS). M.V. and H.G. are supported by FNRS. P.H. and J.L. were supported by the Australian Government's Cooperative Research Centre's Program through the Antarctic Climate and Ecosystems Cooperative Research Centre. K.L. and S.A. were supported by United States NSF Office of Polar Programs Grants ANT-06-32282 and ANT-07-03682. Finally, sincere thanks to the two anonymous Referees and Editor Cathy Geiger whose careful reading significantly improved this manuscript.</t>
  </si>
  <si>
    <t>10.1016/j.dsr2.2010.10.039</t>
  </si>
  <si>
    <t>WOS:000291505600019</t>
  </si>
  <si>
    <t>Bengtson, JL; Laake, JL; Boveng, PL; Cameron, MF; Hanson, MB; Stewart, BS</t>
  </si>
  <si>
    <t>Bengtson, John L.; Laake, Jeff L.; Boveng, Peter L.; Cameron, Michael F.; Hanson, M. Bradley; Stewart, Brent S.</t>
  </si>
  <si>
    <t>Distribution, density, and abundance of pack-ice seals in the Amundsen and Ross Seas, Antarctica</t>
  </si>
  <si>
    <t>Distance sampling; Southern Ocean; Antarctica; Ross seal; Crabeater seal; Weddell seal; Leopard seal; Pack ice</t>
  </si>
  <si>
    <t>CRAB-EATER SEALS; QUEEN-MAUD-LAND; WEDDELL-SEALS; LOBODON-CARCINOPHAGUS; DIVING BEHAVIOR; OMMATOPHOCA-ROSSII; HYDRURGA-LEPTONYX; HAULOUT BEHAVIOR; POPULATION; PATTERNS</t>
  </si>
  <si>
    <t>We made three sets of population surveys of the four species of ice-inhabiting phocid pinnipeds in the Ross and Amundsen Seas between 26 December 1999 and 24 March 2000 using icebreakers and helicopters deployed from those icebreakers. We used line transect methods to survey 23,671 km by helicopter and 3,694 km by ship accounting for a total coverage of 53,217 km(2). We detected and identified 11,308 seals in 7,104 groups and estimated their abundance from estimates of densities using distance sampling methods and corrections for probability of haul out of seals derived from satellite telemetry of tagged seals. Crabeater seals were most abundant (ca 1.7 million) followed by Weddell seals (330,000), Ross seals (22,600), and leopard seals (15,000). Our estimates of abundance are difficult to directly compare with earlier estimates because of geographic areas covered and by our improvements in survey and analytical methods. Notwithstanding these limitations and with some adjustments for differences in methods, we found that our estimates of abundance for crabeater seals are similar to those from the most recent surveys in the Ross and Amundsen Seas and along the George-Oates Coast. Our estimates for Weddell seals are the first for the broad areas of pack ice that we surveyed in the Ross and Amundsen Seas but indicate that these habitats are ecologically important to this species. Our estimates of abundance of Ross seals were relatively similar to estimates for surveys in these areas in the 1970s and 1980s whereas our estimates of abundance of leopard seals were substantially lower. Published by Elsevier Ltd.</t>
  </si>
  <si>
    <t>[Bengtson, John L.; Laake, Jeff L.; Boveng, Peter L.; Cameron, Michael F.] NOAA, Natl Marine Fisheries Serv, Natl Marine Mammal Lab, Alaska Fisheries Sci Ctr, Seattle, WA 98115 USA; [Hanson, M. Bradley] NOAA, Natl Marine Fisheries Serv, NW Fisheries Sci Ctr, Seattle, WA 98112 USA; [Stewart, Brent S.] Hubbs SeaWorld Res Inst, San Diego, CA 92109 USA</t>
  </si>
  <si>
    <t>National Oceanic Atmospheric Admin (NOAA) - USA; National Oceanic Atmospheric Admin (NOAA) - USA</t>
  </si>
  <si>
    <t>Bengtson, JL (corresponding author), NOAA, Natl Marine Fisheries Serv, Natl Marine Mammal Lab, Alaska Fisheries Sci Ctr, 7600 Sand Point Way NE, Seattle, WA 98115 USA.</t>
  </si>
  <si>
    <t>john.bengtson@noaa.gov</t>
  </si>
  <si>
    <t>US National Science Foundation [OPP-9815961, OPP-9816011, OPP-9816035]</t>
  </si>
  <si>
    <t>We thank the officers and crew of the RVIB Nathanial B. Palmer and the US Coast Guard Icebreaker Polar Star and the pilots and staff of Petroleum Helicopters Incorporated for their superb and enthusiastic support of our research program. S.E. Hill was the field team leader for the Palmer 11 surveys. We also thank the U.S. National Science Foundation and Antarctic Support Associates for thorough dedication in planning and logistic support, P. Yochem, T. Gelatt, M. Koski, S.F. Ackley, G.L. Kooyman, D.B. Siniff, I. Stirling, and B. Scotten for field assistance, and C. Southwell, A.S. Blix, T. Worby and an anonymous reviewer for their thoughtful comments on the manuscript. Supplemental information on haul-out patterns of seals was generously provided by A.S. Blix, E. Nordoy, T. Rogers, and C. Southwell. The research was supported by the US National Science Foundation under grants (OPP-9815961 to J.L. Bengtson, P. Boveng, and J.L. Laake, OPP-9816011 to B.S. Stewart, and OPP-9816035 to B.S. Stewart and P.K. Yochem.</t>
  </si>
  <si>
    <t>10.1016/j.dsr2.2010.10.037</t>
  </si>
  <si>
    <t>WOS:000291505600021</t>
  </si>
  <si>
    <t>Abouchami, W; Galer, SJG; de Baar, HJW; Alderkamp, AC; Middag, R; Laan, P; Feldmann, H; Andreae, MO</t>
  </si>
  <si>
    <t>Abouchami, W.; Galer, S. J. G.; de Baar, H. J. W.; Alderkamp, A. C.; Middag, R.; Laan, P.; Feldmann, H.; Andreae, M. O.</t>
  </si>
  <si>
    <t>Modulation of the Southern Ocean cadmium isotope signature by ocean circulation and primary productivity</t>
  </si>
  <si>
    <t>Southern Ocean; cadmium isotopes; biogeochemical cycle; biological productivity proxy</t>
  </si>
  <si>
    <t>PHYTOPLANKTON GROWTH; IRON; FRACTIONATION; COMPLEXATION; ACCUMULATION; LIMITATION; SEAWATER; COBALT; LIGHT; ZINC</t>
  </si>
  <si>
    <t>The High Nutrient Low Chlorophyll (HNLC) Southern Ocean plays a key role in regulating the biological pump and the global carbon cycle. Here we examine the efficacy of stable cadmium (Cd) isotope fractionation for detecting differences in biological productivity between regions. Our results show strong meridional Cd isotope and concentration gradients modulated by the Antarctic Fronts, with a clear biogeochemical divide located near 56 degrees S. The coincidence of the Cd isotope divide with the Southern Boundary of the Antarctic Circumpolar Current (ACC), together with evidence for northward advection of the Cd signal in the ACC, demonstrate that Cd isotopes trace surface ocean circulation regimes. The relationships between Cd isotope ratios and concentrations display two negative correlations, separating the ACC and Weddell Gyre into two distinct Cd isoscapes. These arrays are consistent with Rayleigh fractionation and imply a doubling of the isotope effect due to biological consumption of Cd during water transport from the Weddell Gyre into the ACC. The increase in magnitude of Cd isotope fractionation can be accounted for by differences in the phytoplankton biomass, community composition, and their physiological uptake mechanisms in the Weddell Gyre and ACC, thus linking Cd isotope fractionation to primary production and the global carbon cycle. (C) 2011 Elsevier B.V. All rights reserved.</t>
  </si>
  <si>
    <t>[Abouchami, W.; Galer, S. J. G.; Feldmann, H.; Andreae, M. O.] Max Planck Inst Chem, D-55020 Mainz, Germany; [de Baar, H. J. W.; Middag, R.; Laan, P.] Royal Netherlands Inst Sea Res, NL-1790 AB Den Burg, Netherlands; [Alderkamp, A. C.] Stanford Univ, Dept Environm Earth Syst Sci, Stanford, CA 94305 USA</t>
  </si>
  <si>
    <t>Max Planck Society; Utrecht University; Royal Netherlands Institute for Sea Research (NIOZ); Stanford University</t>
  </si>
  <si>
    <t>Abouchami, W (corresponding author), Max Planck Inst Chem, POB 3060, D-55020 Mainz, Germany.</t>
  </si>
  <si>
    <t>wafa.abouchami@mpic.de</t>
  </si>
  <si>
    <t>Andreae, Meinrat/B-1068-2008; Middag, Rob/D-6423-2013</t>
  </si>
  <si>
    <t>Andreae, Meinrat/0000-0003-1968-7925; Middag, Rob/0000-0002-3326-530X</t>
  </si>
  <si>
    <t>MPG fellowship</t>
  </si>
  <si>
    <t>This contribution would not have been possible without the concerted efforts of the crew of FS Polarstern, the whole scientific team of the ANTXXIV/3 cruise, and those who did not return. Thanks to J. van Ooijen for nutrient analyses, M. Rutgers van der Loeff for sharing his SeaWiFs analyses, and I. Raczek, J. Krey, S. Barth and J. Krause for laboratory assistance and Mak Saito for discussions and useful insight. Ed Boyle and an anonymous reviewer, as well as Editor Peter de Menocal, are thanked for constructive comments, which helped improve the manuscript. This work was supported by a MPG fellowship to W.A.</t>
  </si>
  <si>
    <t>10.1016/j.epsl.2011.02.044</t>
  </si>
  <si>
    <t>758UP</t>
  </si>
  <si>
    <t>WOS:000290192800009</t>
  </si>
  <si>
    <t>Küppers, GC; Paiva, TD; Borges, BD; Harada, ML; Garraza, GG; Mataloni, G</t>
  </si>
  <si>
    <t>Cristina Kueppers, Gabriela; Paiva, Thiago da Silva; Borges, Barbara do Nascimento; Harada, Maria Lucia; Gonzalez Garraza, Gabriela; Mataloni, Gabriela</t>
  </si>
  <si>
    <t>An Antarctic hypotrichous ciliate, Parasterkiella thompsoni (Foissner) nov gen., nov comb., recorded in Argentinean peat-bogs: Morphology, morphogenesis, and molecular phylogeny</t>
  </si>
  <si>
    <t>EUROPEAN JOURNAL OF PROTISTOLOGY</t>
  </si>
  <si>
    <t>Parasterkiella thompsoni nov gen., nov comb.; Stylonychinae; Ontogeny; 18S-rDNA gene; Peat bogs; Argentina</t>
  </si>
  <si>
    <t>SUBUNIT RIBOSOMAL-RNA; CILIOPHORA; SPIROTRICHEA; PROTOZOA; STICHOTRICHIA; ONTOGENY; MODEL; UROSTYLIDA; ALGORITHM; SEQUENCES</t>
  </si>
  <si>
    <t>The ciliate Parasterkiella thompsoni (Foissner, 1996) nov. gen., nov. comb. was originally described from Antarctica. In the present study, we report the morphology, morphogenesis during cell division, and molecular phylogeny inferred from the 18S-rDNA sequence of a population isolated from the Rancho Hambre peat bog, Tierra del Fuego Province (Argentina). The study is based on live and protargol-impregnated specimens. Molecular phylogeny was inferred from trees constructed by means of the maximum parsimony, neighbor joining, and Bayesian analyses. The interphase morphology matches the original description of the species. During the cell division, stomatogenesis begins with the de novo proliferation of two fields of basal bodies, each one left of the postoral ventral cirri and of transverse cirri, which later unify. Primordia IV-VI of the proter develop from disaggregation of cirrus IV/3, while primordium IV of the opisthe develops from cirrus IV/2 and primordia V and VI from cirrus V/4. Dorsal morphogenesis occurs in the Urosomoida pattern-that is, the fragmentation of kinety 3 is lacking. Three macronuclear nodules are generated before cytokinesis. Phylogenetic analyses consistently placed P thompsoni within the stylonychines. New data on the morphogenesis of the dorsal ciliature justifies the transference of Sterkiella thompsoni to a new genus Parasterkiella. (C) 2011 Elsevier GmbH. All rights reserved.</t>
  </si>
  <si>
    <t>[Cristina Kueppers, Gabriela] Consejo Nacl Invest Cient &amp; Tecn, CCT LA PLATA, Inst Limnol Dr RA Ringuelet, RA-1888 Florencio Varela, Buenos Aires, Argentina; [Paiva, Thiago da Silva] Univ Fed Rio de Janeiro, CCS, Inst Biol, Dept Zool,Lab Protistol, Rio De Janeiro, Brazil; [Borges, Barbara do Nascimento] Univ Fed Rural Amazonia, Inst Socioambiental &amp; Recursos Hidricos, Belem, Para, Brazil; [Harada, Maria Lucia] Fed Univ Para, Inst Ciencias Biol, Mol Biol Lab, BR-66059 Belem, Para, Brazil</t>
  </si>
  <si>
    <t>National University of La Plata; Consejo Nacional de Investigaciones Cientificas y Tecnicas (CONICET); Universidade Federal do Rio de Janeiro; Universidade Federal Rural da Amazonia (UFRA); Universidade Federal do Para</t>
  </si>
  <si>
    <t>Küppers, GC (corresponding author), Consejo Nacl Invest Cient &amp; Tecn, CCT LA PLATA, Inst Limnol Dr RA Ringuelet, Av Calchaqui Km 23,5, RA-1888 Florencio Varela, Buenos Aires, Argentina.</t>
  </si>
  <si>
    <t>gkuppers@fcnym.unlp.edu.ar</t>
  </si>
  <si>
    <t>Borges, Barbara N/G-1355-2012; da Silva Paiva, Thiago/E-9336-2015</t>
  </si>
  <si>
    <t>Borges, Barbara N/0000-0002-5989-8287; Mataloni, Gabriela/0000-0002-6852-6143</t>
  </si>
  <si>
    <t>Consejo Nacional de Investigaciones Cientificas y Tecnicas (CONICET); ANPCyT [PICT 2006-01697]</t>
  </si>
  <si>
    <t>Consejo Nacional de Investigaciones Cientificas y Tecnicas (CONICET)(Consejo Nacional de Investigaciones Cientificas y Tecnicas (CONICET)); ANPCyT(ANPCyT)</t>
  </si>
  <si>
    <t>We are grateful to our research colleagues in the project PICT 2006-01697 for their help with the samplings and to Drs. Lia Lunaschi and Fabiana Drago for the use of the drawing tube in their laboratory at the Museo de La Plata. The editor and the reviewers are also acknowledged for valuable suggestions. Dr. Donald Haggerty, a career investigator and native English speaker, edited the final version of the manuscript. Financial support was from the Consejo Nacional de Investigaciones Cientificas y Tecnicas (CONICET) and ANPCyT, PICT 2006-01697. This is contribution number 899 from the Instituto de Limnologia Dr. R.A. Ringuelet.</t>
  </si>
  <si>
    <t>0932-4739</t>
  </si>
  <si>
    <t>1618-0429</t>
  </si>
  <si>
    <t>EUR J PROTISTOL</t>
  </si>
  <si>
    <t>Eur. J. Protistol.</t>
  </si>
  <si>
    <t>10.1016/j.ejop.2011.01.002</t>
  </si>
  <si>
    <t>801KZ</t>
  </si>
  <si>
    <t>WOS:000293438900005</t>
  </si>
  <si>
    <t>Rozzi, R; Massardo, F</t>
  </si>
  <si>
    <t>Rozzi, Ricardo; Massardo, Francisca</t>
  </si>
  <si>
    <t>The road to biocultural ethics</t>
  </si>
  <si>
    <t>FRONTIERS IN ECOLOGY AND THE ENVIRONMENT</t>
  </si>
  <si>
    <t>OMORA-ETHNOBOTANICAL-PARK; CONSERVATION</t>
  </si>
  <si>
    <t>[Rozzi, Ricardo] Univ N Texas, Dept Philosophy &amp; Relig Studies, Denton, TX 76203 USA; [Rozzi, Ricardo; Massardo, Francisca] Univ Magallanes, Punta Arenas, Chile; [Rozzi, Ricardo; Massardo, Francisca] Inst Ecol &amp; Biodivers, Santiago, Chile; [Rozzi, Ricardo; Massardo, Francisca] Omora Ethnobot Pk, Puerto Williams, Antarctic Prov, Chile</t>
  </si>
  <si>
    <t>University of North Texas System; University of North Texas Denton; Universidad de Magallanes</t>
  </si>
  <si>
    <t>Rozzi, R (corresponding author), Univ N Texas, Dept Philosophy &amp; Relig Studies, Denton, TX 76203 USA.</t>
  </si>
  <si>
    <t>rozzi@unt.edu</t>
  </si>
  <si>
    <t>Rozzi, Ricardo/0000-0001-5265-8726</t>
  </si>
  <si>
    <t>1540-9295</t>
  </si>
  <si>
    <t>FRONT ECOL ENVIRON</t>
  </si>
  <si>
    <t>Front. Ecol. Environ.</t>
  </si>
  <si>
    <t>10.1890/1540-9295-9.4.246</t>
  </si>
  <si>
    <t>781JQ</t>
  </si>
  <si>
    <t>WOS:000291927800020</t>
  </si>
  <si>
    <t>Andersen, DT; Sumner, DY; Hawes, I; Webster-Brown, J; Mckay, CP</t>
  </si>
  <si>
    <t>Andersen, D. T.; Sumner, D. Y.; Hawes, I.; Webster-Brown, J.; Mckay, C. P.</t>
  </si>
  <si>
    <t>Discovery of large conical stromatolites in Lake Untersee, Antarctica</t>
  </si>
  <si>
    <t>GEOBIOLOGY</t>
  </si>
  <si>
    <t>BENTHIC MICROBIAL MATS; MCMURDO DRY VALLEYS; DRONNING MAUD LAND; NORTH-POLE; COMMUNITIES; HOARE; PHOTOSYNTHESIS; ENVIRONMENT; IRRADIANCE; BIOGEOCHEMISTRY</t>
  </si>
  <si>
    <t>Lake Untersee is one of the largest (11.4 km2) and deepest (&gt; 160 m) freshwater lakes in East Antarctica. Located at 71 degrees S the lake has a perennial ice cover, a water column that, with the exception of a small anoxic basin in the southwest of the lake, is well mixed, supersaturated with dissolved oxygen, alkaline (pH 10.4) and exceedingly clear. The floor of the lake is covered with photosynthetic microbial mats to depths of at least 100 m. These mats are primarily composed of filamentous cyanophytes and form two distinct macroscopic structures, one of which - cm-scale cuspate pinnacles dominated by Leptolyngbya spp. - is common in Antarctica, but the second - laminated, conical stromatolites that rise up to 0.5 m above the lake floor, dominated by Phormidium spp. - has not previously been reported in any modern environment. The laminae that form the conical stromatolites are 0.2-0.8 mm in thickness consisting of fine clays and organic material; carbon dating implies that laminations may occur on near decadal timescales. The uniformly steep sides (59.6 +/- 2.5 degrees) and the regular laminar structure of the cones suggest that they may provide a modern analog for growth of some of the oldest well-described Archean stromatolites. Mechanisms underlying the formation of these stromatolites are as yet unclear, but their growth is distinct from that of the cuspate pinnacles. The sympatric occurrence of pinnacles and cones related to microbial communities with distinct cyanobacterial compositions suggest that specific microbial behaviors underpin the morphological differences in the structures.</t>
  </si>
  <si>
    <t>[Andersen, D. T.] SETI Inst, Carl Sagan Ctr Study Life Universe, Mountain View, CA USA; [Sumner, D. Y.] Univ Calif Davis, Dept Geol, Davis, CA 95616 USA; [Hawes, I.] Univ Canterbury, Antarctic Ctr, Christchurch 1, New Zealand; [Hawes, I.; Webster-Brown, J.] Univ Canterbury, Waterways Ctr Freshwater Management, Christchurch 1, New Zealand; [Mckay, C. P.] NASA, Ames Res Ctr, Moffett Field, CA 94035 USA</t>
  </si>
  <si>
    <t>University of California System; University of California Davis; University of Canterbury; University of Canterbury; National Aeronautics &amp; Space Administration (NASA); NASA Ames Research Center</t>
  </si>
  <si>
    <t>Andersen, DT (corresponding author), SETI Inst, Carl Sagan Ctr Study Life Universe, Mountain View, CA USA.</t>
  </si>
  <si>
    <t>dandersen@carlsagancenter.org</t>
  </si>
  <si>
    <t>Andersen, Dale T/B-4816-2013; Sumner, Dawn/E-8744-2011</t>
  </si>
  <si>
    <t>Andersen, Dale T/0000-0001-8827-1259; Webster-Brown, Jenny/0000-0001-9665-871X; McKay, Christopher/0000-0002-6243-1362; Sumner, Dawn/0000-0002-7343-2061; Hawes, Ian/0000-0003-2471-6903</t>
  </si>
  <si>
    <t>1472-4677</t>
  </si>
  <si>
    <t>1472-4669</t>
  </si>
  <si>
    <t>Geobiology</t>
  </si>
  <si>
    <t>10.1111/j.1472-4669.2011.00279.x</t>
  </si>
  <si>
    <t>Biology; Environmental Sciences; Geosciences, Multidisciplinary</t>
  </si>
  <si>
    <t>Life Sciences &amp; Biomedicine - Other Topics; Environmental Sciences &amp; Ecology; Geology</t>
  </si>
  <si>
    <t>752YC</t>
  </si>
  <si>
    <t>WOS:000289730400006</t>
  </si>
  <si>
    <t>Kilfeather, AA; Cofaigh, CO; Lloyd, JM; Dowdeswell, JA; Xu, S; Moreton, SG</t>
  </si>
  <si>
    <t>Kilfeather, Aoibheann A.; Cofaigh, Colm O.; Lloyd, Jerry M.; Dowdeswell, Julian A.; Xu, Sheng; Moreton, Steven G.</t>
  </si>
  <si>
    <t>Ice-stream retreat and ice-shelf history in Marguerite Trough, Antarctic Peninsula: Sedimentological and foraminiferal signatures</t>
  </si>
  <si>
    <t>LAST GLACIAL MAXIMUM; RADIOCARBON AGE CALIBRATION; SEA-LEVEL RECORD; CAL KYR BP; CONTINENTAL-SHELF; PALMER-DEEP; PALEOENVIRONMENTAL CHANGE; SEDIMENTARY PROCESSES; MARINE SEDIMENTATION; HOLOCENE RETREAT</t>
  </si>
  <si>
    <t>The timing, nature, and causes of grounded ice-sheet retreat following the Last Glacial Maximum (LGM) in Marguerite Trough, west Antarctic Peninsula, and subsequent early Holocene ice-shelf decay, are presented in this paper. We use sedimentological, foraminiferal, geotechnical, and accelerator mass spectrometer (AMS) radiocarbon data from marine cores from the mid-continental shelf, together with previously published AMS dates, to establish a sedimentological and chronological model. Initial ice-sheet retreat through the outer-and mid-shelf sectors of Marguerite Trough was under way by ca. 14 ka B.P., was rapid, and coincided with the sea-level rise of meltwater pulse 1a. An ice shelf formed during this retreat, and fine-grained, laminated muds reflecting meltwater-derived suspension settling and/or tidal pumping were deposited. During this time the ice sheet remained grounded on the inner shelf. Ice-shelf breakup and retreat of the calving front, from ca. 13.2 to 12.5 ka B.P., was slow (similar to 100 m a(-1)) across the outer- and mid-shelf, with calving bay conditions remaining for at least 3.5 ka. We interpret this ice-shelf decay to have been driven by an incursion of Weddell Sea Transitional Water onto the shelf. In contrast, grounding-line and ice-shelf retreat in the inner bay occurred from ca. 9.3 ka B.P. and was driven by Circumpolar Warm Deep Water encroaching onto the continental shelf. At this time the mid-shelf was an open-marine environment characterized by hemipelagic deposition. These findings highlight the importance of oceanographic controls in the breakup of Antarctic Peninsula ice shelves during the Holocene.</t>
  </si>
  <si>
    <t>[Kilfeather, Aoibheann A.; Cofaigh, Colm O.; Lloyd, Jerry M.] Univ Durham, Dept Geog, Durham DH1 3LE, England; [Dowdeswell, Julian A.] Univ Cambridge, Scott Polar Res Inst, Cambridge CB2 1ER, England; [Xu, Sheng] Scottish Univ Environm Res Ctr, E Kilbride G75 0QF, Lanark, Scotland; [Moreton, Steven G.] NERC Radiocarbon Facil Environm, Glasgow G75 0QF, Lanark, Scotland</t>
  </si>
  <si>
    <t>Durham University; University of Cambridge; Scottish Universities Research &amp; Reactor Center; UK Research &amp; Innovation (UKRI); Natural Environment Research Council (NERC); NERC British Geological Survey</t>
  </si>
  <si>
    <t>Kilfeather, AA (corresponding author), Univ Durham, Dept Geog, Sci Site,South Rd, Durham DH1 3LE, England.</t>
  </si>
  <si>
    <t>a.a.kilfeather@durham.ac.uk</t>
  </si>
  <si>
    <t>Moreton, Steven G/C-2373-2009</t>
  </si>
  <si>
    <t>Moreton, Steven G/0000-0002-8030-2433; Dowdeswell, Julian/0000-0003-1369-9482</t>
  </si>
  <si>
    <t>Natural Environment Research Council (NERC) Durham and Cambridge [NE/D001951/1, NE/C506372/1]; NERC Radiocarbon Facility (NRCF) [1283.0408]; Natural Environment Research Council [NE/C506372/1, bosc01001, NE/D001951/1, NRCF010001] Funding Source: researchfish; NERC [NRCF010001, bosc01001, NE/D001951/1] Funding Source: UKRI</t>
  </si>
  <si>
    <t>Natural Environment Research Council (NERC) Durham and Cambridge(UK Research &amp; Innovation (UKRI)Natural Environment Research Council (NERC)); NERC Radiocarbon Facility (NRCF); Natural Environment Research Council(UK Research &amp; Innovation (UKRI)Natural Environment Research Council (NERC)); NERC(UK Research &amp; Innovation (UKRI)Natural Environment Research Council (NERC))</t>
  </si>
  <si>
    <t>This research has been funded by Natural Environment Research Council (NERC) grants NE/D001951/1 Durham and Cambridge and NE/C506372/1 Cambridge. Radiocarbon analyses were funded by NERC Radiocarbon Facility (NRCF) allocation number 1283.0408; the samples were prepared at the NERC NRCF and analyzed at the Scottish Universities Environmental Research Center AMS Laboratory, East Kilbride; we acknowledge the assistance of Callum Murray in preparing the samples. X-radiographs were made at the British Geological Survey, Edinburgh, with the assistance of Graham Tulloch. We thank Anne Jennings and Guillaume St-Onge for helpful discussions during the development of this paper. We thank Stephen Livingstone (Durham) for assistance with Figure 2. The comments of three anonymous reviewers and the Associate Editor Jon Major have helped to improve this manuscript.</t>
  </si>
  <si>
    <t>10.1130/B30282.1</t>
  </si>
  <si>
    <t>740KN</t>
  </si>
  <si>
    <t>WOS:000288792500013</t>
  </si>
  <si>
    <t>Whittaker, TE; Hendy, CH; Hellstrom, JC</t>
  </si>
  <si>
    <t>Whittaker, Thomas E.; Hendy, Chris H.; Hellstrom, John C.</t>
  </si>
  <si>
    <t>Abrupt millennial-scale changes in intensity of Southern Hemisphere westerly winds during marine isotope stages 2-4</t>
  </si>
  <si>
    <t>ANTARCTIC COLD REVERSAL; LAST GLACIAL MAXIMUM; NEW-ZEALAND CLIMATE; LATE PLEISTOCENE; ATMOSPHERIC CO2; HEINRICH EVENTS; YOUNGER DRYAS; MIS 2; CHRONOLOGY; ATLANTIC</t>
  </si>
  <si>
    <t>The strength of mid-southern latitude westerly atmospheric circulation plays an important role in global climate. Due to a lack of long, continuous, high-resolution paleoclimate archives from mid-southern latitudes, it remains unclear what factors control changes in its intensity and how past changes affected the climates of landmasses in their path. Here we show growth rate and stable isotope (delta O-18, delta C-13) profiles from a South Island, New Zealand, stalagmite (HW3) that permit centennial-scale investigation of Southern Hemisphere westerly paleointensity between 73 and 11 ka. Correlation between HW3 growth rate and isotope profiles suggests sensitivity to changes in annual precipitation, a factor controlled by westerly intensity. Low growth rates and relatively enriched isotope ratios define long-term trends in HW3, supporting existing evidence that weaker westerlies predominated during the last glacial period. Abrupt millennial-scale events occur frequently, such that the HW3 record resembles Greenland ice core stable isotope profiles. Furthermore, nearly synchronous timing of nine prominent wet and cool intervals with Heinrich events supports studies showing that increased westerly intensity is closely linked to North Atlantic cooling. As well as Heinrich events, the HW3 profiles also show an Antarctic Cold Reversal-like event during deglaciation, advocating for a bipolar seesaw of global climate at that time.</t>
  </si>
  <si>
    <t>[Whittaker, Thomas E.; Hendy, Chris H.] Univ Waikato, Dept Chem, Hamilton, New Zealand; [Hellstrom, John C.] Univ Melbourne, Sch Earth Sci, Melbourne, Vic 3010, Australia</t>
  </si>
  <si>
    <t>University of Waikato; University of Melbourne; Melbourne Bioinformatics</t>
  </si>
  <si>
    <t>Whittaker, TE (corresponding author), Univ New Mexico, Dept Earth &amp; Planetary Sci, Albuquerque, NM 87131 USA.</t>
  </si>
  <si>
    <t>twhittak@unm.edu</t>
  </si>
  <si>
    <t>Hellstrom, John C/B-1770-2008</t>
  </si>
  <si>
    <t>Hellstrom, John/0000-0001-9427-3525</t>
  </si>
  <si>
    <t>Gary Comer Science and Education Foundation</t>
  </si>
  <si>
    <t>Cave sampling was conducted with permission from the Department of Conservation, New Zealand, and with the assistance of R. Bromley. We are grateful to M. Vandergoes for comments that improved the manuscript. This work is supported by a Gary Comer Science and Education Foundation Grant to Hendy.</t>
  </si>
  <si>
    <t>10.1130/G31827.1</t>
  </si>
  <si>
    <t>748TX</t>
  </si>
  <si>
    <t>WOS:000289416500016</t>
  </si>
  <si>
    <t>Bentley, MJ; Sugden, DE; Fogwill, CJ; Le Brocq, AM; Hubbard, AL; Dunai, TJ; Freeman, SPHT</t>
  </si>
  <si>
    <t>Bentley, Michael J.; Sugden, David E.; Fogwill, Christopher J.; Le Brocq, Anne M.; Hubbard, Alun L.; Dunai, Tibor J.; Freeman, Stewart P. H. T.</t>
  </si>
  <si>
    <t>Deglacial history of the West Antarctic Ice Sheet in the Weddell Sea embayment: Constraints on past ice volume change: REPLY</t>
  </si>
  <si>
    <t>EROSION</t>
  </si>
  <si>
    <t>[Bentley, Michael J.] Univ Durham, Dept Geog, Durham DH1 3LE, England; [Sugden, David E.] Univ Edinburgh, Sch Geosci, Edinburgh EH9 8XP, Midlothian, Scotland; [Fogwill, Christopher J.; Le Brocq, Anne M.] Univ Exeter, Coll Life &amp; Environm Sci, Exeter EX4 4RJ, Devon, England; [Hubbard, Alun L.] Aberystwyth Univ, Inst Geog &amp; Earth Sci, Aberystwyth SY23 3DB, Dyfed, Wales; [Dunai, Tibor J.] Univ Cologne, Inst Geol &amp; Mineral, D-50674 Cologne, Germany; [Freeman, Stewart P. H. T.] Scottish Univ Environm Res Ctr, E Kilbride G75 0QF, Lanark, Scotland</t>
  </si>
  <si>
    <t>Durham University; University of Edinburgh; University of Exeter; Aberystwyth University; University of Cologne; Scottish Universities Research &amp; Reactor Center</t>
  </si>
  <si>
    <t>Bentley, MJ (corresponding author), Univ Durham, Dept Geog, South Rd, Durham DH1 3LE, England.</t>
  </si>
  <si>
    <t>Fogwill, Chris/AAW-3502-2021; Bentley, Michael J/F-7386-2011; Fogwill, Christopher/HPF-1150-2023; Dunai, Tibor J/E-9558-2012; Freeman, Stewart/AAA-6544-2020; Hubbard, Alun/R-5085-2017</t>
  </si>
  <si>
    <t>Fogwill, Chris/0000-0002-6471-1106; Bentley, Michael J/0000-0002-2048-0019; Freeman, Stewart/0000-0001-6148-3171; Hubbard, Alun/0000-0002-0503-3915; Dunai, Tibor Janos/0000-0001-8858-2401</t>
  </si>
  <si>
    <t>NERC [NE/F014252/1, NE/E018254/1, NE/F014260/1] Funding Source: UKRI; Natural Environment Research Council [NE/F014252/1, NER/G/S/2003/00020, NE/F014260/1, NE/E018254/1, NER/G/S/2003/00141] Funding Source: researchfish</t>
  </si>
  <si>
    <t>E240</t>
  </si>
  <si>
    <t>10.1130/G32140Y.1</t>
  </si>
  <si>
    <t>WOS:000289416500004</t>
  </si>
  <si>
    <t>Clark, PU</t>
  </si>
  <si>
    <t>Clark, Peter U.</t>
  </si>
  <si>
    <t>Deglacial history of the West Antarctic Ice Sheet in the Weddell Sea embayment: Constraints on past ice volume change: COMMENT</t>
  </si>
  <si>
    <t>MARIE-BYRD-LAND; EXPOSURE AGES; WEATHERING ZONES; GLACIAL EROSION; BAFFIN-ISLAND; VICTORIA LAND; BE-10; MOUNTAINS; TORS</t>
  </si>
  <si>
    <t>Oregon State Univ, Dept Geosci, Corvallis, OR 97331 USA</t>
  </si>
  <si>
    <t>Oregon State University</t>
  </si>
  <si>
    <t>Clark, PU (corresponding author), Oregon State Univ, Dept Geosci, Corvallis, OR 97331 USA.</t>
  </si>
  <si>
    <t>Natural Environment Research Council [NE/E018254/1, NE/F014252/1] Funding Source: researchfish; NERC [NE/F014252/1, NE/E018254/1] Funding Source: UKRI</t>
  </si>
  <si>
    <t>E239</t>
  </si>
  <si>
    <t>10.1130/G31533C.1</t>
  </si>
  <si>
    <t>WOS:000289416500003</t>
  </si>
  <si>
    <t>Giuliani, S; Capotondi, L; Maffioli, P; Langone, L; Giglio, F; Yam, R; Frignani, M; Ravaioli, M</t>
  </si>
  <si>
    <t>Giuliani, Silvia; Capotondi, Lucilla; Maffioli, Paola; Langone, Leonardo; Giglio, Federico; Yam, Ruth; Frignani, Mauro; Ravaioli, Mariangela</t>
  </si>
  <si>
    <t>Paleoenvironmental changes in the Pacific sector of the Southern Ocean (Antarctica) during the past 2.6 Ma</t>
  </si>
  <si>
    <t>paleoenvironment; diatom productivity; Southern Ocean; Pleistocene; Polar Front</t>
  </si>
  <si>
    <t>GLACIAL-INTERGLACIAL CHANGES; LATE QUATERNARY VARIATIONS; SEA-SURFACE TEMPERATURE; ICE-RAFTED DEBRIS; ATLANTIC SECTOR; DIATOM BIOSTRATIGRAPHY; ISOTOPIC COMPOSITION; HOLOCENE CLIMATE; ATMOSPHERIC CO2; INDIAN SECTOR</t>
  </si>
  <si>
    <t>Two deep-sea cores (ANTA95-157 and ANTA98-1) were collected in the Pacific sector of the Southern Ocean across the present-day position of the Antarctic Polar Front Zone (APFZ) to document paleoenvironmental changes during the last 2.60 Ma. The stratigraphic framework was established using a combination of diatom marker species, Accelerator Mass Spectrometry CAMS) C-14 datings, magnetostratigraphy, and oxygen stable isotopes. The study was based on carbon and nitrogen isotopes of diatom-bound organic matter, dry bulk density, magnetic susceptibility, carbonates and biogenic silica contents. Large continental inputs were recorded during glacial periods and major iceberg melting occurred at 2.45 Ma and during the Middle Pleistocene Revolution (MPR) time interval. Diatom production increased during the Early Pleistocene and remained significant ever since, with the exception of the MPR period and immediately before. Lower glacial diatom productivity linked to higher nitrogen utilization might have characterized the period between Marine Isotope Stages (MISs) 15-13 (0.6 and 0.5 Ma), whereas succeeding glacial stages experienced an increase of diatom productivity promoted by the inflow of nutrient-rich deep waters. The low diatom production observed during interglacial stage 11 could be explained with a southward shift (up to 40) of the Polar Front (PF) with respect to its present position. Paleoproductivity levels have been confirmed as lower than those measured in other sectors of the Southern Ocean, with reduced differences among glacial and interglacial stages. (C) 2011 Elsevier B.V. All rights reserved.</t>
  </si>
  <si>
    <t>[Giuliani, Silvia; Capotondi, Lucilla; Langone, Leonardo; Giglio, Federico; Frignani, Mauro; Ravaioli, Mariangela] ISMAR Marine Sci Inst, CNR Natl Res Council Italy, Bologna, Italy; [Maffioli, Paola] Univ Milano Bicocca, Dept Geol Sci &amp; Geotechnol, I-20126 Milan, Italy; [Yam, Ruth] Weizmann Inst Sci, ESER, IL-76100 Rehovot, Israel</t>
  </si>
  <si>
    <t>Consiglio Nazionale delle Ricerche (CNR); Istituto di Scienze Marine (ISMAR-CNR); University of Milano-Bicocca; Weizmann Institute of Science</t>
  </si>
  <si>
    <t>Giuliani, S (corresponding author), ISMAR Marine Sci Inst, CNR Natl Res Council Italy, Bologna, Italy.</t>
  </si>
  <si>
    <t>silvia.giuliani@bo.ismar.cnr.it</t>
  </si>
  <si>
    <t>Lucilla, Capotondi/C-8874-2015; , leonardo.langone@ismar.cnr.it/D-8139-2011; Ravaioli, Mariangela/B-7589-2015; CNR, Ismar/P-1247-2014; GIULIANI, SILVIA/E-4164-2018</t>
  </si>
  <si>
    <t>Lucilla, Capotondi/0000-0003-3282-7910; Ravaioli, Mariangela/0000-0001-6858-8013; CNR, Ismar/0000-0001-5351-1486; GIULIANI, SILVIA/0000-0001-8101-1868</t>
  </si>
  <si>
    <t>10.1016/j.gloplacha.2011.02.008</t>
  </si>
  <si>
    <t>787ET</t>
  </si>
  <si>
    <t>WOS:000292360100005</t>
  </si>
  <si>
    <t>Lauro, FM; DeMaere, MZ; Yau, S; Brown, MV; Ng, C; Wilkins, D; Raftery, MJ; Gibson, JAE; Andrews-Pfannkoch, C; Lewis, M; Hoffman, JM; Thomas, T; Cavicchioli, R</t>
  </si>
  <si>
    <t>Lauro, Federico M.; DeMaere, Matthew Z.; Yau, Sheree; Brown, Mark V.; Ng, Charmaine; Wilkins, David; Raftery, Mark J.; Gibson, John A. E.; Andrews-Pfannkoch, Cynthia; Lewis, Matthew; Hoffman, Jeffrey M.; Thomas, Torsten; Cavicchioli, Ricardo</t>
  </si>
  <si>
    <t>An integrative study of a meromictic lake ecosystem in Antarctica</t>
  </si>
  <si>
    <t>ISME JOURNAL</t>
  </si>
  <si>
    <t>metagenomics/metaproteomics; Antarctic meromictic lake; green sulfur bacteria; virus/phage; nutrient cycle; Lotka-Volterra predator-prey model</t>
  </si>
  <si>
    <t>ACE LAKE; DATABASE; COMMUNITY; MICRODIVERSITY; POPULATION; PROTEOMICS; DIVERSITY; EVOLUTION; NITROGEN; HOLOCENE</t>
  </si>
  <si>
    <t>In nature, the complexity and structure of microbial communities varies widely, ranging from a few species to thousands of species, and from highly structured to highly unstructured communities. Here, we describe the identity and functional capacity of microbial populations within distinct layers of a pristine, marine-derived, meromictic (stratified) lake (Ace Lake) in Antarctica. Nine million open reading frames were analyzed, representing microbial samples taken from six depths of the lake size fractionated on sequential 3.0, 0.8 and 0.1 mu m filters, and including metaproteome data from matching 0.1 mu m filters. We determine how the interactions of members of this highly structured and moderately complex community define the biogeochemical fluxes throughout the entire lake. Our view is that the health of this delicate ecosystem is dictated by the effects of the polar light cycle on the dominant role of green sulfur bacteria in primary production and nutrient cycling, and the influence of viruses/phage and phage resistance on the cooperation between members of the microbial community right throughout the lake. To test our assertions, and develop a framework applicable to other microbially driven ecosystems, we developed a mathematical model that describes how cooperation within a microbial system is impacted by periodic fluctuations in environmental parameters on key populations of microorganisms. Our study reveals a mutualistic structure within the microbial community throughout the lake that has arisen as the result of mechanistic interactions between the physico-chemical parameters and the selection of individual members of the community. By exhaustively describing and modelling interactions in Ace Lake, we have developed an approach that may be applicable to learning how environmental perturbations affect the microbial dynamics in more complex aquatic systems. The ISME Journal (2011) 5, 879-895; doi:10.1038/ismej.2010.185; published online 2 December 2010</t>
  </si>
  <si>
    <t>[Lauro, Federico M.; DeMaere, Matthew Z.; Yau, Sheree; Brown, Mark V.; Ng, Charmaine; Wilkins, David; Thomas, Torsten; Cavicchioli, Ricardo] Univ New S Wales, Sch Biotechnol &amp; Biomol Sci, Sydney, NSW 2052, Australia; [Raftery, Mark J.] Univ New S Wales, Bioanalyt Mass Spectrometry Facil, Sydney, NSW 2052, Australia; [Gibson, John A. E.] Univ Tasmania, Tasmanian Aquaculture &amp; Fisheries Inst, Marine Res Labs, Hobart, Tas, Australia; [Andrews-Pfannkoch, Cynthia; Lewis, Matthew; Hoffman, Jeffrey M.] J Craig Venter Inst, Rockville, MD USA; [Thomas, Torsten] Univ New S Wales, Ctr Marine Bioinnovat, Sydney, NSW 2052, Australia</t>
  </si>
  <si>
    <t>University of New South Wales Sydney; University of New South Wales Sydney; University of Tasmania; J. Craig Venter Institute; University of New South Wales Sydney</t>
  </si>
  <si>
    <t>Yau, Sheree/AAX-9078-2021; Lauro, Federico/X-2420-2019; DeMaere, Matthew Zachariah/D-9002-2012; Cavicchioli, Ricardo/D-4341-2013</t>
  </si>
  <si>
    <t>Yau, Sheree/0000-0003-1878-132X; Lauro, Federico/0000-0002-8373-1014; DeMaere, Matthew Zachariah/0000-0002-7601-5108; Ng, Charmaine/0000-0003-3026-0009; Wilkins, David/0000-0002-3385-8981; Cavicchioli, Ricardo/0000-0001-8989-6402; Thomas, Torsten/0000-0001-9557-3001</t>
  </si>
  <si>
    <t>Australian Research Council; Australian Antarctic Division; University of New South Wales; NSW Government; Gordon and Betty Moore Foundation</t>
  </si>
  <si>
    <t>Australian Research Council(Australian Research Council); Australian Antarctic Division; University of New South Wales; NSW Government; Gordon and Betty Moore Foundation(Gordon and Betty Moore Foundation)</t>
  </si>
  <si>
    <t>We thank J Craig Venter, Karla Heidelberg, John Bowman, Louise (Cromer) Newman, Anthony Hull, John Rich, Martin Riddle, Jing Guan, Joachim Mai and Tassia Kolesnikow for assisting our Antarctic program. We thank the reviewers who provided very constructive critiques during the review process. The work of the Australian contingent was supported by the Australian Research Council, the Australian Antarctic Division, the University of New South Wales and NSW Government. The work of JCVI members was supported by funding from the Gordon and Betty Moore Foundation.</t>
  </si>
  <si>
    <t>SPRINGERNATURE</t>
  </si>
  <si>
    <t>CAMPUS, 4 CRINAN ST, LONDON, N1 9XW, ENGLAND</t>
  </si>
  <si>
    <t>1751-7362</t>
  </si>
  <si>
    <t>1751-7370</t>
  </si>
  <si>
    <t>ISME J</t>
  </si>
  <si>
    <t>ISME J.</t>
  </si>
  <si>
    <t>10.1038/ismej.2010.185</t>
  </si>
  <si>
    <t>Ecology; Microbiology</t>
  </si>
  <si>
    <t>Environmental Sciences &amp; Ecology; Microbiology</t>
  </si>
  <si>
    <t>756OL</t>
  </si>
  <si>
    <t>WOS:000290022500011</t>
  </si>
  <si>
    <t>Zheng, QH; Fok, MC; Albert, J; Horne, RB; Meredith, NP</t>
  </si>
  <si>
    <t>Zheng, Qiuhua; Fok, Mei-Ching; Albert, Jay; Horne, Richard B.; Meredith, Nigel P.</t>
  </si>
  <si>
    <t>Effects of energy and pitch angle mixed diffusion on radiation belt electrons</t>
  </si>
  <si>
    <t>Mixed diffusion; Radiation belt</t>
  </si>
  <si>
    <t>RELATIVISTIC ELECTRONS; COEFFICIENTS; ACCELERATION; WAVES; MAGNETOSPHERE; PLASMA; FIELD; EQUATIONS; TERMS; STORM</t>
  </si>
  <si>
    <t>Understanding the dynamics of the Earth's radiation belts is important for modeling and forecasting the intensities of energetic electrons in space. Wave diffusion processes are known to be responsible for loss and acceleration of electrons in the radiation belts. Several recent studies indicate pitch angle and energy mixed-diffusion are also important when considering the total diffusive effects. In this study, a two-dimensional Fokker Planck equation is solved numerically using the Alternating Direction Implicit method. Mixed diffusion due to whistler-mode chorus waves tends to slow down the total diffusion in the energy-pitch angle space, particularly at smaller equatorial pitch angles. We then incorporate the electron energy and pitch angle mixed diffusions due to whistler-model chorus waves into the 4-dimensional Radiation Belt Environment (RBE) model and study the effect of mixed diffusion during a storm in October 2002. The 4-D simulation results show that energy and pitch angle mixed diffusion decrease the electron fluxes in the outer belt while electron fluxes in the slot region are enhanced (up to a factor of 2) during storm time. (C) 2011 Elsevier Ltd. All rights reserved.</t>
  </si>
  <si>
    <t>[Zheng, Qiuhua; Fok, Mei-Ching] NASA, Goddard Space Flight Ctr, Greenbelt, MD 20771 USA; [Zheng, Qiuhua] Univ Maryland, Dept Astron, College Pk, MD 20742 USA; [Albert, Jay] USAF, Space Vehicles Directorate, Res Lab, Hanscom AFB, MA USA; [Horne, Richard B.; Meredith, Nigel P.] British Antarctic Survey, Div Phys Sci, Cambridge CB3 0ET, England</t>
  </si>
  <si>
    <t>National Aeronautics &amp; Space Administration (NASA); NASA Goddard Space Flight Center; University System of Maryland; University of Maryland College Park; United States Department of Defense; United States Air Force; UK Research &amp; Innovation (UKRI); Natural Environment Research Council (NERC); NERC British Antarctic Survey</t>
  </si>
  <si>
    <t>Zheng, QH (corresponding author), NASA, Goddard Space Flight Ctr, Code 673, Greenbelt, MD 20771 USA.</t>
  </si>
  <si>
    <t>qiuhua.zheng@nasa.gov</t>
  </si>
  <si>
    <t>Horne, Richard B/U-3764-2019; Meredith, Nigel P/C-5806-2018; Albert, Jay/AAV-6860-2020; Fok, Mei-Ching/D-1626-2012</t>
  </si>
  <si>
    <t>Horne, Richard B/0000-0002-0412-6407; Albert, Jay/0000-0001-9494-7630; Fok, Mei-Ching/0000-0001-9500-866X; Meredith, Nigel/0000-0001-5032-3463</t>
  </si>
  <si>
    <t>NASA Science Mission Directorate, Heliophysics Division [936723.02.01.06.78, 936723.02.01.01.27]; NSF [ATM-0852508]; Directorate For Geosciences; Div Atmospheric &amp; Geospace Sciences [0852508] Funding Source: National Science Foundation; Natural Environment Research Council [bas0100023] Funding Source: researchfish; NERC [bas0100023] Funding Source: UKRI</t>
  </si>
  <si>
    <t>NASA Science Mission Directorate, Heliophysics Division(National Aeronautics &amp; Space Administration (NASA)); NSF(National Science Foundation (NSF)); Directorate For Geosciences; Div Atmospheric &amp; Geospace Sciences(National Science Foundation (NSF)NSF - Directorate for Geosciences (GEO)); Natural Environment Research Council(UK Research &amp; Innovation (UKRI)Natural Environment Research Council (NERC)); NERC(UK Research &amp; Innovation (UKRI)Natural Environment Research Council (NERC))</t>
  </si>
  <si>
    <t>We like to thank Zhenpeng Su for useful discussions and Daniel Ober for providing the plasmasphere model. Real-time ACE data are available from the NOAA Space Weather Prediction Center. SAMPEX data are provided by Shri Kanekal. This research is supported by NASA Science Mission Directorate, Heliophysics Division, Living With a Star Targeted Research and Technology program, under Work Breakdown Structure: 936723.02.01.06.78, 936723.02.01.01.27 and the NSF grant ATM-0852508.</t>
  </si>
  <si>
    <t>10.1016/j.jastp.2011.01.014</t>
  </si>
  <si>
    <t>755HO</t>
  </si>
  <si>
    <t>WOS:000289919900008</t>
  </si>
  <si>
    <t>Plourde, S; Winkler, G; Joly, P; St-Pierre, JF; Starr, M</t>
  </si>
  <si>
    <t>Plourde, Stephane; Winkler, Gesche; Joly, Pierre; St-Pierre, Jean-Francois; Starr, Michel</t>
  </si>
  <si>
    <t>Long-term seasonal and interannual variations of krill spawning in the lower St Lawrence estuary, Canada, 1979-2009</t>
  </si>
  <si>
    <t>krill; long-term variability; spawning; seasonal pattern; reproduction; euphausiids; egg</t>
  </si>
  <si>
    <t>MEGANYCTIPHANES-NORVEGICA; CALANUS-FINMARCHICUS; ANTARCTIC KRILL; NORTHERN KRILL; EGG-PRODUCTION; LIFE-CYCLE; GULF; EUPHAUSIIDS; AGGREGATION; VARIABILITY</t>
  </si>
  <si>
    <t>This study describes the long-term seasonal and interannual variations in krill spawning using abundance of krill eggs collected during an on-going long-term monitoring program at an anchor station in the lower St Lawrence Estuary from 1992 to 2009 and data collected in the same region in 1979 to 1980. The long-term seasonal semi-monthly climatology in egg abundance revealed that krill generally reproduced during two periods, i.e. in late spring (mid-May to late June) and in late summer (August to mid-September), when phytoplankton biomass in the upper 50 m was greater than 75 mg chlorophyll a m(-2). The identification of krill eggs to the species level in 2007 revealed that Meganyctiphanes norvegica egg abundance was related to the biomass of phytoplankton averaged over the month prior to sampling, corresponding to the duration of one spawning cycle (two intermolt periods) known for this species. Overall krill egg abundance varied significantly between years, showing high abundance every 3-5 years with no long-term interannual trend. The annual mean egg abundance normalized for the duration of krill spawning showed the same interannual long-term pattern. Both egg abundance indices were independent of the annual phytoplankton biomass, indicating that interannual variations in krill spawning biomass would be the most likely candidate to explain interannual variability in egg abundance. We propose that such normalized annual egg abundance based on high-resolution seasonal sampling could be a useful index of interannual variations in krill spawning biomass which is otherwise difficult to sample.</t>
  </si>
  <si>
    <t>[Plourde, Stephane; Joly, Pierre; St-Pierre, Jean-Francois; Starr, Michel] Fisheries &amp; Oceans Canada, Inst Maurice Lamontagne, Mont Joli, PQ G5H 3Z4, Canada; [Winkler, Gesche] Univ Quebec, Inst Sci Mer, Rimouski, PQ G5L 3A1, Canada</t>
  </si>
  <si>
    <t>Fisheries &amp; Oceans Canada; University of Quebec</t>
  </si>
  <si>
    <t>Plourde, S (corresponding author), Fisheries &amp; Oceans Canada, Inst Maurice Lamontagne, Mont Joli, PQ G5H 3Z4, Canada.</t>
  </si>
  <si>
    <t>stephane.plourde@dfo-mpo.gc.ca</t>
  </si>
  <si>
    <t>Winkler, Gesche/0000-0002-9865-4576</t>
  </si>
  <si>
    <t>Department of Fisheries and Oceans of Canada</t>
  </si>
  <si>
    <t>This work was supported by the Department of Fisheries and Oceans of Canada.</t>
  </si>
  <si>
    <t>10.1093/plankt/fbq144</t>
  </si>
  <si>
    <t>745VO</t>
  </si>
  <si>
    <t>WOS:000289198500003</t>
  </si>
  <si>
    <t>Augustinus, P; D'Costa, D; Deng, YB; Hagg, J; Shane, P</t>
  </si>
  <si>
    <t>Augustinus, Paul; D'Costa, Donna; Deng, Yanbin; Hagg, Joseph; Shane, Phil</t>
  </si>
  <si>
    <t>A multi-proxy record of changing environments from ca. 30 000 to 9000 cal. a BP: Onepoto maar palaeolake, Auckland, New Zealand</t>
  </si>
  <si>
    <t>LGCP; Last Glacial-Interglacial Transition (LGIT); multi-proxy; Onepoto maar; New Zealand</t>
  </si>
  <si>
    <t>LAST GLACIAL MAXIMUM; SEDIMENTARY ORGANIC-MATTER; NORTHERN NEW-ZEALAND; CLIMATE-CHANGE; LATE QUATERNARY; YOUNGER DRYAS; SOUTHERN-HEMISPHERE; POLLEN RECORD; SOUTHWEST PACIFIC; VEGETATION CHANGE</t>
  </si>
  <si>
    <t>We present a high-resolution record of lacustrine sedimentation spanning ca. 30 000 to 9000 cal. a BP from Onepoto maar, northern North Island, New Zealand. The multi-proxy record of environmental change is constrained by tephrochronology and accelerator mass spectrometric C-14 ages and provides evidence for episodes of rapid environmental change during the Last Glacial Coldest Period (LGCP) and Last Glacial-Interglacial Transition (LGIT) from northern New Zealand. The multi-proxy palaeoenvironmental record from Onepoto indicates that the LGCP was cold, dry and windy in the Auckland region, with vegetation dominated by herb and grass in a beech forest mosaic between ca. 28 500 and 18 000 cal. a BP. The LGCP was accompanied by more frequent fires and influx of clastic sediment indicating increased erosion during the LGCP, with a mid-LGCP interstadial identified between ca. 25 000 and 23 000 cal. a BP. Rapid climate amelioration at ca. 18 000 cal. a BP was accompanied by increased terrestrial biomass exemplified by the expansion of lowland podocarp forest, especially Dacrydium cupressinum. Increasing biomass production is reversed briefly by LGIT perturbations which are apparent in many of the proxies that span ca. 14 000-10 500 cal. a BP, suggesting generally increased wetness and higher in situ aquatic plant productivity with reduced terrestrial organic matter and terrigenous detrital influx. Furthermore, conditions at that time were probably warmer and frosts rare based on the increasing importance of Ascarina. The subsequent early Holocene is characterised by podocarp conifer forest and moist mild conditions. Postglacial sea-level rise breached the crater rim and deposited 36 m of estuarine mud after ca. 9000 cal. a BP. Copyright (C) 2011 John Wiley &amp; Sons, Ltd.</t>
  </si>
  <si>
    <t>[Augustinus, Paul; D'Costa, Donna; Hagg, Joseph; Shane, Phil] Univ Auckland, Sch Environm, Auckland 1, New Zealand; [Deng, Yanbin] Univ Auckland, Sch Biol Sci, Auckland 1, New Zealand</t>
  </si>
  <si>
    <t>University of Auckland; University of Auckland</t>
  </si>
  <si>
    <t>Augustinus, P (corresponding author), Univ Auckland, Sch Environm, Auckland 1, New Zealand.</t>
  </si>
  <si>
    <t>p.augustinus@auckland.ac.nz</t>
  </si>
  <si>
    <t>Augustinus, Paul/B-5125-2011; Shane, Phil/HKV-7633-2023</t>
  </si>
  <si>
    <t>Shane, Phil/0000-0002-7824-1184; Augustinus, Paul/0000-0002-1391-2151</t>
  </si>
  <si>
    <t>University of Auckland Research Committee [3604411, 3602487]; Australian Institute of Nuclear Science and Engineering [05/004]; Royal Society of New Zealand [UOA0517]</t>
  </si>
  <si>
    <t>University of Auckland Research Committee; Australian Institute of Nuclear Science and Engineering; Royal Society of New Zealand(Royal Society of New Zealand)</t>
  </si>
  <si>
    <t>We would like to thank the University of Auckland Research Committee (grants 3604411 and 3602487), Australian Institute of Nuclear Science and Engineering (grant 05/004) and the Royal Society of New Zealand Marsden Fund (grant UOA0517) for financial support for this project. Abbreviations. ACR, Antarctic Cold Reversal; AMS, accelerator mass spectrometry; BGS, biogenic silica; D-O, Dansgaard-Oeschger; EDML, EPICA Dronning Maud Land; eLGM, extended LGM; LGCP, Last Glacial Coldest Period; LGIT, Last Glacial-Interglacial Transition; LGM, Last Glacial Maximum; LPG, log-transformed lowland podocarp to grass pollen ratio; NWSI, northwest South Island; SST, sea surface temperatures; TN, total nitrogen; TOC, Total organic carbon; TVZ, Taupo Volcanic Zone; YDC, Younger Dryas chronozone.</t>
  </si>
  <si>
    <t>10.1002/jqs.1463</t>
  </si>
  <si>
    <t>777DL</t>
  </si>
  <si>
    <t>WOS:000291595200004</t>
  </si>
  <si>
    <t>Klevjer, TA; Kaartvedt, S</t>
  </si>
  <si>
    <t>Klevjer, Thor A.; Kaartvedt, Stein</t>
  </si>
  <si>
    <t>Krill (Meganyctiphanes norvegica) swim faster at night</t>
  </si>
  <si>
    <t>DIEL VERTICAL MIGRATION; NORTHERN WEDDELL SEA; IN-SITU; EUPHAUSIA-PACIFICA; ACOUSTIC OBSERVATIONS; BEHAVIOR; ZOOPLANKTON; SPEED; SUPERBA</t>
  </si>
  <si>
    <t>Krill are key members in marine food webs, and measurement of swimming speed is vital to assess their bioenergetic budgets, feeding, and encounters with predators. We document a consistent and marked diel signal in swimming speed of krill in their natural habitat that is not related to diel vertical migration. The results were obtained using a bottom-mounted, upward-looking echo sounder at 150-m depth in the Oslofjord, Norway, spanning 5 months from late autumn to spring at a temporal resolution of similar to 1-2 records s(-1). Swimming speed was assessed using acoustic target tracking of individual krill. At the start of the registration period, both daytime and nocturnal average swimming speeds of Meganyctiphanes norvegica were similar to 3.5 cm s(-1) (similar to 1 body lengths ([bl] s(-1)) in waters with oxygen concentrations of similar to 15-20% O-2 saturation. Following intrusion of more oxygenated water, nocturnal average swimming speeds increased to similar to 10 cm s(-1) (similar to 3 bl s(-1)), i.e., more than double that of daytime swimming speeds in the same period. We hypothesize that krill activity during the first period was limited by oxygen, and the enhanced swimming at night subsequent to the water renewal is due to increased feeding activity under lessened danger of predation in darkness.</t>
  </si>
  <si>
    <t>[Klevjer, Thor A.; Kaartvedt, Stein] Univ Oslo, Dept Biol, Div Zool, Oslo, Norway; [Klevjer, Thor A.; Kaartvedt, Stein] King Abdullah Univ Sci &amp; Technol, Thuwal, Saudi Arabia</t>
  </si>
  <si>
    <t>University of Oslo; King Abdullah University of Science &amp; Technology</t>
  </si>
  <si>
    <t>Klevjer, TA (corresponding author), Univ Oslo, Dept Biol, Div Zool, Oslo, Norway.</t>
  </si>
  <si>
    <t>Thor.Klevjer@kaust.edu.sa</t>
  </si>
  <si>
    <t>Norwegian Antarctic Research Expedition (NARE)</t>
  </si>
  <si>
    <t>T.A.K. was funded by the Norwegian Antarctic Research Expedition (NARE). Anders Rostad provided Fig. 1. Norwegian Institute for Water Research (NIVA) kindly provided previously unpublished chlorophyll values for the Oslofjord. The comments of two anonymous reviewers improved the manuscript.</t>
  </si>
  <si>
    <t>10.4319/lo.2011.56.3.0765</t>
  </si>
  <si>
    <t>WOS:000290678100001</t>
  </si>
  <si>
    <t>González-Wevar, CA; Nakano, T; Cañete, JI; Poulin, E</t>
  </si>
  <si>
    <t>Gonzalez-Wevar, C. A.; Nakano, T.; Canete, J. I.; Poulin, E.</t>
  </si>
  <si>
    <t>Concerted genetic, morphological and ecological diversification in Nacella limpets in the Magellanic Province</t>
  </si>
  <si>
    <t>adaptive radiation; ecological speciation; Nacella; Patagonia; Patellogastropoda; Southern Ocean</t>
  </si>
  <si>
    <t>QUATERNARY MOLLUSCAN FAUNAS; MIOCENE CLIMATIC TRANSITION; SYMPATRIC SPECIATION; HISTORICAL BIOGEOGRAPHY; SOUTH-AMERICA; SPECIES IDENTIFICATION; EVOLUTIONARY ANALYSIS; MOLECULAR PHYLOGENY; DEAURATA GMELIN; CICHLID FISHES</t>
  </si>
  <si>
    <t>Common inhabitants of Antarctic and Subantarctic rocky shores, the limpet genus Nacella, includes 15 nominal species distributed in different provinces of the Southern Ocean. The Magellanic Province represents the area with the highest diversity of the genus. Phylogenetic reconstructions showed an absence of reciprocal monophyly and high levels of genetic identity among nominal species in this Province and therefore imply a recent diversification in southern South America. Because most of these taxa coexist along their distribution range with clear differences in their habitat preferences, Nacella is a suitable model to explore diversification mechanisms in an area highly affected by recurrent Pleistocene continental ice cap advances and retreats. Here, we present genetic and morphological comparisons among sympatric Magellanic nominal species of Nacella. We amplified a fragment of the COI gene for 208 individuals belonging to seven sympatric nominal species and performed geometric morphometric analyses of their shells. We detected a complete congruence between genetic and morphological results, leading us to suggest four groups of Nacella among seven analysed nominal species. Congruently, each of these groups was related to different habitat preferences such as bathymetric range and substrate type. A plausible explanation for these results includes an ecologically based allopatric speciation process in Nacella. Major climatic changes during the Plio-Pleistocene glacial cycles may have enhanced differentiation processes. Finally, our results indicate that the systematics of the group requires a deep revision to re-evaluate the taxonomy of Nacella and to further understand the Pleistocene legacy of the glacial cycles in the southern tip of South America.</t>
  </si>
  <si>
    <t>[Gonzalez-Wevar, C. A.; Poulin, E.] Univ Chile, Fac Ciencias, Dept Ciencias Ecol, Inst Ecol &amp; Biodiversidad, Santiago, Chile; [Nakano, T.] Natl Museum Nat &amp; Sci, Dept Geol &amp; Paleontol, Tokyo, Japan; [Canete, J. I.] Univ Magallanes, Dept Recursos Nat, Punta Arenas, Chile</t>
  </si>
  <si>
    <t>Universidad de Chile; National Museum of Nature and Science; Universidad de Magallanes</t>
  </si>
  <si>
    <t>González-Wevar, CA (corresponding author), Univ Chile, Fac Ciencias, Dept Ciencias Ecol, Inst Ecol &amp; Biodiversidad, Las Palmeras 3425, Santiago, Chile.</t>
  </si>
  <si>
    <t>omeuno01@hotmail.com</t>
  </si>
  <si>
    <t>Canete, Juan/GRS-4620-2022; González-Wevar, Claudio Alejandro/AAD-6513-2021; Poulin, Elie/C-2654-2012</t>
  </si>
  <si>
    <t>Poulin, Elie/0000-0001-7736-0969; Nakano, Tomoyuki/0009-0008-0109-1289</t>
  </si>
  <si>
    <t>INACH B_01_07; Conicyt [D-21060218]; Institute of Ecology and Biodiversity, Universidad de Chile [INACH 02-02, 13-05, ECOS C06B02]; Japan Society for Promotion of Science. Research Program [207024, 0273]; Universidad de Magallanes</t>
  </si>
  <si>
    <t>INACH B_01_07; Conicyt(Comision Nacional de Investigacion Cientifica y Tecnologica (CONICYT)); Institute of Ecology and Biodiversity, Universidad de Chile; Japan Society for Promotion of Science. Research Program(Ministry of Education, Culture, Sports, Science and Technology, Japan (MEXT)Japan Society for the Promotion of Science); Universidad de Magallanes</t>
  </si>
  <si>
    <t>The author thanks the manager editor (T. Vines), the subject editor (J.A.H. Benzie) and two anonymous reviewers for their valuable suggestions related to the revision of this manuscript. This study was supported by the Grants INACH B_01_07, Conicyt PhD Grant Nos. D-21060218 and IDEAWILD to C. G., and by the Projects P05-002 ICM and PFB 023 (Institute of Ecology and Biodiversity, Universidad de Chile) and INACH 02-02, 13-05 and ECOS C06B02 to E. P. and C. G.; Grant-in-Aid for JSPS Fellows No. 207024 to T. N. from the Japan Society for Promotion of Science. Research Program 0273, Universidad de Magallanes to J.I.C. Thanks are also due to international programmes such as CAML, EBA-SCAR and PROSUL-Brazil for encouraging and supporting Antarctic research in Evolution.</t>
  </si>
  <si>
    <t>10.1111/j.1365-294X.2011.05065.x</t>
  </si>
  <si>
    <t>750CR</t>
  </si>
  <si>
    <t>WOS:000289522400014</t>
  </si>
  <si>
    <t>Rayner, MJ; Hauber, ME; Steeves, TE; Lawrence, HA; Thompson, DR; Sagar, PM; Bury, SJ; Landers, TJ; Phillips, RA; Ranjard, L; Shaffer, SA</t>
  </si>
  <si>
    <t>Rayner, Matt J.; Hauber, Mark E.; Steeves, Tammy E.; Lawrence, Hayley A.; Thompson, David R.; Sagar, Paul M.; Bury, Sarah J.; Landers, Todd J.; Phillips, Richard A.; Ranjard, Louis; Shaffer, Scott A.</t>
  </si>
  <si>
    <t>Contemporary and historical separation of transequatorial migration between genetically distinct seabird populations</t>
  </si>
  <si>
    <t>NATURE COMMUNICATIONS</t>
  </si>
  <si>
    <t>PETREL PTERODROMA-COOKII; MITOCHONDRIAL-DNA; STABLE-ISOTOPES; PELAGIC SEABIRD; PACIFIC-OCEAN; NEW-ZEALAND; SPECIATION; PHYLOGEOGRAPHY; STRATEGIES; SEA</t>
  </si>
  <si>
    <t>Pelagic seabirds are highly mobile, reducing the likelihood of allopatric speciation where disruption of gene flow between populations is caused by physically insurmountable, extrinsic barriers. Spatial segregation during the non-breeding season appears to provide an intrinsic barrier to gene flow among seabird populations that otherwise occupy nearby or overlapping regions during breeding, but how this is achieved remains unclear. Here we show that the two genetically distinct populations of Cook's petrel (Pterodroma cookii) exhibit transequatorial separation of non-breeding ranges at contemporary (ca. 2-3 yrs) and historical (ca. 100 yrs) time scales. Segregation during the non-breeding season per se appears as an unlikely barrier to gene flow. Instead we provide evidence that habitat specialization during the non-breeding season is associated with breeding asynchrony which, in conjunction with philopatry, restricts gene flow. Habitat specialization during breeding and non-breeding likely promotes evolutionary divergence between these two populations via local adaptation.</t>
  </si>
  <si>
    <t>[Rayner, Matt J.] Natl Inst Water &amp; Atmospher Res Ltd, Auckland, New Zealand; [Rayner, Matt J.; Landers, Todd J.; Ranjard, Louis] Univ Auckland, Sch Biol Sci, Auckland 1, New Zealand; [Hauber, Mark E.] CUNY Hunter Coll, Dept Psychol, New York, NY 10065 USA; [Steeves, Tammy E.] Univ Canterbury, Sch Biol Sci, Christchurch 1, New Zealand; [Lawrence, Hayley A.] Manaaki Whenua Landcare Res, Auckland, New Zealand; [Thompson, David R.; Bury, Sarah J.] Natl Inst Water &amp; Atmospher Res Ltd, Wellington, New Zealand; [Sagar, Paul M.] Natl Inst Water &amp; Atmospher Res Ltd, Christchurch, New Zealand; [Landers, Todd J.] Auckland Museum, Auckland, New Zealand; [Phillips, Richard A.] British Antarctic Survey, Nat Environm Res Council, Cambridge CB3 0ET, England; [Ranjard, Louis] Univ Auckland, Dept Stat, Auckland 1, New Zealand; [Shaffer, Scott A.] San Jose State Univ, Dept Biol Sci, San Jose, CA 95192 USA</t>
  </si>
  <si>
    <t>National Institute of Water &amp; Atmospheric Research (NIWA) - New Zealand; University of Auckland; City University of New York (CUNY) System; Hunter College (CUNY); University of Canterbury; Landcare Research - New Zealand; National Institute of Water &amp; Atmospheric Research (NIWA) - New Zealand; National Institute of Water &amp; Atmospheric Research (NIWA) - New Zealand; UK Research &amp; Innovation (UKRI); Natural Environment Research Council (NERC); NERC British Antarctic Survey; University of Auckland; California State University System; San Jose State University</t>
  </si>
  <si>
    <t>Rayner, MJ (corresponding author), Natl Inst Water &amp; Atmospher Res Ltd, Private Bag 99940, Auckland, New Zealand.</t>
  </si>
  <si>
    <t>m.rayner@niwa.co.nz</t>
  </si>
  <si>
    <t>Ranjard, Louis/M-4525-2015; Bury, Sarah/JLN-0810-2023; Shaffer, Scott/D-5015-2009</t>
  </si>
  <si>
    <t>Ranjard, Louis/0000-0002-7622-4823; Shaffer, Scott/0000-0002-7751-5059; Rayner, Matt/0000-0002-1168-6699</t>
  </si>
  <si>
    <t>Hauturu Little Barrier Island Supporters Trust (ASB Bank Community Trust); New Zealand Tertiary Education Commission; Foundation for Research Science and Technology; NERC [bas0100025] Funding Source: UKRI; Natural Environment Research Council [bas0100025] Funding Source: researchfish</t>
  </si>
  <si>
    <t>Hauturu Little Barrier Island Supporters Trust (ASB Bank Community Trust); New Zealand Tertiary Education Commission; Foundation for Research Science and Technology(New Zealand Foundation for Research, Science and Technology); NERC(UK Research &amp; Innovation (UKRI)Natural Environment Research Council (NERC)); Natural Environment Research Council(UK Research &amp; Innovation (UKRI)Natural Environment Research Council (NERC))</t>
  </si>
  <si>
    <t>We thank B. Dunphy and New Zealand Department of Conservation (S. McInnes, L. Witwell, R. Renwick and P. McClelland) for field assistance, M. Flannery (California Academy of Sciences) and P. Sweet and T. Trombone (The American Museum of Natural History) for access to museum specimens, C. Millar and S. Patel for assistance with genetic analyses, J. Brown for assistance with isotopic laboratory support, W. Rayner for support during this research, and Chris Gaskin for providing artwork. This work was supported by the Hauturu Little Barrier Island Supporters Trust (ASB Bank Community Trust grant), the New Zealand Tertiary Education Commission and Foundation for Research Science and Technology. This research represents a contribution to the BAS Ecosystems Programme. This paper is dedicated to the memory of Dr Michael John Imber, 13th Nov 1940-28th April 2011.</t>
  </si>
  <si>
    <t>2041-1723</t>
  </si>
  <si>
    <t>NAT COMMUN</t>
  </si>
  <si>
    <t>Nat. Commun.</t>
  </si>
  <si>
    <t>10.1038/ncomms1330</t>
  </si>
  <si>
    <t>819CI</t>
  </si>
  <si>
    <t>WOS:000294802600037</t>
  </si>
  <si>
    <t>Raymo, ME; Mitrovica, JX; O'Leary, MJ; DeConto, RM; Hearty, PL</t>
  </si>
  <si>
    <t>Raymo, Maureen E.; Mitrovica, Jerry X.; O'Leary, Michael J.; DeConto, Robert M.; Hearty, Paul L.</t>
  </si>
  <si>
    <t>Departures from eustasy in Pliocene sea-level records</t>
  </si>
  <si>
    <t>MIDDLE PLIOCENE; MANTLE VISCOSITY; ICE THICKNESS; CLIMATE; OCEANS; MODEL; EARTH; GCM</t>
  </si>
  <si>
    <t>Proxy data suggest that atmospheric CO2 levels during the middle of the Pliocene epoch (about 3 Myr ago) were similar to today, leading to the use of this interval as a potential analogue for future climate change. Estimates for mid-Pliocene sea levels range from 10 to 40m above present, and a value of +25m is often adopted in numerical climate model simulations. A eustatic change of such magnitude implies the complete deglaciation of the West Antarctic and Greenland ice sheets, and significant loss of mass in the East Antarctic ice sheet. However, the effects of glacial isostatic adjustments have not been accounted for in Pliocene sea-level reconstructions. Here we numerically model these effects on Pliocene shoreline features using a gravitationally self-consistent treatment of post-glacial sea-level change. We find that the predicted modern elevation of Pliocene shoreline features can deviate significantly from the eustatic signal, even in the absence of subsequent tectonically-driven movements of the Earth's surface. In our simulations, this non-eustatic sea-level change, at individual locations, is caused primarily by residual isostatic adjustments associated with late Pleistocene glaciation. We conclude that a combination of model results and field observations can help to better constrain sea level in the past, and hence lend insight into the stability of ice sheets under varying climate conditions.</t>
  </si>
  <si>
    <t>[Raymo, Maureen E.] Boston Univ, Dept Earth Sci, Boston, MA 02215 USA; [Mitrovica, Jerry X.] Harvard Univ, Dept Earth &amp; Planetary Sci, Cambridge, MA 02138 USA; [O'Leary, Michael J.] Notre Dame Univ, Sch Arts &amp; Sci, Fremantle, WA 6959, Australia; [DeConto, Robert M.] Univ Massachusetts, Dept Geosci, Amherst, MA 01003 USA; [Hearty, Paul L.] Univ N Carolina, Dept Environm Sci, Wilmington, NC 28403 USA</t>
  </si>
  <si>
    <t>Boston University; Harvard University; The University of Notre Dame Australia; University of Massachusetts System; University of Massachusetts Amherst; University of North Carolina; University of North Carolina Wilmington</t>
  </si>
  <si>
    <t>Raymo, ME (corresponding author), Boston Univ, Dept Earth Sci, 685 Commonwealth Ave, Boston, MA 02215 USA.</t>
  </si>
  <si>
    <t>raymo@bu.edu</t>
  </si>
  <si>
    <t>Raymo, Maureen E/A-1270-2012</t>
  </si>
  <si>
    <t>O'Leary, Michael/0000-0001-7040-3137</t>
  </si>
  <si>
    <t>Harvard University; [NSF-OCE0825293]; Directorate For Geosciences; Division Of Ocean Sciences [0825293] Funding Source: National Science Foundation; Division Of Ocean Sciences; Directorate For Geosciences [1202632, 1238405] Funding Source: National Science Foundation</t>
  </si>
  <si>
    <t>Harvard University; ; Directorate For Geosciences; Division Of Ocean Sciences(National Science Foundation (NSF)NSF - Directorate for Geosciences (GEO)); Division Of Ocean Sciences; Directorate For Geosciences(National Science Foundation (NSF)NSF - Directorate for Geosciences (GEO))</t>
  </si>
  <si>
    <t>Support for this research was provided by NSF-OCE0825293 to M.E.R. and by Harvard University and The Canadian Institute for Advanced Research to J.X.M. We thank T. Cronin and J. Brigham-Grette for discussions of field data and support from the USGS PRISM program that helped jump-start this investigation.</t>
  </si>
  <si>
    <t>10.1038/NGEO1118</t>
  </si>
  <si>
    <t>756MP</t>
  </si>
  <si>
    <t>WOS:000290016000019</t>
  </si>
  <si>
    <t>Aiki, H; Richards, KJ; Sakuma, H</t>
  </si>
  <si>
    <t>Aiki, Hidenori; Richards, Kelvin J.; Sakuma, Hirofumi</t>
  </si>
  <si>
    <t>Maintenance of the mean kinetic energy in the global ocean by the barotropic and baroclinic energy routes: the roles of JEBAR and Ekman dynamics</t>
  </si>
  <si>
    <t>General circulation; High-resolution ocean simulation; Z-Coordinate ocean model; Biharmonic friction; Frictional and pressure effects of bottom topography; JEBAR (joint effect of baroclinicity and bottom relief); Antarctic Circumpolar Current</t>
  </si>
  <si>
    <t>ANTARCTIC CIRCUMPOLAR CURRENT; NORTH-ATLANTIC OCEAN; GENERAL-CIRCULATION; POTENTIAL VORTICITY; BOUNDARY CURRENTS; FORM DRAG; MODEL; WIND; TRANSPORT; EDDIES</t>
  </si>
  <si>
    <t>In order to determine the maintenance mechanisms of the currents of the global ocean, this study investigates the budget of the annual mean kinetic energy (KE) in a high-resolution (0.1 degrees x 0.1 degrees) semi-global ocean simulation. The analysis is based on a separation of the mean KE using the barotropic (i.e., depth-averaged) and baroclinic (the residual) components of velocity. The barotropic and baroclinic KEs dominate in higher and lower latitudes, respectively, with their global average being comparable to each other. The working rates of wind forcing on the barotropic and baroclinic circulations in the global ocean are 243 and 747 gigawatts, respectively. This study presents at least three new results for the budget of the barotropic KE. Firstly, an energy diagram is rederived to show that the work of the barotropic component of the horizontal pressure gradient (HPG) is connected to the work related to the joint effect of baroclinicity and bottom relief (JEBAR), and then to the budget of potential energy (PE). Secondly, the model analysis shows that the globally averaged work of the barotropic HPG (which is connected to the work related to JEBAR and then to the budget of the PE) is nearly zero. This indicates that the wind-and buoyancy-induced barotropic circulations in the global ocean are of the same strength with opposite sign. Thirdly, it is found that the work of the wind forcing on the barotropic component of the simulated Antarctic Circumpolar Current (ACC) is canceled by the combined effect, in equal measure, of the work of the barotropic HPG and the work of dissipative processes for mean KE. This result makes a significant contribution to the discussion on the depth-integrated momentum balance of the ACC. The barotropic KE is dissipated by the effects of bottom frictional stress, lateral frictional stress, and the Reynolds stress, of which more than half is attributed to an unexpectedly large contribution from biharmonic horizontal friction. Future studies should pay more attention to the role of biharmonic friction used in high-resolution numerical models.</t>
  </si>
  <si>
    <t>[Aiki, Hidenori; Sakuma, Hirofumi] Japan Agcy Marine Earth Sci &amp; Technol, Res Inst Global Change, Yokohama, Kanagawa, Japan; [Aiki, Hidenori; Richards, Kelvin J.] Univ Hawaii Manoa, Int Pacific Res Ctr, Honolulu, HI 96822 USA</t>
  </si>
  <si>
    <t>Japan Agency for Marine-Earth Science &amp; Technology (JAMSTEC); University of Hawaii System; University of Hawaii Manoa</t>
  </si>
  <si>
    <t>Aiki, H (corresponding author), Japan Agcy Marine Earth Sci &amp; Technol, Res Inst Global Change, Yokohama, Kanagawa, Japan.</t>
  </si>
  <si>
    <t>aiki@jamstec.go.jp</t>
  </si>
  <si>
    <t>Aiki, Hidenori/B-7015-2013</t>
  </si>
  <si>
    <t>Aiki, Hidenori/0000-0002-0604-9900</t>
  </si>
  <si>
    <t>Japan Society of Promotion of Science; Grants-in-Aid for Scientific Research [21740351] Funding Source: KAKEN</t>
  </si>
  <si>
    <t>Japan Society of Promotion of Science(Ministry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</si>
  <si>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This work was done while HA was visiting the University of Hawaii in 2007-2008 funded by a fellowship from the Japan Society of Promotion of Science. The content of this paper was presented at the OFES International Workshop (Yokohama, 2008), the GFDL lunchtime seminar (Princeton, 2008), the CLIVAR ocean modeling workshop (Exeter, 2009), and the AGU Ocean Sciences Meeting (Portland, 2010).</t>
  </si>
  <si>
    <t>10.1007/s10236-011-0382-y</t>
  </si>
  <si>
    <t>786AK</t>
  </si>
  <si>
    <t>WOS:000292274300010</t>
  </si>
  <si>
    <t>Van de Vijver, B; Zidarova, R; Sterken, M; Verleyen, E; de Haan, M; Vyverman, W; Hinz, F; Sabbe, K</t>
  </si>
  <si>
    <t>Van de Vijver, Bart; Zidarova, Ralitsa; Sterken, Mieke; Verleyen, Elie; de Haan, Myriam; Vyverman, Wim; Hinz, Friedel; Sabbe, Koen</t>
  </si>
  <si>
    <t>Revision of the genus Navicula s.s. (Bacillariophyceae) in inland waters of the Sub-Antarctic and Antarctic with the description of five new species</t>
  </si>
  <si>
    <t>PHYCOLOGIA</t>
  </si>
  <si>
    <t>Sub-Antarctic and Antarctic Region; Bacillariophyta; Diatoms; Morphology; Navicula; Taxonomy</t>
  </si>
  <si>
    <t>SOUTH SHETLAND ISLANDS; KING-GEORGE-ISLAND; SEDIMENT DIATOM ASSEMBLAGES; STROMNESS BAY AREA; JAMES-ROSS-ISLAND; FRESH-WATER; COMPLEX BACILLARIOPHYCEAE; DECEPTION ISLAND; SALINE LAKES; SP NOV.</t>
  </si>
  <si>
    <t>A revision of the diatom genus Navicula s.s. in inland water samples from the Sub-Antarctic and Antarctic resulted in the description of five new species, viz. Navicula australoshetlandica Van de Vijver sp. nov., N. dobrinatemniskovae Zidarova &amp; Van de Vijver sp. nov., N. cremeri Van de Vijver &amp; Zidarova sp. nov. N. conveyi Van de Vijver sp. nov. and Navicula bicephaloides Van de Vijver &amp; Zidarova sp. nov. The new species are extensively compared with other similar species. The morphology and taxonomy of three other Navicula taxa present in the same materials are briefly discussed. A critical revision of literature reports of Navicula taxa in the Antarctic and Sub-Antarctic region indicates that despite the large number of records the genus is rather species-poor in the Sub-Antarctic and Antarctic. From a biogeographical point of view, there is a clear separation between the Sub-Antarctic localities in the southern Indian Ocean and the islands in the southern Atlantic Ocean, with several species showing a restricted biogeography.</t>
  </si>
  <si>
    <t>[Van de Vijver, Bart; de Haan, Myriam] Natl Bot Garden Belgium, Dept Bryophytes &amp; Thallophytes, B-1860 Meise, Belgium; [Zidarova, Ralitsa] BASc, Cent Lab Gen Ecol, Sofia 1113, Bulgaria; [Sterken, Mieke; Verleyen, Elie; Vyverman, Wim; Sabbe, Koen] Univ Ghent, Dept Biol, B-9000 Ghent, Belgium; [Hinz, Friedel] Alfred Wegener Inst Polar &amp; Marine Res, D-27570 Bremerhaven, Germany</t>
  </si>
  <si>
    <t>Bulgarian Academy of Sciences; Ghent University; Helmholtz Association; Alfred Wegener Institute, Helmholtz Centre for Polar &amp; Marine Research</t>
  </si>
  <si>
    <t>Van de Vijver, B (corresponding author), Natl Bot Garden Belgium, Dept Bryophytes &amp; Thallophytes, B-1860 Meise, Belgium.</t>
  </si>
  <si>
    <t>vandevijver@br.fgov.be</t>
  </si>
  <si>
    <t>Zidarova, Ralitsa/0000-0002-6451-0099</t>
  </si>
  <si>
    <t>French Polar Institute-Paul-Emile Victor [136]; BeISPO HOLANT; FWO [G.0533.07]; Fund for Scientific Research, Flanders</t>
  </si>
  <si>
    <t>French Polar Institute-Paul-Emile Victor; BeISPO HOLANT; FWO(FWO); Fund for Scientific Research, Flanders(FWO)</t>
  </si>
  <si>
    <t>The authors wish to thank Prof. Dr L. Beyens, Prof. Dr A. Quesada, Dr G. Mataloni and Dr L. Nedbalova for the collection of samples on James Ross Island and the South Shetland Islands. Dr J. Taylor is thanked for providing us with the type material of N. libonensis. Sampling on Crozet has been made possible thanks to the logistic and financial support of the French Polar Institute-Paul-Emile Victor in the framework of the terrestrial program 136 (Ir. Marc Lebouvier &amp; Dr Yves Frenot). Part of this research was funded within the BeISPO HOLANT project and the FWO project G.0533.07. E.V. is a post-doctoral research fellow with the Fund for Scientific Research, Flanders.</t>
  </si>
  <si>
    <t>0031-8884</t>
  </si>
  <si>
    <t>2330-2968</t>
  </si>
  <si>
    <t>Phycologia</t>
  </si>
  <si>
    <t>10.2216/10-49.1</t>
  </si>
  <si>
    <t>765FV</t>
  </si>
  <si>
    <t>WOS:000290690100006</t>
  </si>
  <si>
    <t>Parapar, J; López, E; Gambi, MC; Núñez, J; Ramos, A</t>
  </si>
  <si>
    <t>Parapar, J.; Lopez, E.; Gambi, M. C.; Nunez, J.; Ramos, A.</t>
  </si>
  <si>
    <t>Quantitative analysis of soft-bottom polychaetes of the Bellingshausen Sea and Gerlache Strait (Antarctica)</t>
  </si>
  <si>
    <t>Polychaetes; Soft bottoms; Benthos; Box-corer; Distribution; BENTART cruises; Antarctica</t>
  </si>
  <si>
    <t>SOUTH SHETLAND ISLANDS; BAY ROSS SEA; WEDDELL SEA; WEST ANTARCTICA; BENTHIC FAUNA; COMMUNITIES; PATTERNS; IMPACT; SHELF; BIODIVERSITY</t>
  </si>
  <si>
    <t>The basin off the Bellingshausen Sea, in contrast to other better known areas such as the Antarctic Peninsula and the Ross and Weddell Seas, has been little investigated due to remoteness and the prevalence of ice for most of the year. The present study focuses on an analysis of polychaetes collected from soft bottoms of this sea and off the west coast of the Antarctic Peninsula (Gerlache Strait) by means of a box-corer (25 x 25 cm) in two intensive surveys carried out during austral summers of 2002-2003 and 2005-2006 (BENTART-03 and BENTART-06). Three different polychaete assemblages were determined from the classification and ordination analyses of sampling stations based on the Bray-Curtis similarity index. One group of stations encompassed the deep stations from the shelf of the Bellingshausen Sea, the second one the shallower stations from the same area and the third one those stations located near the coast of Peter I Island and Gerlache Strait, off the Antarctic Peninsula. The environmental variables involved in segregating these groups were several sedimentary features (redox potential, gravel content) and depth. The present study provides further support to previous ones that considered the shelf of the Bellingshausen Sea as a differentiated region within the Southern Ocean, clearly distinct to the adjacent Weddell and Scott Seas and the Antarctic Peninsula.</t>
  </si>
  <si>
    <t>[Parapar, J.] Univ A Coruna, Fac Ciencias, Dept Bioloxia Anim, La Coruna 15008, Spain; [Lopez, E.] Univ Autonoma Madrid, Fac Ciencias, Lab Biol Marina &amp; Invertebrados, Dept Biol, E-28049 Madrid, Spain; [Gambi, M. C.] Stn Zool A Dohrn, Lab Ecol Benthos, I-80077 Naples, Italy; [Nunez, J.] Univ La Laguna, Dept Biol Anim, E-38206 Tenerife, Islas Canarias, Spain; [Ramos, A.] IEO Ctr Oceanog Vigo, Vigo 36200, Spain</t>
  </si>
  <si>
    <t>Universidade da Coruna; Autonomous University of Madrid; Stazione Zoologica Anton Dohrn di Napoli; Universidad de la Laguna</t>
  </si>
  <si>
    <t>Parapar, J (corresponding author), Univ A Coruna, Fac Ciencias, Dept Bioloxia Anim, Alejandro de la Sota 1, La Coruna 15008, Spain.</t>
  </si>
  <si>
    <t>jparapar@udc.es</t>
  </si>
  <si>
    <t>López, Eduardo/L-2489-2013; Gambi, Maria Cristina/AFO-0958-2022; Parapar, Julio/J-4150-2014; Gambi, Maria Cristina/L-8246-2014</t>
  </si>
  <si>
    <t>López, Eduardo/0000-0002-1816-8528; Parapar, Julio/0000-0001-7585-6995; Gambi, Maria Cristina/0000-0002-0168-776X</t>
  </si>
  <si>
    <t>Spanish Ministerio de Ciencia y Tecnologia</t>
  </si>
  <si>
    <t>Spanish Ministerio de Ciencia y Tecnologia(Spanish Government)</t>
  </si>
  <si>
    <t>The present study was financially supported by the Spanish Ministerio de Ciencia y Tecnologia through the research projects Estudio integrado de la biodiversidad bentonica del mar de Bellingshausen y peninsula Antartica (Antartida del Oeste). Primera campana de muestreo a bordo del B/O Hesperides (REN2001-1074/ANT) and Estudio integrado de la biodiversidad bentonica del mar de Bellingshausen y peninsula Antartica. Segunda campana de muestreo a bordo del B/O Hesperides (CGL2004/01856). The authors wish to express their gratitude to C. Aldea (UVigo, Spain) for the elaboration of the map, to J. Moreira (USC, Spain) for the identification of the Sphaerodorid species and comments on an earlier version of the manuscript and to the colleagues of the BENTART project and to the crew of R/V Hesperides, for their collaboration onboard the ship. We thank also Brigitte Ebbe (Senckenberg Institut, Germany), Myriam Schuller (Ruhr-Universitat Bochum, Germany) and a third anonymous referee for their helpful comments concerning the manuscript. The help of Greg Rouse (Scripps Institution of Oceanography, USA) improving the English in an earlier version of the manuscript is also appreciated.</t>
  </si>
  <si>
    <t>10.1007/s00300-010-0927-4</t>
  </si>
  <si>
    <t>749PR</t>
  </si>
  <si>
    <t>WOS:000289481400010</t>
  </si>
  <si>
    <t>Grant, RA; Griffiths, HJ; Steinke, D; Wadley, V; Linse, K</t>
  </si>
  <si>
    <t>Grant, Rachel A.; Griffiths, Huw J.; Steinke, Dirk; Wadley, Victoria; Linse, Katrin</t>
  </si>
  <si>
    <t>Antarctic DNA barcoding; a drop in the ocean?</t>
  </si>
  <si>
    <t>Circumpolarity; Marine; Cryptic species; Biodiversity; Southern Ocean</t>
  </si>
  <si>
    <t>BATHYMETRIC PATTERNS; BIVALVE</t>
  </si>
  <si>
    <t>Coordinated, circum-Antarctic sampling expeditions during International Polar Year 2008/09 have given access to comprehensive collections suitable for DNA barcoding. Collaborations between the Census of Antarctic Marine Life (CAML), the Marine Barcode of Life project and the Canadian Centre for DNA Barcoding have enabled the Antarctic scientific community to initiate large-scale DNA barcoding projects to record the genetic diversity of Antarctic marine fauna, coordinated by the CAML Barcoding Campaign. A total of 20,355 marine specimens from more than 2,000 morphospecies covering 18 phyla are in the processing pipeline, and to date, 11,530 sequences have been processed with the remainder due by the end of 2010. Here, we present results on the current geographic and taxonomic coverage of DNA barcode data in the Southern Ocean and identify the remaining gaps. We show how DNA barcoding in the Antarctic is answering important questions regarding marine genetic diversity and challenging current assumptions of species distribution at the poles.</t>
  </si>
  <si>
    <t>[Grant, Rachel A.; Griffiths, Huw J.; Linse, Katrin] British Antarctic Survey, Cambridge CB3 0ET, England; [Grant, Rachel A.] Univ Cambridge, Scott Polar Res Inst, Cambridge CB2 1ER, England; [Steinke, Dirk] Univ Guelph, Biodivers Inst Ontario, Canadian Ctr DNA Barcoding, Guelph, ON N1G 2W1, Canada; [Wadley, Victoria] Australian Antarctic Div, Dept Environm &amp; Heritage, Kingston, Tas 7050, Australia</t>
  </si>
  <si>
    <t>UK Research &amp; Innovation (UKRI); Natural Environment Research Council (NERC); NERC British Antarctic Survey; University of Cambridge; University of Guelph; Australian Antarctic Division</t>
  </si>
  <si>
    <t>Grant, RA (corresponding author), British Antarctic Survey, Madingley Rd, Cambridge CB3 0ET, England.</t>
  </si>
  <si>
    <t>rachelannegrant@gmail.com</t>
  </si>
  <si>
    <t>Griffiths, Huw J/D-4234-2009; Steinke, Dirk/D-4700-2009</t>
  </si>
  <si>
    <t>Griffiths, Huw J/0000-0003-1764-223X; Linse, Katrin/0000-0003-3477-3047; Steinke, Dirk/0000-0002-8992-575X</t>
  </si>
  <si>
    <t>Genome Canada through the Ontario Genomics Institute; Natural Environment Research Council [bas0100026] Funding Source: researchfish; NERC [bas0100026] Funding Source: UKRI</t>
  </si>
  <si>
    <t>Genome Canada through the Ontario Genomics Institute(Genome Canada); Natural Environment Research Council(UK Research &amp; Innovation (UKRI)Natural Environment Research Council (NERC)); NERC(UK Research &amp; Innovation (UKRI)Natural Environment Research Council (NERC))</t>
  </si>
  <si>
    <t>We are grateful to the team at the Canadian Centre for DNA Barcoding (supported by Genome Canada through the Ontario Genomics Institute) for their support to the CAML research community. We would also like to thank the following contributors: Louise Allcock, Nadia Ameziane, Claudia Arango, Martin Collins, Bruno Danis, Agnes Dettai, Marc Eleaume, Charlotte Havermans, Christoph Held, Joe Hoffman, Russ Hopcroft, Alexis Janosik, Tim O'Hara, Peter Smith, Stefano Schiaparelli, Ken Halanych, Guilliaume LeCointre, Florian Leese, Tim Littlewood, Sarah Mincks, Christoph Schubart, Myriam Schueller, Jan Strugnell, Odile Volontiero, Bob Ward. We also thank two anonymous referees. This paper is contribution to CAML number 29.</t>
  </si>
  <si>
    <t>10.1007/s00300-010-0932-7</t>
  </si>
  <si>
    <t>WOS:000289481400014</t>
  </si>
  <si>
    <t>Pingree, K; Lurie, M; Hughes, T</t>
  </si>
  <si>
    <t>Pingree, Katherine; Lurie, Max; Hughes, Terence</t>
  </si>
  <si>
    <t>Is the East Antarctic ice sheet stable?</t>
  </si>
  <si>
    <t>QUATERNARY RESEARCH</t>
  </si>
  <si>
    <t>East Antarctic ice sheet; Ice streams; Ice shelves; Rising sea level; Climate change</t>
  </si>
  <si>
    <t>WEST ANTARCTICA; GLACIER; FLOW; ACCELERATION; INVENTORY; HISTORY; RETREAT; STREAMS; BENEATH; SHELF</t>
  </si>
  <si>
    <t>The Greenland and East and West Antarctic ice sheets are assessed as being the source of ice that produced an Eemian sea level 6 m higher than present sea level. The most probable source is total collapse of the West Antarctic Ice Sheet accompanied by partial collapse of the adjacent sector of the East Antarctic Ice Sheet in direct contact with the West Antarctic Ice Sheet. This conclusion is reached by applying a simple formula relating the floating fraction of ice along flowlines to ice height above the bed. Increasing the floating fraction lowered ice elevations enough to contribute up to 4.7 m to global sea level. Adding 3.3 m resulting from total collapse of the West Antarctic Ice Sheet accounts for the higher Eemian sea level. Partial gravitational collapse that produced the present ice drainage system of Amery Ice Shelf contributes 2.3 m to global sea level. These results cast doubt on the presumed stability of the East Antarctic Ice Sheet, but destabilizing mechanisms remain largely unknown. Possibilities include glacial surges and marine instabilities at the respective head and foot of ice streams. (C) 2011 University of Washington. Published by Elsevier Inc. All rights reserved.</t>
  </si>
  <si>
    <t>[Hughes, Terence] Univ Maine, Climate Change Inst, Orono, ME 04469 USA; [Pingree, Katherine; Lurie, Max; Hughes, Terence] Univ Maine, Dept Earth Sci, Orono, ME 04469 USA</t>
  </si>
  <si>
    <t>University of Maine System; University of Maine Orono; University of Maine System; University of Maine Orono</t>
  </si>
  <si>
    <t>Hughes, T (corresponding author), Univ Maine, Climate Change Inst, Orono, ME 04469 USA.</t>
  </si>
  <si>
    <t>U.S. National Science Foundation, through the Center for Remote Sensing of Ice Sheets (CReSIS) at the University of Kansas</t>
  </si>
  <si>
    <t>U.S. National Science Foundation, through the Center for Remote Sensing of Ice Sheets (CReSIS) at the University of Kansas(National Science Foundation (NSF))</t>
  </si>
  <si>
    <t>This study was the final examination in a course, The Role of Continental Glaciers in Climate Change, taught at the University of Maine. James Fastook provided the surface and bed topographic maps in Figures 2 and 6 from BEDMAP data. Beverly Hughes prepared the manuscript for publication. Eric Steig and Alan Gillespie were invaluable in making our work acceptable for publication. The U.S. National Science Foundation, through the Center for Remote Sensing of Ice Sheets (CReSIS) at the University of Kansas, supported the work.</t>
  </si>
  <si>
    <t>0033-5894</t>
  </si>
  <si>
    <t>1096-0287</t>
  </si>
  <si>
    <t>QUATERNARY RES</t>
  </si>
  <si>
    <t>Quat. Res.</t>
  </si>
  <si>
    <t>10.1016/j.yqres.2010.12.001</t>
  </si>
  <si>
    <t>767BY</t>
  </si>
  <si>
    <t>WOS:000290831500005</t>
  </si>
  <si>
    <t>Menviel, L; Timmermann, A; Timm, OE; Mouchet, A</t>
  </si>
  <si>
    <t>Menviel, L.; Timmermann, A.; Timm, O. Elison; Mouchet, A.</t>
  </si>
  <si>
    <t>Deconstructing the Last Glacial termination: the role of millennial and orbital-scale forcings</t>
  </si>
  <si>
    <t>Last Glacial termination; Heinrich event 1; Bolling warming; Older Dryas; Antarctic Cold Reversal; Younger Dryas; MWP-1A; Earth system model of intermediate; complexity</t>
  </si>
  <si>
    <t>ANTARCTIC ICE-SHEET; SEA-SURFACE TEMPERATURES; NORTH-ATLANTIC; CLIMATE-CHANGE; OCEAN CIRCULATION; HIGH-RESOLUTION; ATMOSPHERIC METHANE; SUMMER TEMPERATURES; TROPICAL ATLANTIC; COUPLED CLIMATE</t>
  </si>
  <si>
    <t>Using an Earth system model of intermediate complexity forced by continuously varying boundary conditions and a hypothetical profile of freshwater forcing, the model simulates Heinrich event 1 (HI), the Bolling warm period, the Older Dryas, the Antarctic Cold Reversal (ACR) and the Younger Dryas in close agreement with paleo-proxy data from different regions worldwide. The ACR can be simulated as the bipolar seesaw response to the AMOC recovery during the termination of H1. However, this study also demonstrates that the amplitude of the ACR can be further amplified by a rapid deglacial retreat of the Antarctic Ice sheets. We suggest that melting from both, the Laurentide and the Antarctic Ice sheets contributed to the sea level rise associated with Meltwater Pulse 1-A (MWP-1A). It is hypothesized that the northern hemispheric source of MWP-1A caused the Older Dryas cooling in the Northern Hemisphere, whereas the Southern Hemispheric source contributed to the ACR. The study also documents that for the majority of paleo-climate proxies considered here, the relative timing can be qualitatively reproduced by the transient modeling experiments. The climate model solution presented here may provide a means to further constrain dating uncertainties of some of paleo-climate proxies during the Last Glacial Termination. (C) 2011 Elsevier Ltd. All rights reserved.</t>
  </si>
  <si>
    <t>[Menviel, L.] Univ Bern, Inst Phys, CH-3012 Bern, Switzerland; [Menviel, L.] Univ Bern, Oeschger Ctr Climate Change Res, CH-3012 Bern, Switzerland; [Timmermann, A.; Timm, O. Elison] Univ Hawaii, SOEST, IPRC, Honolulu, HI 96822 USA; [Mouchet, A.] Univ Liege, Dept AGO, Liege, Belgium</t>
  </si>
  <si>
    <t>University of Bern; University of Bern; University of Hawaii System; University of Liege</t>
  </si>
  <si>
    <t>Menviel, L (corresponding author), Univ Bern, Inst Phys, Sidlerstr 5, CH-3012 Bern, Switzerland.</t>
  </si>
  <si>
    <t>menviel@climate.unibe.ch</t>
  </si>
  <si>
    <t>Timmermann, Axel/Y-2799-2019; Elison Timm, Oliver/L-2543-2018; Menviel, Laurie/O-7833-2019; Menviel, Laurie/D-6902-2013; Mouchet, Anne/K-1911-2014</t>
  </si>
  <si>
    <t>Timmermann, Axel/0000-0003-0657-2969; Elison Timm, Oliver/0000-0001-8871-0602; Menviel, Laurie/0000-0002-5068-1591; Mouchet, Anne/0000-0002-8846-3063</t>
  </si>
  <si>
    <t>NSF [1010869]; Japan Agency for Marine-Earth Science and Technology (JAMSTEC); NASA; NOAA; Belgian Science Policy [SD/CS/01A]</t>
  </si>
  <si>
    <t>NSF(National Science Foundation (NSF)); Japan Agency for Marine-Earth Science and Technology (JAMSTEC); NASA(National Aeronautics &amp; Space Administration (NASA)); NOAA(National Oceanic Atmospheric Admin (NOAA) - USA); Belgian Science Policy(Belgian Federal Science Policy Office)</t>
  </si>
  <si>
    <t>The authors would like to acknowledge the NOAA NGDC database and thank O. Heiri, K. Holmgren, K. Pahnke and J. Sachs for providing their datasets. The authors would like to thank P. Baker for discussion about his dataset. We thank W. Hiscock for his graphic support. This research was supported by NSF grant No. 1010869. Additional support was provided by the Japan Agency for Marine-Earth Science and Technology (JAMSTEC), by NASA and NOAA through their sponsorship of research activities at the International Pacific Research Center. A. Mouchet acknowledges support from the Belgian Science Policy (BELSPO contract SD/CS/01A). This is IPRC publication number 756 and SOEST contribution number 8096.</t>
  </si>
  <si>
    <t>10.1016/j.quascirev.2011.02.005</t>
  </si>
  <si>
    <t>776EA</t>
  </si>
  <si>
    <t>WOS:000291516100011</t>
  </si>
  <si>
    <t>Jo, KN; Woo, KS; Lim, HS; Cheng, H; Edwards, RL; Wang, YJ; Jiang, XY; Kim, R; Lee, JI; Yoon, HI; Yoo, KC</t>
  </si>
  <si>
    <t>Jo, Kyoung-nam; Woo, Kyung Sik; Lim, Hyoun Soo; Cheng, Hai; Edwards, R. Lawrence; Wang, Yongjin; Jiang, Xiuyang; Kim, Ryeon; Lee, Jae Il; Yoon, Ho Il; Yoo, Kyu-Cheul</t>
  </si>
  <si>
    <t>Holocene and Eemian climatic optima in the Korean Peninsula based on textural and carbon isotopic records from the stalagmite of the Daeya Cave, South Korea</t>
  </si>
  <si>
    <t>Stalagmite; Climatic optimum; East Asian monsoon; Palaeoclimte; Stable isotopes</t>
  </si>
  <si>
    <t>EAST-ASIAN MONSOON; LAST INTERGLACIAL PERIOD; YANGTZE-RIVER DELTA; SEA-LEVEL RISE; HIGH-RESOLUTION; NEW-ZEALAND; HULU CAVE; SPELEOTHEMS; VARIABILITY; EUROPE</t>
  </si>
  <si>
    <t>Textural and stable isotopic records from the absolute-dated stalagmite of the Daeya Cave (DY-1) provide new insights into the climatic evolution of the Korean Peninsula during the Holocene and Eemian climatic optima. The stalagmite yielded ages of 8572 +/- 227 to 5907 +/- 158 and 1,23,456 +/- 535 to 1,19,837 +/- 1089 years, which coincide with the Holocene and Eemian climatic optima, respectively. The stalagmite's delta C-13 record closely resembles previously reported Chinese speleothem delta O-18 data. Thus it can be suggested that textural and geochemical results of the DY-1 reflect East Asian monsoon intensity, which is forced by summer insolation patterns in the northern hemisphere. Lighter carbon isotopic compositions, well-developed fibrous calcite crystals, and their relatively faster growth rate in the stalagmite sample are interpreted to reflect the warmest and wettest climate conditions of the Holocene and Eemian interglacials. Both climatic optima took place when insolation was decreasing from its maximum level, temperature in Greenland was highest, and sea level approached its maximum level. These climatic optima also coincide with decreasing Antarctic temperatures. Compared the DY-1 data to other proxies, it is suggested that the Holocene and Eemian climatic optima developed through a balance among boreal insolation, monsoon intensity, and sea level (also continental ice volume), which are the main climatic forcing factors in the northern hemisphere. These trends also follow the bi-polar seesaw mechanism as previously described. (C) 2011 Elsevier Ltd. All rights reserved.</t>
  </si>
  <si>
    <t>[Woo, Kyung Sik; Kim, Ryeon] Kangwon Natl Univ, Dept Geol, Gangwondo 200701, South Korea; [Jo, Kyoung-nam; Lim, Hyoun Soo; Lee, Jae Il; Yoon, Ho Il; Yoo, Kyu-Cheul] KORDI, Korea Polar Res Inst, Inchon 406840, South Korea; [Cheng, Hai] Xi An Jiao Tong Univ, Inst Global Environm Change, Xian 710049, Shaanxi, Peoples R China; [Cheng, Hai; Edwards, R. Lawrence] Univ Minnesota, Dept Geol &amp; Geophys, Minneapolis, MN 55455 USA; [Wang, Yongjin; Jiang, Xiuyang] Nanjing Normal Univ, Dept Geog, Nanjing, Peoples R China</t>
  </si>
  <si>
    <t>Kangwon National University; Korea Institute of Ocean Science &amp; Technology (KIOST); Korea Polar Research Institute (KOPRI); Xi'an Jiaotong University; University of Minnesota System; University of Minnesota Twin Cities; Nanjing Normal University</t>
  </si>
  <si>
    <t>Woo, KS (corresponding author), Kangwon Natl Univ, Dept Geol, Gangwondo 200701, South Korea.</t>
  </si>
  <si>
    <t>wooks@kangwon.ac.kr</t>
  </si>
  <si>
    <t>CHENG, HAI/H-3413-2017; Edwards, Richard/JAX-3732-2023; Edwards, R. Lawrence/I-3124-2014; Lim, Hyoun Soo/AAC-5499-2022</t>
  </si>
  <si>
    <t>CHENG, HAI/0000-0002-5305-9458; Lim, Hyoun Soo/0000-0002-2489-4470; Yoo, Kyu-Cheul/0000-0002-6186-7535; Jiang, Xiuyang/0000-0001-9617-0431</t>
  </si>
  <si>
    <t>Korea Polar Research Institute [PP11010]; Korea Meteorological Administration Research and Development Program [RACS 2010-3007, PN10040]; Korea Institute of Geoscience and Mineral Resources (KIGAM) [GP2009-005]; Kangwon National University</t>
  </si>
  <si>
    <t>Korea Polar Research Institute(Korea Polar Research Institute of Marine Research Placement (KOPRI)); Korea Meteorological Administration Research and Development Program(Korea Meteorological Administration (KMA)); Korea Institute of Geoscience and Mineral Resources (KIGAM); Kangwon National University</t>
  </si>
  <si>
    <t>This work was supported by the K-Polar Program (PP11010) of the Korea Polar Research Institute and the Korea Meteorological Administration Research and Development Program (RACS 2010-3007, PN10040). This research was also supported in part by the project of the research on the abrupt climate change for the prediction of extreme geo-hazards and sea level change around the Korean Peninsula (GP2009-005) funded by the Korea Institute of Geoscience and Mineral Resources (KIGAM). We thank the person in charge of natural heritages in Yeongweol-gun, Gangwon-do, South Korea for authorizing cave sample collection and KNUCIC (Kangwon National University Cave Investigation Club) members for supporting field work. First author thanks for financial support from the post-doctoral research program of Kangwon National University. The authors are grateful to the Dr. Hillaire-Marcel, Dr. Huang, and two anonymous reviewers for helpful reviews and suggestions.</t>
  </si>
  <si>
    <t>10.1016/j.quascirev.2011.02.012</t>
  </si>
  <si>
    <t>WOS:000291516100015</t>
  </si>
  <si>
    <t>Mironov, EU; Porubaev, VS</t>
  </si>
  <si>
    <t>Mironov, E. U.; Porubaev, V. S.</t>
  </si>
  <si>
    <t>Morphometric parameters of ice hummocks and stamukhas from the data of expeditionary research in the northwestern part of the Caspian Sea</t>
  </si>
  <si>
    <t>The paper is based on the experimental data obtained by the Arctic and Antarctic Research Institute during the expeditions carried out in 2001-2008 within the frameworks of the Ice Research Program of Lukoil Co. in the northwestern part of the Caspian Sea. The in situ data processing and their statistical analysis enabled to obtain new information on the geometry of ice formations and distribution of main morphometric parameters of ice hummocks and stamukhas. The regularities are revealed of distributions of morphometric characteristics and parameters of the internal structure of ice hummocks and stamukhas.</t>
  </si>
  <si>
    <t>[Mironov, E. U.; Porubaev, V. S.] Arctic &amp; Antarctic Res Inst, St Petersburg 199397, Russia</t>
  </si>
  <si>
    <t>Mironov, EU (corresponding author), Arctic &amp; Antarctic Res Inst, Ul Beringa 38, St Petersburg 199397, Russia.</t>
  </si>
  <si>
    <t>Porubaev, Viktor/AAQ-2169-2021; Mironov, Yevgeny Uarovich/ADV-4713-2022</t>
  </si>
  <si>
    <t>Mironov, Yevgeny Uarovich/0000-0001-8390-8011</t>
  </si>
  <si>
    <t>10.3103/S1068373911050074</t>
  </si>
  <si>
    <t>779BM</t>
  </si>
  <si>
    <t>WOS:000291753100007</t>
  </si>
  <si>
    <t>Rignot, E</t>
  </si>
  <si>
    <t>Rignot, Eric</t>
  </si>
  <si>
    <t>Is Antarctica melting?</t>
  </si>
  <si>
    <t>WILEY INTERDISCIPLINARY REVIEWS-CLIMATE CHANGE</t>
  </si>
  <si>
    <t>B ICE SHELF; WEST ANTARCTICA; MASS-BALANCE; SEA-LEVEL; PART 1; GREENLAND; PENINSULA; BENEATH; RADAR; OCEAN</t>
  </si>
  <si>
    <t>Until recently, the mass balance of the Antarctic ice sheet was not well known. Here, I review recent progress in determining its magnitude and temporal evolution, the physical processes that control the observed changes in ice sheet mass balance, and the important knowledge gaps that remain. The results highlight that the linkage between climate change and the Antarctic ice sheet is more complex than anticipated and that major observational and numerical modeling advances will be needed before we can reliably predict its evolution in a warming climate. At present, the Antarctic ice sheet is losing mass at a rate almost comparable to that of the Greenland ice sheet, about 250 +/- 31 Gt/year or 0.7 mm/year sea level rise, and the mass loss is increasing with time, at a rate slightly below that observed in Greenland, at 14 +/- 2Gt/yr(2). The Antarctic ice sheet is therefore a major contributor to sea level rise and its contribution is slowly increasing with time. (C) 2011 John Wiley &amp; Sons, Ltd. WIREs Clim Change 2011 2 324-331 DOI:10.1002/wcc.110</t>
  </si>
  <si>
    <t>[Rignot, Eric] Univ Calif Irvine, Dept Earth Syst Sci, Irvine, CA 92717 USA; [Rignot, Eric] CALTECH, Jet Prop Lab, Pasadena, CA USA</t>
  </si>
  <si>
    <t>University of California System; University of California Irvine; California Institute of Technology; National Aeronautics &amp; Space Administration (NASA); NASA Jet Propulsion Laboratory (JPL)</t>
  </si>
  <si>
    <t>Rignot, E (corresponding author), Univ Calif Irvine, Dept Earth Syst Sci, Irvine, CA 92717 USA.</t>
  </si>
  <si>
    <t>1757-7780</t>
  </si>
  <si>
    <t>1757-7799</t>
  </si>
  <si>
    <t>WIRES CLIM CHANGE</t>
  </si>
  <si>
    <t>Wiley Interdiscip. Rev.-Clim. Chang.</t>
  </si>
  <si>
    <t>10.1002/wcc.110</t>
  </si>
  <si>
    <t>Environmental Studies; Meteorology &amp; Atmospheric Sciences</t>
  </si>
  <si>
    <t>778WJ</t>
  </si>
  <si>
    <t>WOS:000291739800002</t>
  </si>
  <si>
    <t>Liu, YP; Hou, SG; Hong, S; Hur, SD; Lee, K; Wang, YT</t>
  </si>
  <si>
    <t>Liu, Yaping; Hou, Shugui; Hong, Sungmin; Hur, Soon-Do; Lee, Khanghyun; Wang, Yetang</t>
  </si>
  <si>
    <t>Atmospheric pollution indicated by trace elements in snow from the northern slope of Cho Oyu range, Himalayas</t>
  </si>
  <si>
    <t>Trace elements; Atmospheric pollution; Seasonal variation; Cho Oyu range; Air mass trajectory</t>
  </si>
  <si>
    <t>CENTRAL GREENLAND SNOW; HEAVY-METALS; ICE CORE; SEASONAL-VARIATIONS; HIGH-ALTITUDE; ANTARCTIC SNOW; CENTRAL-ASIA; MT. EVEREST; LEAD; RECORD</t>
  </si>
  <si>
    <t>Samples collected from a 0.87 m snow pit at a high altitude site in the Cho Oyu range, Himalayas were measured for V, Cr, Mn, Co, Ni, Cu, Zn, As, Rb, Sr, Cd, Sn, Sb, Ba, Tl, Pb, Bi, Th, and U using inductively coupled plasma mass spectrometry. In addition, major ions, oxygen stable isotopes, and microparticles were also measured to assist the interpretation of seasonal variation of trace elements. The trace elements show a distinct seasonality, i.e., higher concentrations during the non-monsoon season than those during the monsoon season. Significant correlation is observed between Ba and the other trace elements. Crustal enrichment factor (EFc) analysis indicates that V, Mn, Co, Ni, Rb, Sr, and Th originate mainly from crustal dust, while anthropogenic inputs make an important contribution to the other trace elements (i.e., Cu, Zn, As, Cd, Sn, Sb, Ti, Pb, Bi, and U). Evidence from air mass back trajectories suggests that atmospheric trace element pollution reaching the studied area is transported dominantly by Indian summer monsoon during the monsoon season, while it is transported mainly by the westerlies during the non-monsoon season.</t>
  </si>
  <si>
    <t>[Hong, Sungmin; Hur, Soon-Do; Lee, Khanghyun] Korea Polar Res Inst, Inchon 406840, South Korea; [Liu, Yaping; Hou, Shugui] Chinese Acad Sci, State Key Lab Cryospher Sci, Cold &amp; Arid Reg Environm &amp; Engn Res Inst, Lanzhou 730000, Peoples R China</t>
  </si>
  <si>
    <t>Korea Polar Research Institute (KOPRI); Korea Institute of Ocean Science &amp; Technology (KIOST); Chinese Academy of Sciences; Cold &amp; Arid Regions Environmental &amp; Engineering Research Institute, CAS</t>
  </si>
  <si>
    <t>Hou, SG (corresponding author), Nanjing Univ, Sch Geog &amp; Oceanog Sci, Nanjing 210093, Peoples R China.</t>
  </si>
  <si>
    <t>Hou, Shugui/0000-0002-0905-3542</t>
  </si>
  <si>
    <t>Natural Science Foundation of China [40825017]; National Basic Research program of China [2007CB411501]; Chinese Academy of Sciences [SKLCS-ZZ-2008-06]; Nanjing University; KOPRI [PP09010]; INHA University [INHA-40890-01]</t>
  </si>
  <si>
    <t>Natural Science Foundation of China(National Natural Science Foundation of China (NSFC)); National Basic Research program of China(National Basic Research Program of China); Chinese Academy of Sciences(Chinese Academy of Sciences); Nanjing University(Nanjing University); KOPRI(Korea Polar Research Institute of Marine Research Placement (KOPRI)); INHA University</t>
  </si>
  <si>
    <t>Thanks are due to many scientists, technicians, graduates students, and porters for hard work expertly carried out in the field. The authors greatly appreciate the comments from anonymous reviewers for the improvement of this paper. This work was supported by the Natural Science Foundation of China (40825017), National Basic Research program of China (2007CB411501), the Chinese Academy of Sciences (SKLCS-ZZ-2008-06, 100 Talents Project) and the Nanjing University. In Korea, this work was supported by KOPRI research Grant (PP09010) and INHA University Research Grant (INHA-40890-01).</t>
  </si>
  <si>
    <t>10.1007/s12665-010-0714-0</t>
  </si>
  <si>
    <t>750PQ</t>
  </si>
  <si>
    <t>WOS:000289560900011</t>
  </si>
  <si>
    <t>Dallai, L; Burgess, R</t>
  </si>
  <si>
    <t>Dallai, Luigi; Burgess, Ray</t>
  </si>
  <si>
    <t>A record of Antarctic surface temperature between 25 and 50 m.y. ago</t>
  </si>
  <si>
    <t>CARBON-DIOXIDE CONCENTRATIONS; OXYGEN-ISOTOPE; HYDROGEN ISOTOPE; CLIMATE-CHANGE; GLACIATION; EXCHANGE; SYSTEM</t>
  </si>
  <si>
    <t>We present the first Antarctic terrestrial record of climate variations through the Cenozoic, based on the hydrogen isotope composition of hydrothermally altered minerals of intrusive rocks. This new record provides an independent geochemical proxy for continental climatic conditions; whereas, most land surface temperature proxies are biological. The temperature record is consistent with the range predicted by global climate models and proxy records for glacial and pre-glacial conditions in the Ross Sea region of Antarctica. The combined stable isotope (O and H) and age (40Ar-39Ar) determinations of hydrous mineral from Cenozoic igneous plutons and dikes show that the protracted time scale of magmatic activity and extensive hydrothermal exchange with local meteoric waters has preserved a semiquantitative climate signal of intervals in which atmospheric temperatures significantly fluctuated. These data also reveal that glacial episodes comparable with current polar conditions occurred repeatedly prior to geographical and thermal isolation of the Antarctic continent.</t>
  </si>
  <si>
    <t>[Dallai, Luigi] CNR, Ist Geosci &amp; Georisorse, I-56124 Pisa, Italy; [Burgess, Ray] Univ Manchester, Sch Earth Atmospher &amp; Environm Sci, Manchester M13 9PL, Lancs, England</t>
  </si>
  <si>
    <t>Consiglio Nazionale delle Ricerche (CNR); Istituto di Geoscienze e Georisorse (IGG-CNR); University of Manchester</t>
  </si>
  <si>
    <t>Dallai, L (corresponding author), CNR, Ist Geosci &amp; Georisorse, Via Moruzzi 1, I-56124 Pisa, Italy.</t>
  </si>
  <si>
    <t>dallai@igg.cnr.it</t>
  </si>
  <si>
    <t>Burgess, Ray/A-5767-2009</t>
  </si>
  <si>
    <t>Burgess, Ray/0000-0001-7674-8718; Dallai, Luigi/0000-0002-1514-5013</t>
  </si>
  <si>
    <t>Italian National Antarctic Research Program (PNRA)</t>
  </si>
  <si>
    <t>Italian National Antarctic Research Program (PNRA)(Ministry of Education, Universities and Research (MIUR))</t>
  </si>
  <si>
    <t>This work was supported by the Italian National Antarctic Research Program (PNRA). We thank C. Lear and P.N. Pearson for providing the seawater O isotope data, and pCO2 curve, respectively. We acknowledge B. Clementson and D. Blagburn for technical assistance in Manchester, G. De Grandis for mineral separation, and M. Alberti for assistance with the sample repository at the Antarctic Museum of Siena. Comments from J.S. Lackey, W. Dickinson, Z.D. Sharp, J. Smellie, and an anonymous referee improved the manuscript.</t>
  </si>
  <si>
    <t>10.1130/G31569.1</t>
  </si>
  <si>
    <t>WOS:000289416500008</t>
  </si>
  <si>
    <t>Luzón, F; Almendros, J; García-Jerez, A</t>
  </si>
  <si>
    <t>Luzon, F.; Almendros, J.; Garcia-Jerez, A.</t>
  </si>
  <si>
    <t>Shallow structure of Deception Island, Antarctica, from correlations of ambient seismic noise on a set of dense seismic arrays</t>
  </si>
  <si>
    <t>GEOPHYSICAL JOURNAL INTERNATIONAL</t>
  </si>
  <si>
    <t>Surface waves and free oscillations; Volcano seismology; Wave propagation; Antarctica</t>
  </si>
  <si>
    <t>SPATIAL AUTOCORRELATION METHOD; RAYLEIGH-WAVE TOMOGRAPHY; VELOCITY STRUCTURE; BRANSFIELD STRAIT; CRUSTAL STRUCTURE; VOLCANIC ACTIVITY; GREENS-FUNCTION; DIFFUSE FIELDS; SPAC; INTERFEROMETRY</t>
  </si>
  <si>
    <t>P&gt;We investigated the shallow velocity structure of Deception Island volcano, Antarctica, using correlations of ambient seismic noise. We selected long records of noise obtained by eight seismic arrays deployed along the inner coast of Deception during the period 2003-2005. Using these data, we calculated average dispersion curves and estimated local 1-D velocity models for the array sites. The combination of these profiles allowed us to obtain a comprehensive model of the shallow velocity structure of the island. The volcano is composed of relatively soft layers of pyroclastic deposits and sediments extending to a depth of about 400 m, with different degrees of compaction. Two layers with thicknesses of about 100 and 300 m and S-wave velocities of around 0.2-0.8 and 0.7-1.1 km s-1, respectively, can be differentiated. The deeper structure is highly variable in terms of wave velocities and layer depths. Although the resolving capabilities are reduced for these layers, the larger S-wave velocities in the range 1.3-2.8 km s-1 indicate that they can be associated with pre-caldera structures and products. There are substantial differences between the different models, which can be spatially related to heterogeneities in the volcano structure. The lowest S-wave velocities may be related to the alterations produced by hydrothermal activity near the surface. On the contrary, the largest velocities occur near the caldera border, revealing the presence of compact materials at shallow depths. Sharp lateral variations can also be observed in the northwest of the bay, which points to the presence of NW-SE faults and/or strong velocity gradients.</t>
  </si>
  <si>
    <t>[Luzon, F.; Garcia-Jerez, A.] Univ Almeria Canada, Dpto Fis Aplicada, Almeria, Spain; [Almendros, J.] Univ Granada, Inst Andaluz Geofis, E-18071 Granada, Spain; [Almendros, J.] Univ Granada, Dpto Fis Teor &amp; Cosmos, E-18071 Granada, Spain</t>
  </si>
  <si>
    <t>Universidad de Almeria; University of Granada; University of Granada</t>
  </si>
  <si>
    <t>Luzón, F (corresponding author), Univ Almeria Canada, Dpto Fis Aplicada, San Urbano S-N, Almeria, Spain.</t>
  </si>
  <si>
    <t>fluzon@ual.es</t>
  </si>
  <si>
    <t>Garcia-Jerez, Antonio/R-4683-2019; Almendros, Javier/M-2468-2014</t>
  </si>
  <si>
    <t>Garcia-Jerez, Antonio/0000-0002-8971-7467; Almendros, Javier/0000-0001-5936-6160</t>
  </si>
  <si>
    <t>CICYT, Spain [REN2001-3833, CGL2010-16250, CGL2004-20002-E/ANT, CTM2009-08085-E/ANT, POL2006-08663]; European Union; Junta de Andalucia, Spain</t>
  </si>
  <si>
    <t>CICYT, Spain(Consejo Interinstitucional de Ciencia y Tecnologia (CICYT)); European Union(European Union (EU)); Junta de Andalucia, Spain(Junta de Andalucia)</t>
  </si>
  <si>
    <t>This work was partially supported by CICYT, Spain, under Grants REN2001-3833, CGL2010-16250, CGL2004-20002-E/ANT, CTM2009-08085-E/ANT and POL2006-08663; by the European Union FEDER program; and by research teams RNM-194 and RNM-104 from the Junta de Andalucia, Spain. We thank all the participants in the 2003-2005 seismic surveys, including the TOMODEC Working Group, whose great deeds in a harsh environment will be remembered for many years to come. We are especially indebted to Dr. J. Ibanez, whose dedication and effort has made the seismic experiments carried out at Deception Island over the last 12 yr possible. We also thank the Spanish Army and Navy, the Spanish Polar Committee, the Marine Technology Unit and all other institutions involved in the Spanish Antarctic Program. Massive calculations were performed at the parallel computing facility WaveCom II at the University of Almeria. Finally, we acknowledge Dr. Halliday and two anonymous reviewers, whose comments contributed to improve the manuscript.</t>
  </si>
  <si>
    <t>0956-540X</t>
  </si>
  <si>
    <t>1365-246X</t>
  </si>
  <si>
    <t>GEOPHYS J INT</t>
  </si>
  <si>
    <t>Geophys. J. Int.</t>
  </si>
  <si>
    <t>10.1111/j.1365-246X.2011.04962.x</t>
  </si>
  <si>
    <t>749NP</t>
  </si>
  <si>
    <t>WOS:000289475400014</t>
  </si>
  <si>
    <t>Vinuesa, JH; Varisco, M; Escriche, F</t>
  </si>
  <si>
    <t>Vinuesa, Julio H.; Varisco, Martin; Escriche, Florencia</t>
  </si>
  <si>
    <t>Settlement and recruitment of the crab Halicarcinus planatus (Crustacea: Decapoda: Hymenosomatidae) in Golfo San Jorge, Argentina</t>
  </si>
  <si>
    <t>larvae; settlement; juveniles; sub-Antarctic crab; Patagonia</t>
  </si>
  <si>
    <t>CYRTOGRAPSUS-ANGULATUS BRACHYURA; CHASMAGNATHUS-GRANULATA; SETTLING BEHAVIOR; MICROHABITAT USE; SPINY LOBSTERS; DESEADO RIVER; METAMORPHOSIS; CANNIBALISM; JUVENILES; PREDATION</t>
  </si>
  <si>
    <t>The settlement and recruitment of the small brachyuran crab Halicarcinus planatus from the central area of Golfo San Jorge, south-western Atlantic Ocean, was studied. Three different artificial collectors were evaluated: smooth-surface panels, panels covered with synthetic lawn and ballasted plastic boxes filled with remains of fishing nets. In addition, plankton samples were taken monthly and water salinity and temperature were recorded. Between July 2006 and June 2007, the collectors were deployed monthly in the subtidal zone of two nearby localities and collected two months later. The recovered crabs were classified into four stages: settlers, recruits, advanced juveniles and mature crabs. There were differences in the presence of stages among collector types and seasons but not between localities. Settlers and recruits were abundant on the panels with synthetic lawn, while late juvenile and mature females were more frequent in the boxes. Larval stages occur between July and February, and only zoeas I and II were found. The males, which were only represented by early juveniles, were exclusively found on the panels with synthetic lawn, from where they would subsequently migrate to cryptic habitats such as the holdfast of Macrocystis pyrifera. Settlement occurs between September and April. Settlers showed a peak in abundance during November-December, while the recruits showed two peaks, one in December and the other in February-March. For late juveniles, the maximum abundance was recorded in April-May. Ovigerous females were found between May and September, when the experiment ended. Settlement and recruitment of H. planatus in Golfo San Jorge occur over a prolonged period. Individuals may undergo shifts in microhabitat use during this period, probably related to the search for food and shelter, and avoidance of predation and cannibalism.</t>
  </si>
  <si>
    <t>[Vinuesa, Julio H.; Varisco, Martin; Escriche, Florencia] UNPSJB, Inst Desarrollo Costero, RA-9000 Comodoro Rivadavia, Chubut, Argentina; [Vinuesa, Julio H.; Varisco, Martin] Consejo Nacl Invest Cient &amp; Tecn, RA-1033 Buenos Aires, DF, Argentina; [Varisco, Martin] UNPSJB, Fac Ciencias Nat, RA-9000 Comodoro Rivadavia, Chubut, Argentina</t>
  </si>
  <si>
    <t>Vinuesa, JH (corresponding author), UNPSJB, Inst Desarrollo Costero, Campus Univ,Ruta 1,Km 4, RA-9000 Comodoro Rivadavia, Chubut, Argentina.</t>
  </si>
  <si>
    <t>vinuesa@unpata.edu.ar</t>
  </si>
  <si>
    <t>Proyecto Marino Patagonico [PNUD ARG 02/018]; Donacion GEF/BIRF [AB-67]</t>
  </si>
  <si>
    <t>Proyecto Marino Patagonico; Donacion GEF/BIRF</t>
  </si>
  <si>
    <t>Thanks are due to the diver Mr Hector Durbas for the installation and recovery of the collectors. We appreciate the helpful comments of two anonymous referees on the manuscript. This work was supported by the Project PNUD ARG 02/018: 'Coastal Contamination Prevention and Marine Biodiversity Management' Proyecto Marino Patagonico, Donacion GEF/BIRF (Subproject AB-67).</t>
  </si>
  <si>
    <t>10.1017/S0025315410001864</t>
  </si>
  <si>
    <t>749CO</t>
  </si>
  <si>
    <t>WOS:000289439900012</t>
  </si>
  <si>
    <t>Chong, GL; Chu, WL; Othman, RY; Phang, SM</t>
  </si>
  <si>
    <t>Chong, Geeng-Loo; Chu, Wan-Loy; Othman, Rofina Yasmin; Phang, Siew-Moi</t>
  </si>
  <si>
    <t>Differential gene expression of an Antarctic Chlorella in response to temperature stress</t>
  </si>
  <si>
    <t>Chlorella; Antarctic algae; Differential gene expression; GeneFishing; Temperature stress</t>
  </si>
  <si>
    <t>ACCLIMATION; GROWTH; PHOTOSYNTHESIS; ADAPTATION; PROTEINS; CULTURES</t>
  </si>
  <si>
    <t>Changes in gene expression are an important response of Antarctic algae to temperature stress. The objective of this study was to investigate the differential gene expression of the Antarctic alga Chlorella UMACC 234 in response to temperature stress. The RNA was extracted from the cells grown at 4, 20, and 30A degrees C and converted to cDNA by reverse transcription. Differentially expressed genes (DEG) were isolated and identified using the GeneFishing (TM) DEG Kit (Seegene) with 20 arbitrary annealing control primers (ACP). The bands of interest were excised and purified from the agarose gel and then cloned and sequenced. A total of 22 DEG clones were isolated and identified, with 11 DEG detected only at 30A degrees C and six DEG detected only at 4A degrees C. Three DEG were detected at 4 and 20A degrees C while two were detected at 20 and 30A degrees C. The DEG were associated with functions such as photosynthesis, carbohydrate metabolism, electron transfer, and cell maintenance. Three DEG that showed high degree of similarity with sequences from the database were those code for Photosystem II P680 chlorophyll a apoprotein CP47 (PSII-CP47), aldose 1-epimerase, and a putative oxidoreductase. Real-time PCR analysis showed that the expression of the PSII-CP47 gene increased by threefold at 4A degrees C while that of the aldose 1-epimerase and oxidoreductase genes increased by threefold and eightfold, respectively, at 30A degrees C compared with 20A degrees C (optimal growth temperature).</t>
  </si>
  <si>
    <t>[Chong, Geeng-Loo; Othman, Rofina Yasmin; Phang, Siew-Moi] Univ Malaya, Inst Biol Sci, Fac Sci, Kuala Lumpur 50603, Malaysia; [Chu, Wan-Loy] Int Med Univ, Kuala Lumpur 57000, Malaysia; [Phang, Siew-Moi] Univ Malaya, Inst Ocean &amp; Earth Sci, Kuala Lumpur 50603, Malaysia</t>
  </si>
  <si>
    <t>Universiti Malaya; International Medical University Malaysia; Universiti Malaya</t>
  </si>
  <si>
    <t>Phang, SM (corresponding author), Univ Malaya, Inst Biol Sci, Fac Sci, Kuala Lumpur 50603, Malaysia.</t>
  </si>
  <si>
    <t>phang@um.edu.my</t>
  </si>
  <si>
    <t>Othman, Rofina Yasmin/X-5000-2019; Phang, Siew Moi/A-7653-2008; Chu, Wan-Loy/A-6896-2011</t>
  </si>
  <si>
    <t>Othman, Rofina Yasmin/0000-0003-4932-9889; Chu, Wan-Loy/0000-0002-1676-4131</t>
  </si>
  <si>
    <t>Ministry of Science, Technology and Innovation Malaysia (MOSTI) [8123204]; University of Malaya [Vote F0156/2005C, P0233/2007A]</t>
  </si>
  <si>
    <t>Ministry of Science, Technology and Innovation Malaysia (MOSTI)(Ministry of Energy, Science, Technology, Environment and Climate Change (MESTECC), Malaysia); University of Malaya(Universiti Malaya)</t>
  </si>
  <si>
    <t>This study was funded by a grant (No: 8123204) from the Ministry of Science, Technology and Innovation Malaysia (MOSTI) coordinated by the Academy of Sciences Malaysia (ASM). The University of Malaya is gratefully acknowledged for supporting this project through the PJP short-term research grant (Vote F0156/2005C) and PPP postgraduate research fund (P0233/2007A). Thanks are due to the Australian Antarctic Division for providing the berths in the expedition to Casey, Antarctica. This research formed part of the International Polar Year (IPY) Project (EOI No. 96) under the consortium project (IPY EOI 429) on Microbiological and Ecological Responses to Global Environmental Changes in Polar Regions (MERGE).</t>
  </si>
  <si>
    <t>10.1007/s00300-010-0918-5</t>
  </si>
  <si>
    <t>WOS:000289481400002</t>
  </si>
  <si>
    <t>Borley, KA; Sidell, BD</t>
  </si>
  <si>
    <t>Borley, Kimberly A.; Sidell, Bruce D.</t>
  </si>
  <si>
    <t>Evolution of the myoglobin gene in Antarctic Icefishes (Channichthyidae)</t>
  </si>
  <si>
    <t>Antarctic Icefish; Myoglobin; Promoter elements; Notothenioids</t>
  </si>
  <si>
    <t>EXPRESSION; SEQUENCE; TRANSCRIPTION; REMNANTS; ELEMENTS</t>
  </si>
  <si>
    <t>Antarctic icefishes (Family: Channichthyidae) are the only adult vertebrate animals that do not express the circulatory oxygen-binding protein, hemoglobin. Six species of icefishes, including Dacodraco hunteri, also do not express myoglobin (Mb), an oxygen-binding protein found in ventricular tissue of Antarctic notothenioids. Sequence of the Mb gene from D. hunteri contains a duplicated TATA box in the promoter region of the Mb gene that is absent in Chionodraco rastrospinosus, an icefish species known to express Mb. The 15-base pair insertion in D. hunteri is identical to the duplicated TATA box that is thought to be directly responsible for preventing transcription of the Mb gene in C. aceratus, another icefish species that lacks Mb expression. Sequencing of the Mb promoter from the remaining channichthyid species revealed the duplicated TATA box in 14 of 16 icefish species, including 8 species known to express Mb. Based on the presence of the duplicated TATA box in promoters of both Mb-expressing and Mb-lacking species, loss of Mb expression in D. hunteri and C. aceratus is either independent of the duplicated TATA box, or the duplicated TATA box requires presence or absence of a distant regulatory element to prevent transcription.</t>
  </si>
  <si>
    <t>[Sidell, Bruce D.] Univ Maine, Sch Marine Sci, Orono, ME 04469 USA; [Borley, Kimberly A.] Univ Maine, Dept Mol &amp; Biomed Sci, Orono, ME 04469 USA</t>
  </si>
  <si>
    <t>Sidell, BD (corresponding author), Univ Maine, Sch Marine Sci, 5751 Murray Hall, Orono, ME 04469 USA.</t>
  </si>
  <si>
    <t>bsidell@maine.edu</t>
  </si>
  <si>
    <t>US National Science Foundation [ANT 04-37887, ANT 07-39637]</t>
  </si>
  <si>
    <t>The authors gratefully acknowledge generous provision of samples by Drs. H. W. Detrich and Thomas Near. We also thank Dr. Kristin Kuhn for her assistance in shipping samples and amplifying the 5' end of the C. rhinoceratus myoglobin gene. Funding for this research was provided by US National Science Foundation Grants (Antarctic Organisms and Ecosystems Program) ANT 04-37887 and ANT 07-39637 to B.D. Sidell.</t>
  </si>
  <si>
    <t>10.1007/s00300-010-0921-x</t>
  </si>
  <si>
    <t>WOS:000289481400004</t>
  </si>
  <si>
    <t>Vigo, GB; Leotta, GA; Caffer, MI; Salve, A; Binsztein, N; Pichel, M</t>
  </si>
  <si>
    <t>Vigo, German B.; Leotta, Gerardo A.; Ines Caffer, Maria; Salve, Angela; Binsztein, Norma; Pichel, Mariana</t>
  </si>
  <si>
    <t>Isolation and characterization of Salmonella enterica from Antarctic wildlife</t>
  </si>
  <si>
    <t>Salmonella; Antarctica; PFGE; RAPD-PCR</t>
  </si>
  <si>
    <t>HOPE BAY; ANTIMICROBIAL RESISTANCE; CALIFORNIA COAST; ADELIE PENGUINS; SEA LIONS; BIRDS; ENTERITIDIS; SEROTYPES; BACTERIA; GULLS</t>
  </si>
  <si>
    <t>In recent years, the human presence in Antarctica has increased and as a consequence, the possibility of microorganisms' introduction. The aims of this work were to determine the presence of Salmonella enterica in Antarctic seabirds and sea mammals, to characterize the isolates identified, and to determine the genetic relation of Antarctic S. enterica isolates among them and compare with isolates of human, animal, and food sources recovered in Argentina. During the summer 2000 and 2002 in Potter Peninsula, and during the summer 2001 and 2003 in Hope Bay, a total of 1,739 fecal samples from Antarctic animals were collected and analyzed. In summer 2000, S. Newport and S. Enteritidis were isolated from 8.9% of southern giant petrels (Macronectes giganteus). In summer 2003, S. Enteritidis was isolated from 1.5% of Adelie penguins (Pygoscelis adeliae), from 5.5% of skuas (Stercorarius sp.), from 5.4% of kelp gulls (Larus dominicanus), and from 5.6% of Weddell seals (Leptonychotes weddelli). All the isolates belonging to the same serovar showed indistinguishable genomic profiles by Pulse-Field Gel Electrophoresis (PFGE) with XbaI and BlnI restriction enzymes and by Random Amplified Polymorphic DNA (RAPD-PCR). In addition, these Antarctic strains were different from S. enterica isolates from different sources identified in Argentina during the same or close time periods.</t>
  </si>
  <si>
    <t>[Vigo, German B.] Univ Nacl La Plata, Catedra Microbiol, Fac Ciencias Vet, RA-1900 Buenos Aires, DF, Argentina; [Leotta, Gerardo A.] Univ Nacl La Plata, Microbiol Lab, Fac Ciencias Vet, RA-1900 Buenos Aires, DF, Argentina; [Leotta, Gerardo A.] Consejo Nacl Invest Cient &amp; Tecn CONICET, Buenos Aires, DF, Argentina; [Ines Caffer, Maria; Salve, Angela; Binsztein, Norma; Pichel, Mariana] Inst Nacl Enfermedades Infecciosas ANLIS Dr Carlo, Serv Enterobacterias, Dept Bacteriol, RA-1281 Buenos Aires, DF, Argentina</t>
  </si>
  <si>
    <t>National University of La Plata; National University of La Plata; Consejo Nacional de Investigaciones Cientificas y Tecnicas (CONICET)</t>
  </si>
  <si>
    <t>Vigo, GB (corresponding author), Univ Nacl La Plata, Catedra Microbiol, Fac Ciencias Vet, Calle 118 &amp; 60 Cc 296, RA-1900 Buenos Aires, DF, Argentina.</t>
  </si>
  <si>
    <t>gvigo@fcv.unlp.edu.ar</t>
  </si>
  <si>
    <t>Instituto Antartico Argentino; Departamento de Biologia, Direccion Nacional del Antartico</t>
  </si>
  <si>
    <t>The authors would like to thank Instituto Antartico Argentino and Departamento de Biologia, Direccion Nacional del Antartico, for providing support for field work in Antarctica, especially to N. R. Coria. We are grateful to M. Perez Cometto and D. Montalti for their field collaboration.</t>
  </si>
  <si>
    <t>10.1007/s00300-010-0923-8</t>
  </si>
  <si>
    <t>WOS:000289481400006</t>
  </si>
  <si>
    <t>Fritsen, CH; Memmott, JC; Ross, RM; Quetin, LB; Vernet, M; Wirthlin, ED</t>
  </si>
  <si>
    <t>Fritsen, Christian H.; Memmott, Jeramie C.; Ross, Robin M.; Quetin, Langdon B.; Vernet, Maria; Wirthlin, Eric D.</t>
  </si>
  <si>
    <t>The timing of sea ice formation and exposure to photosynthetically active radiation along the Western Antarctic Peninsula</t>
  </si>
  <si>
    <t>Sea ice; Antarctica; Ice Algae; Photosynthetically active radiation; Insolation</t>
  </si>
  <si>
    <t>KRILL EUPHAUSIA-SUPERBA; PACK-ICE; VARIABILITY; RECRUITMENT; REGION; OCEAN; ALGAE</t>
  </si>
  <si>
    <t>Understanding the flow of solar energy into ecosystems is fundamental to understanding ecosystem productivity and dynamics. To gain a better understanding of this fundamental process in the Antarctic winter sea ice, we produced a model that estimates the time-integrated exposure of seasonal Antarctic sea ice to PAR through the use of remotely sensed sea ice concentrations, sea ice movement and spatially distributed PAR calculations that account for cloud cover and have applied this model over the past three decades. The resulting spatially distributed estimates of sea ice exposure to PAR by mid-winter are evaluated in context of changes in the timing of sea ice formation that have been documented along the Western Antarctic Peninsula (WAP) region and its potential effects on the variation (seasonal and inter-annual) in the accumulation of sea ice algae in this region. The analysis shows the ice pack is likely to have large inter-annual variations (10-100 fold) in productivity throughout the autumn to winter transition in the sea ice along the WAP. Moreover, the pack ice is likely to have spatial structure in regards to biological processes that cannot be determined from analysis of sea ice concentration information alone. The resulting inter-annual variations in winter processes are likely to affect the dynamics of Antarctic krill (Euphausia superba).</t>
  </si>
  <si>
    <t>[Fritsen, Christian H.; Memmott, Jeramie C.; Wirthlin, Eric D.] Desert Res Inst, Reno, NV 89512 USA; [Ross, Robin M.; Quetin, Langdon B.] Univ Calif Santa Barbara, Inst Marine Sci, Santa Barbara, CA 93106 USA; [Vernet, Maria] Univ Calif San Diego, Scripps Inst Oceanog, La Jolla, CA 92093 USA</t>
  </si>
  <si>
    <t>Nevada System of Higher Education (NSHE); Desert Research Institute NSHE; University of California System; University of California Santa Barbara; University of California System; University of California San Diego; Scripps Institution of Oceanography</t>
  </si>
  <si>
    <t>Fritsen, CH (corresponding author), Desert Res Inst, 2215 Raggio Pkwy, Reno, NV 89512 USA.</t>
  </si>
  <si>
    <t>Christian.Fritsen@dri.edu</t>
  </si>
  <si>
    <t>NSF-Office of Polar Programs [ANT-0529666, ANT-0529087, ANT-0528728]</t>
  </si>
  <si>
    <t>NSF-Office of Polar Programs(National Science Foundation (NSF))</t>
  </si>
  <si>
    <t>This research was supported by NSF-Office of Polar Programs grants ANT-0529666, ANT-0529087, and ANT-0528728. We thank the many contributors to engaging discussions regarding seasonal timing and potential ecosystem response over the past seasons.</t>
  </si>
  <si>
    <t>10.1007/s00300-010-0924-7</t>
  </si>
  <si>
    <t>WOS:000289481400007</t>
  </si>
  <si>
    <t>Wang, YT; Hou, SG</t>
  </si>
  <si>
    <t>Wang YeTang; Hou ShuGui</t>
  </si>
  <si>
    <t>Spatial distribution of 10 m firn temperature in the Antarctic ice sheet</t>
  </si>
  <si>
    <t>SCIENCE CHINA-EARTH SCIENCES</t>
  </si>
  <si>
    <t>Antarctica; 10 m firn temperature; spatial distribution</t>
  </si>
  <si>
    <t>DRONNING MAUD LAND; SNOW-ACCUMULATION RATES; NORTHERN VICTORIA-LAND; SURFACE MASS-BALANCE; EAST ANTARCTICA; OXYGEN-ISOTOPE; CLIMATE-CHANGE; WEST ANTARCTICA; TEMPORAL VARIABILITY; DEUTERIUM EXCESS</t>
  </si>
  <si>
    <t>A database of Antarctic 10 m firn temperature was constructed using available borehole temperature measurements with data quality control to extend knowledge of Antarctic climate. Slopes from a high-resolution digital elevation model and the main ice divide were used to delineate main drainage sectors across Antarctica. In each drainage sector, a quantitative relationship between temperature and latitude, longitude and altitude was established using available firn temperature data. Quantitative relationships incorporating other factors affecting Antarctic air temperature such as atmospheric circulation and small-scale topography were used to derive a 10-km resolution grid map of surface temperature. The resulting temperature patterns presented a reasonable depiction of both large and small-scale variations in Antarctic 10 m firn temperature. This map is useful for many spatial variation studies, Antarctic ice sheet models, and comparison with satellite-derived temperature data and outputs of atmospheric general circulation models.</t>
  </si>
  <si>
    <t>[Wang YeTang] Shandong Marine Fisheries Res Inst, Yantai 264006, Peoples R China; [Hou ShuGui] Nanjing Univ, MOE, Key Lab Coast &amp; Isl Dev, Sch Geog &amp; Oceanog Sci, Nanjing 210093, Peoples R China; [Wang YeTang; Hou ShuGui] Chinese Acad Sci, State Key Lab Cryospher Sci, Cold &amp; Arid Reg Environm &amp; Engn Res Inst, Lanzhou 730000, Peoples R China</t>
  </si>
  <si>
    <t>Nanjing University; Chinese Academy of Sciences; Cold &amp; Arid Regions Environmental &amp; Engineering Research Institute, CAS</t>
  </si>
  <si>
    <t>Wang, YT (corresponding author), Shandong Marine Fisheries Res Inst, Yantai 264006, Peoples R China.</t>
  </si>
  <si>
    <t>wangyetang@163.com</t>
  </si>
  <si>
    <t>National Natural Science Foundation of China [40825017]; Chinese Academy of Sciences [SKLCSZZ-2008-06]; National Key Technology R D Program [2006BAB18B01]</t>
  </si>
  <si>
    <t>National Natural Science Foundation of China(National Natural Science Foundation of China (NSFC)); Chinese Academy of Sciences(Chinese Academy of Sciences); National Key Technology R D Program(National Key Technology R&amp;D Program)</t>
  </si>
  <si>
    <t>We gratefully thank the National Snow and Ice Data Centre for providing RAMP/DEM. We also thank Dr. David G. Vaughan for providing some of the 10 m firn temperature data, and the anonymous reviewers for their constructive comments to improve this manuscript. This work was supported by National Natural Science Foundation of China (Grant No. 40825017), Chinese Academy of Sciences (Grant No. SKLCSZZ-2008-06), and National Key Technology R &amp; D Program (Grant No. 2006BAB18B01).</t>
  </si>
  <si>
    <t>1674-7313</t>
  </si>
  <si>
    <t>1869-1897</t>
  </si>
  <si>
    <t>SCI CHINA EARTH SCI</t>
  </si>
  <si>
    <t>Sci. China-Earth Sci.</t>
  </si>
  <si>
    <t>10.1007/s11430-010-4066-0</t>
  </si>
  <si>
    <t>750QL</t>
  </si>
  <si>
    <t>WOS:000289563000004</t>
  </si>
  <si>
    <t>Brown, M; Kawaguchi, S; King, R; Virtue, P; Nicol, S</t>
  </si>
  <si>
    <t>Brown, Matthew; Kawaguchi, So; King, Robert; Virtue, Patti; Nicol, Stephen</t>
  </si>
  <si>
    <t>Flexible adaptation of the seasonal krill maturity cycle in the laboratory</t>
  </si>
  <si>
    <t>flexibility; photoperiod; physiology; maturity cycle; regression; environmental conditions</t>
  </si>
  <si>
    <t>ANTARCTIC KRILL; EUPHAUSIA-SUPERBA; OCEAN</t>
  </si>
  <si>
    <t>Under controlled laboratory conditions, the influence of various light regimes on the maturation cycle of Antarctic krill (Euphausia superba) was investigated. An accelerated rate of maturity regression occurred when krill commenced sexual regression under complete darkness. Krill can therefore flexibly adjust their seasonal physiological cycles to cope with varying environmental conditions.</t>
  </si>
  <si>
    <t>[Brown, Matthew; Kawaguchi, So; King, Robert; Nicol, Stephen] Australian Antarctic Div, Kingston, Tas 7050, Australia; [Brown, Matthew; Virtue, Patti] Univ Tasmania, Inst Marine &amp; Antarctic Studies, Hobart, Tas 7001, Australia; [Brown, Matthew; Kawaguchi, So; Nicol, Stephen] Antarctic Climate &amp; Ecosyst Cooperat Res Ctr, Hobart, Tas 7001, Australia</t>
  </si>
  <si>
    <t>Australian Antarctic Division; University of Tasmania; Antarctic Climate &amp; Ecosystems Cooperative Research Centre (ACE CRC)</t>
  </si>
  <si>
    <t>Kawaguchi, S (corresponding author), Australian Antarctic Div, 203 Channel Highway, Kingston, Tas 7050, Australia.</t>
  </si>
  <si>
    <t>Virtue, Patti/0000-0002-9870-1256; Kawaguchi, So/0000-0002-2042-5095; King, Robert/0000-0002-4650-2335</t>
  </si>
  <si>
    <t>Tasmanian Graduate Research Scholarship; Australian government's Cooperative Research Centre thorugh Antarctic Climate and Ecosystems Cooperative Research Centre (ACE CRC)</t>
  </si>
  <si>
    <t>Tasmanian Graduate Research Scholarship; Australian government's Cooperative Research Centre thorugh Antarctic Climate and Ecosystems Cooperative Research Centre (ACE CRC)(Australian GovernmentDepartment of Industry, Innovation and ScienceCooperative Research Centres (CRC) Programme)</t>
  </si>
  <si>
    <t>This work was supported by the Tasmanian Graduate Research Scholarship and the Australian government's Cooperative Research Centres Programme through the Antarctic Climate and Ecosystems Cooperative Research Centre (ACE CRC).</t>
  </si>
  <si>
    <t>10.1093/plankt/fbq123</t>
  </si>
  <si>
    <t>WOS:000289198500012</t>
  </si>
  <si>
    <t>Sereda, JM; Vandergucht, DM; Hudson, JJ</t>
  </si>
  <si>
    <t>Sereda, Jeff M.; Vandergucht, David M.; Hudson, Jeff J.</t>
  </si>
  <si>
    <t>Disruption of planktonic phosphorus cycling by ultraviolet radiation</t>
  </si>
  <si>
    <t>HYDROBIOLOGIA</t>
  </si>
  <si>
    <t>Cycling; Lakes; Phosphorus; Plankton; Ultraviolet radiation</t>
  </si>
  <si>
    <t>ALKALINE-PHOSPHATASE ACTIVITY; UV-B EXPOSURE; FRESH-WATER; ANTARCTIC PHYTOPLANKTON; NATURAL PHYTOPLANKTON; ORGANIC PHOSPHORUS; MARINE DIATOM; LAKE WATER; BACTERIOPLANKTON; COMMUNITIES</t>
  </si>
  <si>
    <t>Ultraviolet radiation (UVR) may alter phosphorous (P) cycling by plankton through changes in the acquisition and/or regeneration of dissolved P. However, to date an effect of UVR on the uptake of P has not been observed at ambient phosphate (PO(4) (3-)) concentrations. This has lead to the conclusion that the uptake of P by plankton may be insensitive to UVR. Past research has been limited to a few individual systems, prolonged incubations in bags, or lab cultures. We suspect that experimentation with natural plankton assemblages across broader environmental and/or chemical gradients is required to appreciably understand how UVR may alter P kinetics. Therefore, our study aimed to determine the effect of UVR on the turnover time of the dissolved PO(4) (3-) pool, the regeneration of dissolved P, the turnover rate of particulate P, and on PO(4) (3-) concentrations in natural plankton assemblages across broad environmental and chemical gradients. Second we aimed to assess how UVR may alter phosphatase activity and, determine if a change in phosphatase activity under UVR irradiance is correlated with a change in P uptake as proposed in the literature. Studies were conducted on 18 thermally stratified or polymictic lakes located in Ontario and Saskatchewan, Canada. Lake water samples were exposed to one of three experimental treatments: control, photosynthetically active radiation (PAR), or photosynthetically active radiation plus ultraviolet radiation (PAR + UVR). Our study is the first to demonstrate that UVR exposure has the potential to alter P cycling at ambient (picomolar) PO(4) (3-) concentrations. We have demonstrated that the turnover time of the PO(4) (3-) pool increases under UVR irradiance (i.e., P uptake decreases), while the regeneration rate of dissolved P and turnover rate of planktonic P are generally not affected; with the net effect being an increase in steady state PO(4) (3-) concentration (ssPO(4) (3-)). Alkaline phosphatase activity (APA) in the dissolved and particulate fractions was significantly reduced in PAR + UVR treatments, but unrelated to changes in P uptake. In summary, we have demonstrated that the cycling of P may be disrupted by UVR, with a decrease in the uptake of P and the accumulation of PO(4) (3-) in the dissolved pool. This, in turn may exacerbate planktonic P limitation, alter the nutrient stoichiometry of plankton and/or indirectly alter rates of primary production in limnetic systems.</t>
  </si>
  <si>
    <t>[Sereda, Jeff M.; Vandergucht, David M.; Hudson, Jeff J.] Univ Saskatchewan, Saskatoon, SK S7N 5E2, Canada</t>
  </si>
  <si>
    <t>University of Saskatchewan</t>
  </si>
  <si>
    <t>Sereda, JM (corresponding author), Univ Saskatchewan, WP Thompson Bldg,112 Sci Pl, Saskatoon, SK S7N 5E2, Canada.</t>
  </si>
  <si>
    <t>jeff.sereda@usask.ca</t>
  </si>
  <si>
    <t>hudson, jeff/G-6171-2012</t>
  </si>
  <si>
    <t>hudson, jeff/0000-0002-0256-3240</t>
  </si>
  <si>
    <t>NSERC (Canada); University of Saskatchewan; NSERC</t>
  </si>
  <si>
    <t>NSERC (Canada)(Natural Sciences and Engineering Research Council of Canada (NSERC)); University of Saskatchewan; NSERC(Natural Sciences and Engineering Research Council of Canada (NSERC))</t>
  </si>
  <si>
    <t>Thanks to the Dorset Environmental Science Centre and WD Taylor (University of Waterloo) for providing assistance, laboratory space, and equipment. Special thanks to three anonymous reviewers for comments to improve the manuscript. This research was supported by NSERC (Canada) funding to JJH and University of Saskatchewan scholarship to JMS and a NSERC scholarship to DMV.</t>
  </si>
  <si>
    <t>0018-8158</t>
  </si>
  <si>
    <t>Hydrobiologia</t>
  </si>
  <si>
    <t>10.1007/s10750-011-0623-6</t>
  </si>
  <si>
    <t>736SX</t>
  </si>
  <si>
    <t>WOS:000288515500016</t>
  </si>
  <si>
    <t>Fischer, UH; Mair, D; Kavanaugh, JL; Willis, I; Nienow, P; Hubbard, B</t>
  </si>
  <si>
    <t>Fischer, Urs H.; Mair, Doug; Kavanaugh, Jeffrey L.; Willis, Ian; Nienow, Peter; Hubbard, Bryn</t>
  </si>
  <si>
    <t>Modelling ice-bed coupling during a glacier speed-up event: Haut Glacier d'Arolla, Switzerland</t>
  </si>
  <si>
    <t>HYDROLOGICAL PROCESSES</t>
  </si>
  <si>
    <t>subglacial hydrology; ice-bed coupling; glacier speed-up; subglacial borehole instrumentation</t>
  </si>
  <si>
    <t>SUBGLACIAL DRAINAGE SYSTEM; IN-SITU MEASUREMENTS; HIGH-VELOCITY EVENT; VARIEGATED GLACIER; BASAL MOTION; MINI-SURGES; HYDROLOGICAL CONTROLS; WATER-PRESSURE; BERNESE ALPS; TILL</t>
  </si>
  <si>
    <t>Short-term increases in surface velocity have long been observed on alpine glaciers and more recently across the Greenland Ice Sheet. Alpine speed-up events typically occur when the subglacial drainage system is unable to accommodate a sudden and large influx of water. The ensuing backup of water in the drainage system commonly leads to a rise in subglacial water pressure, local ice-bed decoupling and enhanced sliding. Through horizontal stress coupling, this locally induced high pressure forcing also increases glacier motion in regions adjacent to the decoupled regions by enhanced, non-locally forced basal motion. These speed-up events demonstrate the importance of subglacial hydromechanical adjustments for patterns of glacier flow. This article applies Kavanaugh and Clarke's (2006) numerical model, which simultaneously solves equations that describe the time-evolution of subglacial sediment pore-water pressure, bed deformation, glacier sliding and ice-dynamical shear stress transfer, to Haut Glacier d'Arolla, Switzerland. Model input parameters are determined from field observations and interpretations of the basal hydrological system beneath the main glacier tongue and in particular during an approximate fivefold increase in surface velocity observed in June 1998 (Mair et al., 2003). Model output, in the form of synthetic subglacial instrument responses, is compared with signals recorded by instruments emplaced at the glacier bed. Sensitivity analyses demonstrate that while the model outputs are sensitive to input parameters, modelled sediment strength and shear strain rate responses show good agreement, in both magnitude and form, with values recorded in the field under specific realistic parameterizations. The qualitative agreement between measurements and modelled output suggests that the key assumptions regarding hydraulically induced changes in sediment strength, sediment deformation and basal shear stress distribution are sound. Copyright (C) 2010 John Wiley &amp; Sons, Ltd.</t>
  </si>
  <si>
    <t>[Fischer, Urs H.] ETH Zentrum, Lab Hydraul Hydrol &amp; Glaciol, CH-8092 Zurich, Switzerland; [Fischer, Urs H.] Antarctic Climate &amp; Ecosyst CRC, Hobart, Tas 7001, Australia; [Fischer, Urs H.] Australian Antarctic Div, Hobart, Tas 7001, Australia; [Mair, Doug] Univ Aberdeen, Dept Geog &amp; Environm, Aberdeen AB24 3UF, Scotland; [Kavanaugh, Jeffrey L.] Univ Alberta, Dept Earth &amp; Atmospher Sci, Edmonton, AB T6G 2E3, Canada; [Willis, Ian] Univ Cambridge, Dept Geog, Cambridge CB2 3EN, England; [Nienow, Peter] Univ Edinburgh, Inst Geog, Sch Geosci, Edinburgh EH8 9XP, Midlothian, Scotland; [Hubbard, Bryn] Univ Wales, Inst Geog &amp; Earth Sci, Ctr Glaciol, Aberystwyth SY23 3DB, Dyfed, Wales</t>
  </si>
  <si>
    <t>Swiss Federal Institutes of Technology Domain; ETH Zurich; University of Tasmania; Australian Antarctic Division; University of Aberdeen; University of Alberta; University of Cambridge; University of Edinburgh; Aberystwyth University</t>
  </si>
  <si>
    <t>Fischer, UH (corresponding author), Nagra, Hardstr 73, CH-5430 Wettingen, Switzerland.</t>
  </si>
  <si>
    <t>uhfischer@gmx.ch</t>
  </si>
  <si>
    <t>Willis, Ian/0000-0002-0750-7088; Mair, Douglas/0000-0001-7009-5461; Hubbard, Bryn/0000-0002-3565-3875</t>
  </si>
  <si>
    <t>U.K. Natural Environmental Research Council [GR3/11216]</t>
  </si>
  <si>
    <t>U.K. Natural Environmental Research Council(UK Research &amp; Innovation (UKRI)Natural Environment Research Council (NERC))</t>
  </si>
  <si>
    <t>This work was funded by U.K. Natural Environmental Research Council Grant GR3/11216. We thank M. Sharp and H. Blatter for stimulating discussions during the formulation of this research. A. Hayes and J. Luthiger provided assistance with the design and construction of the down-borehole instrumentation and B. Kunz helped with the figures. Fieldwork was carried out with much help from D. Swift, T. Schuler, G. Leysinger Vieli and many others associated with the Arolla Glaciology Project. We thank Grande Dixence SA, V. Anzevui and P. B. Bournissen for their logistical support. All our work at Haut Glacier d'Arolla has benefitted from the friendship and hospitality of the late Y. Bams, who is sadly missed. Insightful comments from two anonymous referees greatly improved the quality of this manuscript.</t>
  </si>
  <si>
    <t>0885-6087</t>
  </si>
  <si>
    <t>HYDROL PROCESS</t>
  </si>
  <si>
    <t>Hydrol. Process.</t>
  </si>
  <si>
    <t>APR 30</t>
  </si>
  <si>
    <t>10.1002/hyp.7895</t>
  </si>
  <si>
    <t>Water Resources</t>
  </si>
  <si>
    <t>752FH</t>
  </si>
  <si>
    <t>WOS:000289675700001</t>
  </si>
  <si>
    <t>Karmakar, S; Bose, S; Sarbadhikari, AB; Das, K</t>
  </si>
  <si>
    <t>Karmakar, S.; Bose, S.; Sarbadhikari, A. Basu; Das, K.</t>
  </si>
  <si>
    <t>Evolution of granulite enclaves and associated gneisses from Purulia, Chhotanagpur Granite Gneiss Complex, India: Evidence for 990-940 Ma tectonothermal event(s) at the eastern India cratonic fringe zone</t>
  </si>
  <si>
    <t>CGGC; Migmatitic gneiss; Granulite enclave; Monazite age; Rodinia</t>
  </si>
  <si>
    <t>PARTIAL MELTING EQUILIBRIA; ORTHO-PYROXENE; PRYDZ BAY; SYSTEM FEO-MGO-AL2O3-SIO2; FACIES METAMORPHISM; QUARTZ ASSEMBLAGES; GARNET THERMOMETER; MINERAL EQUILIBRIA; SAPPHIRINE-QUARTZ; PHASE-EQUILIBRIA</t>
  </si>
  <si>
    <t>Migmatitic quartzofeldspathic gneisses at Purulia, Chhotanagpur Granite Gneiss Complex (CGGC) contains layers and enclaves of high Mg-Al granulite and two-pyroxene granulites. Petrographic, geothermobarometric and pseudosection analyses of the high Mg-Al granulite reveal a strongly decompressive (Delta P = 6 kbar) retrograde trajectory after attaining the peak at 870 degrees C, 11 kbar. The metamorphic evolution ensued through partial melting of biotite-bearing assemblage. Texturally-constrained monazite grains yield population age of ca. 990-940 Ma which might bracket the timing of decompressive metamorphism in the high Mg-Al granulite broadly coinciding with the age of anatexis of the host gneisses. Associated mafic granulites underwent similar metamorphic evolution, but their contrasting bulk chemistries are responsible for mineralogical and textural variability. Formation and stabilization of garnet in one bulk composition of mafic granulite and breakdown of garnet in the other could be reconciled as products two different P-T segments of same metamorphic evolutionary history. Discrete population of older monazite ages (ca. 1800 Ma) in the host gneisses possibly implies variable degrees of inheritance. It is proposed that the ca. 990-940 Ma tectonothermal event caused extensive partial melting in the lower crust of the eastern Indian cratonic fringe zone. Widespread occurrence of ca. 1000-900 Ma metamorphism in the CGGC can be correlated with those in the Rayner-Eastern Ghats Belt in the Indo-Antarctic sector. All these areas experienced high-grade metamorphism as a result of Indo-Antarctic collision during the assembly of Rodinia. (C) 2011 Elsevier Ltd. All rights reserved.</t>
  </si>
  <si>
    <t>[Karmakar, S.] Jadavpur Univ, Dept Geol Sci, Kolkata 700032, India; [Bose, S.] Presidency Coll, Dept Geol, Kolkata 700073, India; [Sarbadhikari, A. Basu] Inst Study Earths Interior, Misasa, Tottori 6820193, Japan; [Das, K.] Bengal Engn &amp; Sci Univ, Dept Geol, Howrah 711103, India</t>
  </si>
  <si>
    <t>Jadavpur University; Presidency University, Kolkata; Indian Institute of Engineering Science Technology Shibpur (IIEST)</t>
  </si>
  <si>
    <t>Karmakar, S (corresponding author), Jadavpur Univ, Dept Geol Sci, Kolkata 700032, India.</t>
  </si>
  <si>
    <t>subrata.jugeol@gmail.com</t>
  </si>
  <si>
    <t>Bose, Sankar/AAM-5992-2020; Das, Kaushik/G-9616-2016</t>
  </si>
  <si>
    <t>Bose, Sankar/0000-0002-6234-236X; Das, Kaushik/0000-0002-2372-2095</t>
  </si>
  <si>
    <t>DST, Govt. of India [HRU/BYS/A-03/97]</t>
  </si>
  <si>
    <t>DST, Govt. of India(Department of Science &amp; Technology (India))</t>
  </si>
  <si>
    <t>SK acknowledges DST, Govt. of India for financial assistance (No. HRU/BYS/A-03/97), and Michael Raith for providing the placement and necessary laboratory facilities in Mineralogisch Petrologisches Institut, University of Bonn. The analytical works was completed when SK was in the Mineralogisch Petrologisches Institut, Bonn as BOYSCAST fellow. Ingo Braun is acknowledged for his cordial help and expertise during monazite analysis. We also thank Beate Spiering and Ralf Simmat for their advice during analytical works and Andrea Behr for preparing excellent polished thin sections. SB is thankful to UGC for providing CAS facility at the Presidency College, Kolkata. KD acknowledges DST, Govt. of India for research funding. Constructive and thorough reviews by Xiaochun Liu and Nilanjan Chatterjee greatly improved the original manuscript.</t>
  </si>
  <si>
    <t>10.1016/j.jseaes.2010.12.006</t>
  </si>
  <si>
    <t>750JK</t>
  </si>
  <si>
    <t>WOS:000289542200005</t>
  </si>
  <si>
    <t>Wernberg, T; Russell, BD; Moore, PJ; Ling, SD; Smale, DA; Campbell, A; Coleman, MA; Steinberg, PD; Kendrick, GA; Connell, SD</t>
  </si>
  <si>
    <t>Wernberg, Thomas; Russell, Bayden D.; Moore, Pippa J.; Ling, Scott D.; Smale, Daniel A.; Campbell, Alex; Coleman, Melinda A.; Steinberg, Peter D.; Kendrick, Gary A.; Connell, Sean D.</t>
  </si>
  <si>
    <t>Impacts of climate change in a global hotspot for temperate marine biodiversity and ocean warming</t>
  </si>
  <si>
    <t>Climate impacts; Community ecology; Global warming; Macroalgae; Multiple stressors; Phase shift; Range contraction; Range extension; Trophodynamics</t>
  </si>
  <si>
    <t>SEA-URCHIN; SUBTIDAL HABITAT; KELP BEDS; TAXONOMIC DIVERSITY; COMMUNITY ECOLOGY; WATER TEMPERATURE; ALGAL ASSEMBLAGES; SPECIES RICHNESS; CORALLINE ALGAE; MASS MORTALITY</t>
  </si>
  <si>
    <t>Temperate Australia is a global hotspot for marine biodiversity and its waters have experienced well-above global average rates of ocean warming. We review the observed impacts of climate change (e.g. warming, ocean acidification, changes in storm patterns) on subtidal temperate coasts in Australia and assess how these systems are likely to respond to further change. Observed impacts are region specific with the greatest number of species responses attributable to climate change reported in south-eastern Australia, where recent ocean warming has been most pronounced. Here, a decline of giant kelp (Macrocystis pyrifera) and poleward range extension of a key herbivore (sea urchin) and other trophically important reef organisms has occurred. Although, evidence of changes on other coastlines around Australia is limited, we suggest that this is due to a lack of data rather than lack of change. Because of the east-west orientation of the south coast, most of Australia's temperate waters are found within a narrow latitudinal band, where any southward movement of isotherms is likely to affect species across very large areas. Future increases in temperature are likely to result in further range shifts of macroalgae and associated species, with range contractions and local extinctions to be expected for species that have their northern limits along the southern coastline. While there is currently no evidence of changes attributable to non-temperature related climate impacts, potentially due to a lack of long-term observational data, experimental evidence suggests that ocean acidification will result in negative effects on calcifying algae and animals. More importantly, recent experiments suggest the combined effects of climate change and non-climate stressors (overharvesting, reduced water quality) will lower the resilience of temperate marine communities to perturbations (e.g. storms, diseases, and introduced species), many of which are also predicted to increase in frequency and/or severity. Thus climate change is likely to, both by itself and in synergy with other stressors, impose change to southern Australian coastal species, including important habitat-forming algae and the associated ecological functioning of temperate coasts. Management of local and regional-scale stresses may increase the resistance of temperate marine communities to climate stressors and as such, provides an attractive tool for building resilience in temperate systems. (C) 2011 Elsevier B.V. All rights reserved.</t>
  </si>
  <si>
    <t>[Wernberg, Thomas; Smale, Daniel A.; Kendrick, Gary A.] Univ Western Australia, Sch Plant Biol, UWA Oceans Inst, Crawley, WA 6009, Australia; [Wernberg, Thomas] Australian Inst Marine Sci, Crawley, WA 6009, Australia; [Wernberg, Thomas; Moore, Pippa J.] Edith Cowan Univ, Ctr Marine Ecosyst Res, Joondalup, WA 6027, Australia; [Russell, Bayden D.; Connell, Sean D.] Univ Adelaide, Sch Earth &amp; Environm Sci, So Seas Ecol Labs DX 650 418, Adelaide, SA 5005, Australia; [Ling, Scott D.] Univ Tasmania, Inst Marine Antarctic Studies, Hobart, Tas 7001, Australia; [Campbell, Alex; Steinberg, Peter D.] Univ New S Wales, Sch Biol Earth Environm Sci, Sydney, NSW 2052, Australia; [Coleman, Melinda A.] NSW Marine Parks Authority, Narooma, NSW 2546, Australia; [Moore, Pippa J.] Aberystwyth Univ, Inst Biol Environm &amp; Rural Sci, Aberystwyth SY23 3DA, Dyfed, Wales; [Campbell, Alex; Steinberg, Peter D.] Sydney Inst Marine Sci, Mosman, NSW 2088, Australia</t>
  </si>
  <si>
    <t>University of Western Australia; Australian Institute of Marine Science; Edith Cowan University; University of Adelaide; University of Tasmania; University of New South Wales Sydney; Aberystwyth University; UK Research &amp; Innovation (UKRI); Biotechnology and Biological Sciences Research Council (BBSRC); Institute of Biological, Environmental, Rural &amp; Sciences (IBERS); Sydney Institute of Marine Science</t>
  </si>
  <si>
    <t>Wernberg, T (corresponding author), Univ Western Australia, Sch Plant Biol, UWA Oceans Inst, Crawley, WA 6009, Australia.</t>
  </si>
  <si>
    <t>thomas.wernberg@uwa.edu.au</t>
  </si>
  <si>
    <t>Smale, Daniel/Y-2909-2019; Wernberg, Thomas/B-4172-2010; Russell, Bayden D./R-9325-2019; Moore, Pippa/H-8079-2013; Russell, Bayden D./A-9942-2008; Moore, Pippa/HCH-3738-2022; Ling, Scott/J-7161-2014; Coleman, Melinda A/R-5563-2016; Connell, Sean D/A-8874-2008; Mokhtara, Charafeddine/ACV-5174-2022; Smale, Dan A/B-3240-2011; Kendrick, Gary Andrew/B-3460-2011</t>
  </si>
  <si>
    <t>Smale, Daniel/0000-0003-4157-541X; Wernberg, Thomas/0000-0003-1185-9745; Russell, Bayden D./0000-0003-1282-9978; Moore, Pippa/0000-0002-9889-2216; Russell, Bayden D./0000-0003-1282-9978; Ling, Scott/0000-0002-5544-8174; Coleman, Melinda A/0000-0003-2623-633X; Connell, Sean D/0000-0002-5350-6852; Mokhtara, Charafeddine/0000-0002-4643-3798; Kendrick, Gary Andrew/0000-0002-0276-6064; Campbell, Alexandra/0000-0002-2322-2840; Steinberg, Peter/0000-0002-1781-0726</t>
  </si>
  <si>
    <t>The Australian Research Council; M. Westoby</t>
  </si>
  <si>
    <t>The Australian Research Council(Australian Research Council); M. Westoby</t>
  </si>
  <si>
    <t>This review was initiated as part of a national assessment of climate change impacts and possible adaptation measures in Australia. Thanks to E.S. Poloczanska, A.J. Hobday and A.J. Richardson for leading this process. Several of the authors convened as working group no. 58 (Climate Impacts on Marine Flora) of the ARC NZ Vegetation Function Network, where central issues raised in this review were discussed. We thank M. Westoby for financial and logistic support through the network. The Australian Research Council also supported this work through grants focussed on the ecological consequences of changing climate to T. Wernberg, B.D. Russell, G. A. Kendrick, P.D. Steinberg and S.D. Connell. [SS]</t>
  </si>
  <si>
    <t>1879-1697</t>
  </si>
  <si>
    <t>10.1016/j.jembe.2011.02.021</t>
  </si>
  <si>
    <t>771FZ</t>
  </si>
  <si>
    <t>WOS:000291143900002</t>
  </si>
  <si>
    <t>Johnson, CR; Banks, SC; Barrett, NS; Cazassus, F; Dunstan, PK; Edgar, GJ; Frusher, SD; Gardner, C; Haddon, M; Helidoniotis, F; Hill, KL; Holbrook, NJ; Hosie, GW; Last, PR; Ling, SD; Melbourne-Thomas, J; Miller, K; Pecl, GT; Richardson, AJ; Ridgway, KR; Rintoul, SR; Ritz, DA; Ross, DJ; Sanderson, JC; Shepherd, SA; Slotvvinski, A; Swadling, KM; Taw, N</t>
  </si>
  <si>
    <t>Johnson, Craig R.; Banks, Sam C.; Barrett, Neville S.; Cazassus, Fabienne; Dunstan, Piers K.; Edgar, Graham J.; Frusher, Stewart D.; Gardner, Caleb; Haddon, Malcolm; Helidoniotis, Fay; Hill, Katy L.; Holbrook, Neil J.; Hosie, Graham W.; Last, Peter R.; Ling, Scott D.; Melbourne-Thomas, Jessica; Miller, Karen; Pecl, Gretta T.; Richardson, Anthony J.; Ridgway, Ken R.; Rintoul, Stephen R.; Ritz, David A.; Ross, D. Jeff; Sanderson, J. Craig; Shepherd, Scoresby A.; Slotvvinski, Anita; Swadling, Kerrie M.; Taw, Nyan</t>
  </si>
  <si>
    <t>Climate change cascades: Shifts in oceanography, species' ranges and subtidal marine community dynamics in eastern Tasmania</t>
  </si>
  <si>
    <t>Cascading effects; Climate change; Eastern Tasmania; Marine ecosystems; Range expansion; Sea urchin</t>
  </si>
  <si>
    <t>LOBSTER JASUS-EDWARDSII; GIANT-KELP MACROCYSTIS; SOUTH-PACIFIC; INTERANNUAL VARIABILITY; HABITAT STRUCTURE; REGIME SHIFTS; SEA-URCHINS; EL-NINO; OCEAN; GROWTH</t>
  </si>
  <si>
    <t>Several lines of evidence show that ocean warming off the east coast of Tasmania is the result of intensification of the East Australian Current (EAC). Increases in the strength, duration and frequency of southward incursions of warm, nutrient poor EAC water transports heat and biota to eastern Tasmania. This shift in large-scale oceanography is reflected by changes in the structure of nearshore zooplankton communities and other elements of the pelagic system; by a regional decline in the extent of dense beds of giant kelp (Macrocystis pyrifera); by marked changes in the distribution of nearshore fishes; and by range expansions of other northern warmer-water species to colonize Tasmanian coastal waters. Population-level changes in commercially important invertebrate species may also be associated with the warming trend. Over-grazing of seaweed beds by one recently established species, the sea urchin Centrostephanus rodgersii, is causing a fundamental shift in the structure and dynamics of Tasmanian rocky reef systems by the formation of sea urchin 'barrens' habitat. Formation of barrens represents an interaction between effects of climate change and a reduction in large predatory rock lobsters due to fishing. Barrens realize a loss of biodiversity and production from rocky reefs, and threaten valuable abalone and rock lobster fisheries and the local economies and social communities they support. This range-extending sea urchin species represents the single largest biologically mediated threat to the integrity of important shallow water rocky reef communities in eastern Tasmania. In synthesizing change in the physical ocean climate in eastern Tasmania and parallel shifts in species' distributions and ecological processes, there is evidence that the direct effects of changing physical conditions have precipitated cascading effects of ecological change in benthic (rocky reef) and pelagic systems. However, some patterns correlated with temperature have plausible alternative explanations unrelated to thermal gradients in time or space. We identify important knowledge gaps that need to be addressed to adequately understand, anticipate and adapt to future climate-driven changes in marine systems in the region. (C) 2011 Elsevier B.V. All rights reserved.</t>
  </si>
  <si>
    <t>[Johnson, Craig R.; Barrett, Neville S.; Edgar, Graham J.; Frusher, Stewart D.; Gardner, Caleb; Pecl, Gretta T.; Ross, D. Jeff; Slotvvinski, Anita; Swadling, Kerrie M.] Univ Tasmania, Inst Marine &amp; Antarctic Studies, Marine Res Labs, Hobart, Tas 7001, Australia; [Banks, Sam C.] Australian Natl Univ, Fenner Sch Environm &amp; Soc, Canberra, ACT 0200, Australia; [Cazassus, Fabienne; Dunstan, Piers K.; Ritz, David A.; Taw, Nyan] Univ Tasmania, Sch Zool, Hobart, Tas 7001, Australia; [Haddon, Malcolm; Helidoniotis, Fay; Hill, Katy L.; Last, Peter R.; Ridgway, Ken R.; Rintoul, Stephen R.] CSIRO Marine &amp; Atmospher Res, Hobart, Tas 7001, Australia; [Holbrook, Neil J.] Univ Tasmania, Sch Geog &amp; Environm Studies, Hobart, Tas 7001, Australia; [Hosie, Graham W.] Australian Antarctic Div, Kingston, Tas 7050, Australia; [Richardson, Anthony J.] CSIRO Marine &amp; Atmospher Res, Cleveland, Qld 4163, Australia; [Shepherd, Scoresby A.] SARDI Aquat Sci, W Beach, SA 5024, Australia</t>
  </si>
  <si>
    <t>University of Tasmania; Australian National University; University of Tasmania; Commonwealth Scientific &amp; Industrial Research Organisation (CSIRO); University of Tasmania; Australian Antarctic Division; Commonwealth Scientific &amp; Industrial Research Organisation (CSIRO)</t>
  </si>
  <si>
    <t>Johnson, CR (corresponding author), Univ Tasmania, Inst Marine &amp; Antarctic Studies, Marine Res Labs, Private Bag 129, Hobart, Tas 7001, Australia.</t>
  </si>
  <si>
    <t>Craig.Johnson@utas.edu.au</t>
  </si>
  <si>
    <t>Miller, Karen/A-7902-2011; Ridgway, Ken/AAA-4040-2019; Helidoniotis, Fay/A-1725-2012; Ling, Scott/J-7161-2014; Melbourne-Thomas, Jessica/G-7995-2012; Miller, Karen/V-4098-2019; Melbourne-Thomas, Jess/N-2437-2019; Last, Peter R/B-9740-2009; Rintoul, Stephen R/A-1471-2012; Edgar, Graham/C-8341-2013; Pecl, Gretta/D-7267-2011; Richardson, Anthony J/B-3649-2010; Edgar, Graham/AAY-3797-2020; Gardner, Caleb/I-7086-2013; Ross, Donald/F-7607-2012; Johnson, Craig/E-1788-2013; Frusher, Stewart/G-5117-2014; Barrett, Neville/J-7593-2014; Holbrook, Neil/M-7544-2013; /K-4907-2012; Dunstan, Piers/B-7309-2016</t>
  </si>
  <si>
    <t>Ling, Scott/0000-0002-5544-8174; Melbourne-Thomas, Jess/0000-0001-6585-876X; Rintoul, Stephen R/0000-0002-7055-9876; Edgar, Graham/0000-0003-0833-9001; Pecl, Gretta/0000-0003-0192-4339; Richardson, Anthony J/0000-0002-9289-7366; Edgar, Graham/0000-0003-0833-9001; Gardner, Caleb/0000-0003-0324-4337; Ross, Donald/0000-0002-8659-3833; Johnson, Craig/0000-0002-9511-905X; Frusher, Stewart/0000-0003-2493-3676; Barrett, Neville/0000-0002-6167-1356; Ridgway, Ken/0000-0002-5861-1360; Holbrook, Neil/0000-0002-3523-6254; /0000-0003-2415-0057; Haddon, Malcolm/0000-0001-6971-7585; Swadling, Kerrie/0000-0002-7620-841X; Dunstan, Piers/0000-0002-2568-5945</t>
  </si>
  <si>
    <t>10.1016/j.jembe.2011.02.032</t>
  </si>
  <si>
    <t>WOS:000291143900003</t>
  </si>
  <si>
    <t>Mitchell, LE; Brook, EJ; Sowers, T; McConnell, JR; Taylor, K</t>
  </si>
  <si>
    <t>Mitchell, Logan E.; Brook, Edward J.; Sowers, Todd; McConnell, J. R.; Taylor, Kendrick</t>
  </si>
  <si>
    <t>Multidecadal variability of atmospheric methane, 1000-1800 CE</t>
  </si>
  <si>
    <t>HOLOCENE ASIAN MONSOON; ABRUPT CLIMATE-CHANGE; ICE-AGE; ANTHROPOGENIC EMISSIONS; WEST ANTARCTICA; RAPID CHANGES; GROWTH-RATE; SIPLE DOME; POLAR ICE; TEMPERATURE</t>
  </si>
  <si>
    <t>We present a new high-precision, high-resolution record of atmospheric methane from the West Antarctic Ice Sheet (WAIS) Divide ice core covering 1000-1800 C.E., a time period known as the late preindustrial Holocene (LPIH). The results are consistent with previous measurements from the Law Dome ice core, the only other high-resolution record of methane for this time period, and confirm most of the observed variability. Multidecadal variability in methane concentrations throughout the LPIH is weakly correlated or uncorrelated with reconstructions of temperature and precipitation from a variety of geographic regions. Correlations with temperature are dominated by changes in Northern Hemisphere high latitude temperatures between 1400 and 1600 C.E. during the onset of the Little Ice Age. Times of war and plague when large population losses could have reduced anthropogenic emissions are coincident with short periods of decreasing global methane concentrations.</t>
  </si>
  <si>
    <t>[Mitchell, Logan E.; Brook, Edward J.] Oregon State Univ, Dept Geosci, Corvallis, OR 97331 USA; [McConnell, J. R.; Taylor, Kendrick] Nevada Syst Higher Educ, Desert Res Inst, Reno, NV 89512 USA; [Sowers, Todd] Penn State Univ, Earth &amp; Environm Syst Inst, University Pk, PA 16802 USA</t>
  </si>
  <si>
    <t>Oregon State University; Nevada System of Higher Education (NSHE); Desert Research Institute NSHE; Pennsylvania Commonwealth System of Higher Education (PCSHE); Pennsylvania State University; Pennsylvania State University - University Park</t>
  </si>
  <si>
    <t>Mitchell, LE (corresponding author), Oregon State Univ, Dept Geosci, 104 Wilkinson Hall, Corvallis, OR 97331 USA.</t>
  </si>
  <si>
    <t>mitchelo@geo.oregonstate.edu</t>
  </si>
  <si>
    <t>Brook, Edward/AAB-7807-2021; Mitchell, Logan E/A-5481-2011; Taylor, Kendrick/A-3469-2016</t>
  </si>
  <si>
    <t>Mitchell, Logan E/0000-0002-8749-954X; Taylor, Kendrick/0000-0001-8535-1261</t>
  </si>
  <si>
    <t>NSF OPP [0538578, 0520523, 0538538, 0538427, 0739780]; NASA/Oregon Space Grant Consortium [NNG05GJ85H]; NSF [0440817, 0230396]; U.S. Geological Survey; Directorate For Geosciences; Division Of Polar Programs [0739780] Funding Source: National Science Foundation; Directorate For Geosciences; Office of Polar Programs (OPP) [0520523, 0839093, 0538578] Funding Source: National Science Foundation; Division Of Polar Programs; Directorate For Geosciences [0944191] Funding Source: National Science Foundation; Office of Polar Programs (OPP); Directorate For Geosciences [0538427, 0538538, 0944348] Funding Source: National Science Foundation</t>
  </si>
  <si>
    <t>NSF OPP(National Science Foundation (NSF)NSF - Directorate for Geosciences (GEO)); NASA/Oregon Space Grant Consortium(National Aeronautics &amp; Space Administration (NASA)); NSF(National Science Foundation (NSF)); U.S. Geological Survey(United States Geological Survey); Directorate For Geosciences; Division Of Polar Programs(National Science Foundation (NSF)NSF - Directorate for Geosciences (GEO)); Directorate For Geosciences; Office of Polar Programs (OPP)(National Science Foundation (NSF)NSF - Directorate for Geosciences (GEO)); Division Of Polar Programs; Directorate For Geosciences(National Science Foundation (NSF)NSF - Directorate for Geosciences (GEO)); Office of Polar Programs (OPP); Directorate For Geosciences(National Science Foundation (NSF)NSF - Directorate for Geosciences (GEO))</t>
  </si>
  <si>
    <t>This work was supported by NSF OPP grants 0538578, 0520523, and 0538538 and by NASA/Oregon Space Grant Consortium grant NNG05GJ85H. Glaciochemical dating of the WDC05A and WDC06A ice cores was supported by NSF OPP grants 0538427 and 0739780 to the Desert Research Institute. Thanks go to James Lee, who assisted with the methane measurements; Nelia Dunbar, Mark Battle, Jeff Severinghaus, and Eric Steig, who contributed preliminary results from their work; and two anonymous reviewers, who provided insightful feedback that improved this manuscript. The authors appreciate the support of the WAIS Divide Science Coordination Office at the Desert Research Institute of Reno Nevada for the collection and distribution of the WAIS Divide ice core and related tasks (Kendrick Taylor, NSF grants 0440817 and 0230396). The National Science Foundation Office of Polar Programs also funds the Ice Drilling Program Office and Ice Drilling Design and Operations group for coring activities; Raytheon Polar Services for logistics support in Antarctica; and the 109th New York Air National Guard for airlift in Antarctica. The National Ice Core Laboratory, which curated the core and preformed core processing, is jointly funded by the National Science Foundation and the U.S. Geological Survey. Data and description can be downloaded from the NOAA National Climate Data Center http://www.ncdc.noaa.gov/paleo/paleo.html.</t>
  </si>
  <si>
    <t>APR 28</t>
  </si>
  <si>
    <t>G02007</t>
  </si>
  <si>
    <t>10.1029/2010JG001441</t>
  </si>
  <si>
    <t>757RI</t>
  </si>
  <si>
    <t>WOS:000290105000001</t>
  </si>
  <si>
    <t>Marr, JP; Baker, JA; Carter, L; Allan, ASR; Dunbar, GB; Bostock, HC</t>
  </si>
  <si>
    <t>Marr, Julene P.; Baker, Joel A.; Carter, Lionel; Allan, Aidan S. R.; Dunbar, Gavin B.; Bostock, Helen C.</t>
  </si>
  <si>
    <t>Ecological and temperature controls on Mg/Ca ratios of Globigerina bulloides from the southwest Pacific Ocean</t>
  </si>
  <si>
    <t>BENTHIC FORAMINIFERAL MG/CA; SEA-SURFACE TEMPERATURE; GLACIAL-INTERGLACIAL CHANGES; ORBULINA-UNIVERSA TESTS; PLANKTONIC-FORAMINIFERA; NEW-ZEALAND; CLEANING PROCEDURES; PAST TEMPERATURE; CAMPBELL PLATEAU; SOUTHERN-OCEAN</t>
  </si>
  <si>
    <t>We present Mg/Ca data for Globigerina bulloides from 10 core top sites in the southwest Pacific Ocean analyzed by laser ablation inductively coupled plasma mass spectrometry (LA-ICPMS). Mg/Ca values in G. bulloides correlate with observed ocean temperatures (7 degrees C-19 degrees C), and when combined with previously published data, an integrated Mg/Ca-temperature calibration for 7 degrees C-31 degrees C is derived where Mg/Ca (mmol/mol) = 0.955 x e(0.068 x T) (r(2) = 0.95). Significant variability of Mg/Ca values (20%-30%) was found for the four visible chambers of G. bulloides, with the final chamber consistently recording the lowest Mg/Ca and is interpreted, in part, to reflect changes in the depth habitat with ontogeny. Incipient and variable dissolution of the thin and fragile final chamber, and outermost layer concomitantly added to all chambers, caused by different cleaning techniques prior to solution-based ICPMS analyses, may explain the minor differences in previously published Mg/Ca-temperature calibrations for this species. If the lower Mg/Ca of the final chamber reflects changes in depth habitat, then LA-ICPMS of the penultimate (or older) chambers will most sensitively record past changes in near-surface ocean temperatures. Mean size-normalized G. bulloides test weights correlate negatively with ocean temperature (T = 31.8 x e(-30.5xwtN); r(2) = 0.90), suggesting that in the southwest Pacific Ocean, temperature is a prominent control on shell weight in addition to carbonate ion levels.</t>
  </si>
  <si>
    <t>[Marr, Julene P.; Carter, Lionel; Dunbar, Gavin B.] Victoria Univ Wellington, Antarctic Res Ctr, Sch Geog Environm &amp; Earth Sci, Wellington 6140, New Zealand; [Bostock, Helen C.] Natl Inst Water &amp; Atmospher Res, Wellington 6021, New Zealand</t>
  </si>
  <si>
    <t>Victoria University Wellington; National Institute of Water &amp; Atmospheric Research (NIWA) - New Zealand</t>
  </si>
  <si>
    <t>Marr, JP (corresponding author), Victoria Univ Wellington, Antarctic Res Ctr, Sch Geog Environm &amp; Earth Sci, POB 600, Wellington 6140, New Zealand.</t>
  </si>
  <si>
    <t>julene.marr@vuw.ac.nz</t>
  </si>
  <si>
    <t>Marr, Julene/O-2382-2013; Bostock, Helen/A-6834-2013; Marr, Julene/D-8980-2012; Baker, Joel A/A-3477-2008; Allan, Aidan SR/D-8989-2012</t>
  </si>
  <si>
    <t>Marr, Julene/0000-0001-6441-2838; Bostock, Helen/0000-0002-8903-8958; Baker, Joel/0000-0001-6371-5060</t>
  </si>
  <si>
    <t>PA2209</t>
  </si>
  <si>
    <t>10.1029/2010PA002059</t>
  </si>
  <si>
    <t>757TG</t>
  </si>
  <si>
    <t>WOS:000290110000001</t>
  </si>
  <si>
    <t>Tao, X; Thorne, RM; Li, W; Ni, B; Meredith, NP; Horne, RB</t>
  </si>
  <si>
    <t>Tao, X.; Thorne, R. M.; Li, W.; Ni, B.; Meredith, N. P.; Horne, R. B.</t>
  </si>
  <si>
    <t>Evolution of electron pitch angle distributions following injection from the plasma sheet</t>
  </si>
  <si>
    <t>ENERGY DIFFUSION-COEFFICIENTS; DISCRETE CHORUS EMISSIONS; CYCLOTRON HARMONIC-WAVES; RADIATION BELT ELECTRONS; QUASI-LINEAR DIFFUSION; PANCAKE DISTRIBUTIONS; RESONANT INTERACTIONS; PLASMASPHERIC HISS; ACCELERATION; ORIGIN</t>
  </si>
  <si>
    <t>The temporal evolution of the phase space density of plasma sheet electrons (100 eV-30 keV) injected into the nightside at L = 6 during moderate geomagnetic activity is investigated using a quasi-linear diffusion formulation. Scattering in energy and pitch angle during interactions with both whistler mode chorus waves and electron cyclotron harmonic waves are included using an improved wave model recently obtained using CRRES spacecraft data. We compare our simulation results with observations from the THEMIS spacecraft and demonstrate that the formation of the observed electron pitch angle distributions is mainly due to resonant interactions with a combination of upper and lower band chorus waves. The pancake distributions at low energies (E &lt; 2 keV), the flattened pitch angle distributions at medium energies (between 2-3 keV), and the distributions with enhanced pitch angle anisotropy at high energies (E &gt; 3 keV) are explained using the banded chorus wave structure with a power minimum at half the electron cyclotron frequency. Results of the current work can be used to model the dynamical evolution and resultant global distribution of plasma sheet electrons.</t>
  </si>
  <si>
    <t>[Tao, X.; Thorne, R. M.; Li, W.; Ni, B.] Univ Calif Los Angeles, Dept Atmospher &amp; Ocean Sci, Los Angeles, CA 90095 USA; [Meredith, N. P.; Horne, R. B.] British Antarctic Survey, Cambridge CB3 0ET, England</t>
  </si>
  <si>
    <t>University of California System; University of California Los Angeles; UK Research &amp; Innovation (UKRI); Natural Environment Research Council (NERC); NERC British Antarctic Survey</t>
  </si>
  <si>
    <t>Tao, X (corresponding author), Univ Calif Los Angeles, Dept Atmospher &amp; Ocean Sci, 7115 Math Sci Bldg,405 Hilgard Ave, Los Angeles, CA 90095 USA.</t>
  </si>
  <si>
    <t>xtao@atmos.ucla.edu</t>
  </si>
  <si>
    <t>Horne, Richard B/U-3764-2019; Li, Wen/F-3722-2011; Ni, Binbin/I-5244-2013; Meredith, Nigel P/C-5806-2018</t>
  </si>
  <si>
    <t>Horne, Richard B/0000-0002-0412-6407; Meredith, Nigel/0000-0001-5032-3463</t>
  </si>
  <si>
    <t>NSF [ATM 0802843]; Heliophysics Theory grant [NNX08A135G]; NASA [NAS5-02099]; Natural Environment Research Council [bas0100023] Funding Source: researchfish; NERC [bas0100023] Funding Source: UKRI</t>
  </si>
  <si>
    <t>NSF(National Science Foundation (NSF)); Heliophysics Theory grant; NASA(National Aeronautics &amp; Space Administration (NASA)); Natural Environment Research Council(UK Research &amp; Innovation (UKRI)Natural Environment Research Council (NERC)); NERC(UK Research &amp; Innovation (UKRI)Natural Environment Research Council (NERC))</t>
  </si>
  <si>
    <t>This work was supported in part by NSF grant ATM 0802843 and Heliophysics Theory grant NNX08A135G. We acknowledge NASA contract NAS5-02099 and V. Angelopoulos for use of data from the THEMIS Mission, specifically, C. W. Carlson and J. P. McFadden for use of ESA data and D. Larson and R. P. Lin for use of SST data.</t>
  </si>
  <si>
    <t>A04229</t>
  </si>
  <si>
    <t>10.1029/2010JA016245</t>
  </si>
  <si>
    <t>757RC</t>
  </si>
  <si>
    <t>WOS:000290104400002</t>
  </si>
  <si>
    <t>Dawber, CF; Tripati, AK</t>
  </si>
  <si>
    <t>Dawber, Caroline F.; Tripati, Aradhna K.</t>
  </si>
  <si>
    <t>Constraints on glaciation in the middle Eocene (46-37 Ma) from Ocean Drilling Program (ODP) Site 1209 in the tropical Pacific Ocean</t>
  </si>
  <si>
    <t>FORAMINIFERAL MG/CA-PALEOTHERMOMETRY; ATMOSPHERIC CARBON-DIOXIDE; BOTTOM WATER TEMPERATURE; ANTARCTIC ICE-SHEET; BENTHIC FORAMINIFERA; CALCITE COMPENSATION; SEA TEMPERATURES; SOUTHERN-OCEAN; PLANKTONIC-FORAMINIFERA; ORIDORSALIS-UMBONATUS</t>
  </si>
  <si>
    <t>The presence of glacial ice in the late middle Eocene has been vigorously debated. Recently published sedimentary data from the high latitudes is suggestive of episodic cooling events and near-freezing sea surface temperatures during parts of the late middle Eocene. Constraints on ice volumes and the significance of excursions in open ocean foraminifera and seawater delta O-18 reconstructions are less clear, and there are few high-resolution delta O-18 records. We present a new detailed record of benthic foraminiferal delta O-18 from Site 1209 that exhibits variations (Delta delta O-18(benthic)) of 0.6 parts per thousand-1.3 parts per thousand. Different approaches have previously been used to interpret Delta delta O-18(benthic), including (1) an a priori assumption of a 50% contribution of temperature, similar to what is reconstructed for the Last Glacial Maximum-recent change; (2) applying Oligocene calibrations between apparent sea level (ASL) and Delta delta O-18(benthic); or (3) assuming temperature and seawater delta O-18 contributions can be partitioned through comparison with benthic Mg/Ca. Using assumption 1, the record from Site 1209 indicates changes in seawater delta O-18 of 0.3 parts per thousand-0.7 parts per thousand, equivalent to similar to 33-72 m (m) of ASL (assuming mean ice delta O-18 of similar to-45 parts per thousand). Using assumption 2 and two different end-member calibrations, the delta O-18(benthic) record implies changes in ASL of 23-50 m or 50-108 m. The third approach yields changes in seawater delta O-18 of up to 0.6 parts per thousand to 1.4 parts per thousand. We explore the compatibility of the results of each of these approaches with other studies that discuss evidence for ephemeral glaciations during the middle Eocene with variable ice storage at one or both poles.</t>
  </si>
  <si>
    <t>[Dawber, Caroline F.; Tripati, Aradhna K.] Univ Cambridge, Dept Earth Sci, Cambridge CB2 3EQ, England; [Tripati, Aradhna K.] Univ Calif Los Angeles, Dept Earth &amp; Space Sci, Los Angeles, CA 90095 USA; [Tripati, Aradhna K.] Univ Calif Los Angeles, Dept Atmospher &amp; Ocean Sci, Los Angeles, CA 90095 USA; [Tripati, Aradhna K.] Univ Calif Los Angeles, Inst Geophys &amp; Planetary Phys, Los Angeles, CA 90095 USA</t>
  </si>
  <si>
    <t>University of Cambridge; University of California System; University of California Los Angeles; University of California System; University of California Los Angeles; University of California System; University of California Los Angeles</t>
  </si>
  <si>
    <t>Dawber, CF (corresponding author), Univ Cambridge, Dept Earth Sci, Downing St, Cambridge CB2 3EQ, England.</t>
  </si>
  <si>
    <t>cfd25@esc.cam.ac.uk; ripple@zephyr.ess.ucla.edu</t>
  </si>
  <si>
    <t>Tripati, Aradhna/C-9419-2011</t>
  </si>
  <si>
    <t>Tripati, Aradhna/0000-0002-1695-1754</t>
  </si>
  <si>
    <t>NERC; Magdalene College; UCLA Division of Physical Sciences</t>
  </si>
  <si>
    <t>NERC(UK Research &amp; Innovation (UKRI)Natural Environment Research Council (NERC)); Magdalene College; UCLA Division of Physical Sciences</t>
  </si>
  <si>
    <t>The authors gratefully acknowledge L. Booth, S. Crowhurst, M. Greaves, M. Hall, and C. Sindrey for providing technical assistance and S. Bohaty, T. Bralower, R. Eagle, H. Elderfield, D. Hodell, K. Miller, M. R Petrizzo, D. Spofforth, S. Turchyn, and members of the Department of Earth Sciences at Cambridge for discussions of this work. We would also like to thank Editor C. Charles, reviewer S. Pekar, and several anonymous reviewers for their comments on earlier drafts of the manuscript. C. F. D. was funded by a NERC studentship. A. K. T. was supported by a NERC postdoctoral fellowship, a junior research fellowship from Magdalene College, and the UCLA Division of Physical Sciences. This research used samples and data provided by the Ocean Drilling Program. All delta18O and Mg/Ca data will be archived on the PANGAEA database upon publication.</t>
  </si>
  <si>
    <t>APR 27</t>
  </si>
  <si>
    <t>PA2208</t>
  </si>
  <si>
    <t>10.1029/2010PA002037</t>
  </si>
  <si>
    <t>757TE</t>
  </si>
  <si>
    <t>WOS:000290109800001</t>
  </si>
  <si>
    <t>Nowacek, DP; Friedlaender, AS; Halpin, PN; Hazen, EL; Johnston, DW; Read, AJ; Espinasse, B; Zhou, M; Zhu, YW</t>
  </si>
  <si>
    <t>Nowacek, Douglas P.; Friedlaender, Ari S.; Halpin, Patrick N.; Hazen, Elliott L.; Johnston, David W.; Read, Andrew J.; Espinasse, Boris; Zhou, Meng; Zhu, Yiwu</t>
  </si>
  <si>
    <t>Super-Aggregations of Krill and Humpback Whales in Wilhelmina Bay, Antarctic Peninsula</t>
  </si>
  <si>
    <t>EUPHAUSIA-SUPERBA; BEHAVIOR; BIOMASS</t>
  </si>
  <si>
    <t>Ecological relationships of krill and whales have not been explored in the Western Antarctic Peninsula (WAP), and have only rarely been studied elsewhere in the Southern Ocean. In the austral autumn we observed an extremely high density (5.1 whales per km(2)) of humpback whales (Megaptera novaeangliae) feeding on a super-aggregation of Antarctic krill (Euphausia superba) in Wilhelmina Bay. The krill biomass was approximately 2 million tons, distributed over an area of 100 km(2) at densities of up to 2000 individuals m(-3); reports of such 'super-aggregations' of krill have been absent in the scientific literature for &gt;20 years. Retentive circulation patterns in the Bay entrained phytoplankton and meso-zooplankton that were grazed by the krill. Tagged whales rested during daylight hours and fed intensively throughout the night as krill migrated toward the surface. We infer that the previously unstudied WAP embayments are important foraging areas for whales during autumn and, furthermore, that meso-scale variation in the distribution of whales and their prey are important features of this system. Recent decreases in the abundance of Antarctic krill around the WAP have been linked to reductions in sea ice, mediated by rapid climate change in this area. At the same time, baleen whale populations in the Southern Ocean, which feed primarily on krill, are recovering from past exploitation. Consideration of these features and the effects of climate change on krill dynamics are critical to managing both krill harvests and the recovery of baleen whales in the Southern Ocean.</t>
  </si>
  <si>
    <t>[Nowacek, Douglas P.; Friedlaender, Ari S.; Halpin, Patrick N.; Hazen, Elliott L.; Johnston, David W.; Read, Andrew J.] Duke Univ, Marine Lab, Nicholas Sch Environm, Beaufort, NC 28516 USA; [Nowacek, Douglas P.; Friedlaender, Ari S.; Halpin, Patrick N.; Hazen, Elliott L.; Johnston, David W.; Read, Andrew J.] Duke Univ, Marine Lab, Pratt Sch Engn, Beaufort, NC 28516 USA; [Hazen, Elliott L.] Natl Ocean &amp; Atmospher Adm NOAA, Pacific Fisheries Environm Lab, Pacific Grove, CA USA; [Hazen, Elliott L.] Univ Hawaii, JIMAR, Pacific Grove, CA USA; [Espinasse, Boris] Univ Mediterrane, CNRS, Ctr Oceanol Marseille, Lab Oceanog Phys &amp; Biogeochim, Marseille, France; [Zhou, Meng; Zhu, Yiwu] Univ Massachusetts, Dept Environm Earth &amp; Ocean Sci, Boston, MA 02125 USA</t>
  </si>
  <si>
    <t>Duke University; Duke University; National Oceanic Atmospheric Admin (NOAA) - USA; Aix-Marseille Universite; Centre National de la Recherche Scientifique (CNRS); University of Massachusetts System; University of Massachusetts Boston</t>
  </si>
  <si>
    <t>Nowacek, DP (corresponding author), Duke Univ, Marine Lab, Nicholas Sch Environm, Beaufort, NC 28516 USA.</t>
  </si>
  <si>
    <t>dpn3@duke.edu</t>
  </si>
  <si>
    <t>Read, Andrew/AAE-8386-2019; Johnston, David/AAJ-5013-2020; Espinasse, Boris/AAE-1435-2022; Espinasse, Boris/AFS-7849-2022; Hazen, Elliott/G-4149-2014</t>
  </si>
  <si>
    <t>Espinasse, Boris/0000-0002-7490-5588; Hazen, Elliott/0000-0002-0412-7178; Johnston, David/0000-0003-2424-036X</t>
  </si>
  <si>
    <t>National Science Foundation [ANT-07-39483, ANT-07-39566]; Directorate For Geosciences; Division Of Polar Programs [0739566] Funding Source: National Science Foundation</t>
  </si>
  <si>
    <t>National Science Foundation(National Science Foundation (NSF)); Directorate For Geosciences; Division Of Polar Programs(National Science Foundation (NSF)NSF - Directorate for Geosciences (GEO))</t>
  </si>
  <si>
    <t>This work was funded under a National Science Foundation Collaborative Research award, grant ANT-07-39483 to DPN and ANT-07-39566 to MZ. The funders had no role in study design, data collection and analysis, decision to publish, or preparation of the manuscript.</t>
  </si>
  <si>
    <t>e19173</t>
  </si>
  <si>
    <t>10.1371/journal.pone.0019173</t>
  </si>
  <si>
    <t>756NO</t>
  </si>
  <si>
    <t>WOS:000290019400036</t>
  </si>
  <si>
    <t>Vicente, CS</t>
  </si>
  <si>
    <t>Vicente, Carlos San</t>
  </si>
  <si>
    <t>New Mysida (Crustacea) in the genus Pseudomma from the Bellingshausen Sea (Southern Ocean)</t>
  </si>
  <si>
    <t>taxonomy; Erythropinae; Pseudomma; bellingshausensis; melandi; Antarctica</t>
  </si>
  <si>
    <t>SPATIAL-DISTRIBUTION; BRANSFIELD STRAIT; SHETLAND ISLANDS; EUPHAUSIIDS</t>
  </si>
  <si>
    <t>Two new Erythropinae mysids, Pseudomma bellingshausensis and P. melandi are described from specimens sampled with a suprabenthic sled in the Bellingshausen Sea (Southern Ocean). P. bellingshausensis and P. melandi are distinguishable from its closest congeners, P. antarcticum Zimmer, 1914, P. jasi Meland &amp; Brattegard, 1995 and P. islandicum Meland &amp; Brattegard, 2007 by ocular plate sculpturing and telson armature. A key for the Antarctic and Subantarctic Pseudomma species is also included.</t>
  </si>
  <si>
    <t>Vicente, CS (corresponding author), C Nou 8, Tarragona 43839, Spain.</t>
  </si>
  <si>
    <t>csanvicente@gencat.cat</t>
  </si>
  <si>
    <t>Spanish Ministry of Science and Technology (MCYT) [REN2001-1074/ANT, CGL2004-01856]</t>
  </si>
  <si>
    <t>Spanish Ministry of Science and Technology (MCYT)(Spanish Government)</t>
  </si>
  <si>
    <t>The BENTART cruises were carried out under the auspices of two Spanish Ministry of Science and Technology (MCYT) Antarctic Programmes (REN2001-1074/ANT and CGL2004-01856).</t>
  </si>
  <si>
    <t>10.11646/zootaxa.2833.1.2</t>
  </si>
  <si>
    <t>754UQ</t>
  </si>
  <si>
    <t>WOS:000289883600002</t>
  </si>
  <si>
    <t>Monniot, F</t>
  </si>
  <si>
    <t>Monniot, Francoise</t>
  </si>
  <si>
    <t>Pelonaia quadrivena n. sp.a case of bipolarity in Ascidiacea</t>
  </si>
  <si>
    <t>Ascidiacea; Antarctic; bipolarity; new species</t>
  </si>
  <si>
    <t>PHYLOGENETIC ANALYSIS; ANELOSIMUS ARANEAE; THERIDIIDAE; SPIDERS; REVISION</t>
  </si>
  <si>
    <t>A new ascidian species of the genus Pelonaia (Ascidiacea, Styelidae) is decribed from the coastal shore of Terre Adelie, Antarctic. The genus was referenced by a single species widely distributed in the arctic seas. Comparative anatomical descriptions are given for the species of both hemispheres. The validity of the genus is confirmed.</t>
  </si>
  <si>
    <t>Museum Natl Hist Nat, Dept Milieux &amp; Peuplements Aquat, F-75231 Paris 05, France</t>
  </si>
  <si>
    <t>Museum National d'Histoire Naturelle (MNHN)</t>
  </si>
  <si>
    <t>Monniot, F (corresponding author), Museum Natl Hist Nat, Dept Milieux &amp; Peuplements Aquat, Case 51,57 Rue Cuvier Fr, F-75231 Paris 05, France.</t>
  </si>
  <si>
    <t>monniot@mnhn.fr</t>
  </si>
  <si>
    <t>French Polar Institute (IPEV); ANR [07-BLAN-0213-01]; MNHN</t>
  </si>
  <si>
    <t>French Polar Institute (IPEV); ANR(Agence Nationale de la Recherche (ANR)); MNHN</t>
  </si>
  <si>
    <t>The program 1124 REVOLTA (leader G. Lecointre) was funded by the French Polar Institute (IPEV), the ANR (White project ANTIFLOCKS USAR no 07-BLAN-0213-01) and the MNHN (Departement milieux et peuplements aquatiques). We are grateful to the staff of the French antarctic base: Dumont Durville for their assistance. I thank R. Brunetti for his comments.</t>
  </si>
  <si>
    <t>10.5281/zenodo.201828</t>
  </si>
  <si>
    <t>WOS:000289883600004</t>
  </si>
  <si>
    <t>Krüger, O; Grassl, H</t>
  </si>
  <si>
    <t>Krueger, Olaf; Grassl, Hartmut</t>
  </si>
  <si>
    <t>Southern Ocean phytoplankton increases cloud albedo and reduces precipitation</t>
  </si>
  <si>
    <t>CONDENSATION NUCLEI; AEROSOL PRODUCTION; SULFUR CYCLE; SEA-SALT; ATLANTIC; POLLUTION; PRODUCTS; RAIN; CCN; AIR</t>
  </si>
  <si>
    <t>Effects of natural and anthropogenic aerosol particles on the radiation budget in cloudy atmospheres are still a major research topic. For example, can an increase or decrease in aerosol particle number, originating from changed dimethylsulfide (DMS) and isoprene emissions by marine phytoplankton, impact the earth radiation budget via increasing or decreasing planetary albedo and lifetime of clouds? And if so, is a shifted cloud droplet spectrum accompanied by a regional change in precipitation? Here, we show by a synergistic analysis of satellite observations (MODIS, SeaWiFS, AIRS, SSM/I and CERES) that the phytoplankton related emission of the mentioned gases into the atmosphere strongly influences cloud properties within a broad latitude belt in the Southern Hemisphere during the austral summer. For this season we detected indirect aerosol effects over the Southern Ocean from 45 degrees S to 65 degrees S, especially in regions with plankton blooms, indicated by high chlorophyll-a concentration in seawater. The strong increase in cloud condensation nuclei column content from 2.0 x 10(8) to more than 5.0 x 10(8) CCN/cm(2) for a chlorophyll increase from 0.3 to about 0.5 mg/m(3) in these regions decreases cloud droplet effective radius and increases cloud optical thickness for water clouds. Consequently, the upward short-wave radiative flux at the top of the atmosphere increases. Our analysis also reveals reduced precipitation over the Antarctic Polar Frontal Zone during strong plankton blooms. We suggest that due to fine particles formed in the atmosphere originating from gaseous DMS and possibly isoprene emissions the reduction of precipitation is caused by delayed homogeneous freezing in water clouds. Citation: Kruger, O., and H. Grassl (2011), Southern Ocean phytoplankton increases cloud albedo and reduces precipitation, Geophys. Res. Lett., 38, L08809, doi: 10.1029/2011GL047116.</t>
  </si>
  <si>
    <t>[Krueger, Olaf] Helmholtz Ctr Geesthacht, D-20502 Geesthacht, Germany; [Krueger, Olaf] Univ Munich, Munich, Germany; [Grassl, Hartmut] Max Planck Inst Meteorol, D-20146 Hamburg, Germany</t>
  </si>
  <si>
    <t>Helmholtz Association; Helmholtz-Zentrum Hereon; University of Munich; Max Planck Society</t>
  </si>
  <si>
    <t>Krüger, O (corresponding author), Helmholtz Ctr Geesthacht, D-20502 Geesthacht, Germany.</t>
  </si>
  <si>
    <t>Keyes, Dennis/AAZ-9285-2021</t>
  </si>
  <si>
    <t>APR 26</t>
  </si>
  <si>
    <t>L08809</t>
  </si>
  <si>
    <t>10.1029/2011GL047116</t>
  </si>
  <si>
    <t>757SO</t>
  </si>
  <si>
    <t>WOS:000290108200006</t>
  </si>
  <si>
    <t>Hill, PW; Quilliam, RS; DeLuca, TH; Farrar, J; Farrell, M; Roberts, P; Newsham, KK; Hopkins, DW; Bardgett, RD; Jones, DL</t>
  </si>
  <si>
    <t>Hill, Paul W.; Quilliam, Richard S.; DeLuca, Thomas H.; Farrar, John; Farrell, Mark; Roberts, Paula; Newsham, Kevin K.; Hopkins, David W.; Bardgett, Richard D.; Jones, David L.</t>
  </si>
  <si>
    <t>Acquisition and Assimilation of Nitrogen as Peptide-Bound and D-Enantiomers of Amino Acids by Wheat</t>
  </si>
  <si>
    <t>ALANYL-D-ALANINE; ORGANIC NITROGEN; SOIL; PLANTS; ARABIDOPSIS; GROWTH; MINERALIZATION; TRANSPORTERS</t>
  </si>
  <si>
    <t>Nitrogen is a key regulator of primary productivity in many terrestrial ecosystems. Historically, only inorganic N (NH4+ and NO3-) and L-amino acids have been considered to be important to the N nutrition of terrestrial plants. However, amino acids are also present in soil as small peptides and in D-enantiomeric form. We compared the uptake and assimilation of N as free amino acid and short homopeptide in both L- and D-enantiomeric forms. Sterile roots of wheat (Triticum aestivum L.) plants were exposed to solutions containing either C-14-labelled L-alanine, D-alanine, L-trialanine or D-trialanine at a concentration likely to be found in soil solution (10 mu M). Over 5 h, plants took up L-alanine, D-alanine and L-trialanine at rates of 0.9+/-0.3, 0.3+/-0.06 and 0.3+/-0.04 mu mol g(-1) root DW h(-1), respectively. The rate of N uptake as L-trialanine was the same as that as L-alanine. Plants lost ca.60% of amino acid C taken up in respiration, regardless of the enantiomeric form, but more (ca.80%) of the L-trialanine C than amino acid C was respired. When supplied in solutions of mixed N form, N uptake as D-alanine was ca.5-fold faster than as NO3-, but slower than as L-alanine, L-trialanine and NH4+. Plants showed a limited capacity to take up D-trialanine (0.04+/-0.03 mmol g(-1) root DW h(-1)), but did not appear to be able to metabolise it. We conclude that wheat is able to utilise L-peptide and D-amino acid N at rates comparable to those of N forms of acknowledged importance, namely L-amino acids and inorganic N. This is true even when solutes are supplied at realistic soil concentrations and when other forms of N are available. We suggest that it may be necessary to reconsider which forms of soil N are important in the terrestrial N cycle.</t>
  </si>
  <si>
    <t>[Hill, Paul W.; Quilliam, Richard S.; DeLuca, Thomas H.; Farrar, John; Farrell, Mark; Roberts, Paula; Jones, David L.] Bangor Univ, Environm Ctr Wales, Bangor, Gwynedd, Wales; [Farrell, Mark; Bardgett, Richard D.] Univ Lancaster, Soil &amp; Ecosyst Ecol Lab, Lancaster Environm Ctr, Lancaster, England; [Farrell, Mark] Commonwealth Sci &amp; Ind Res Org Land &amp; Water, Glen Osmond, SA, Australia; [Newsham, Kevin K.] British Antarctic Survey, Nat Environm Res Council, Ecosyst Programme, Cambridge CB3 0ET, England; [Hopkins, David W.] Scottish Crop Res Inst, Dundee DD2 5DA, Scotland; [Hopkins, David W.] Univ Stirling, Sch Biol &amp; Environm Sci, Stirling FK9 4LA, Scotland; [Hopkins, David W.] Heriot Watt Univ, Sch Life Sci, Edinburgh, Midlothian, Scotland</t>
  </si>
  <si>
    <t>Bangor University; Lancaster University; Commonwealth Scientific &amp; Industrial Research Organisation (CSIRO); UK Research &amp; Innovation (UKRI); Natural Environment Research Council (NERC); NERC British Antarctic Survey; James Hutton Institute; University of Stirling; Heriot Watt University</t>
  </si>
  <si>
    <t>Hill, PW (corresponding author), Bangor Univ, Environm Ctr Wales, Bangor, Gwynedd, Wales.</t>
  </si>
  <si>
    <t>p.w.hill@bangor.ac.uk</t>
  </si>
  <si>
    <t>jones, davey/C-7411-2011; Hill, Paul W/C-2944-2013; Farrell, Mark/C-3676-2011; Jones, Davey/AAD-6037-2020; DeLuca, Thomas/GYU-3468-2022; Roberts, Paula/B-4564-2011; DeLuca, Thomas Henry/B-4547-2012; Quilliam, Richard/E-6920-2011</t>
  </si>
  <si>
    <t>jones, davey/0000-0002-1482-4209; DeLuca, Thomas Henry/0000-0003-1561-9597; Farrell, Mark/0000-0003-4562-2738; Hopkins, David/0000-0003-0953-8643; Quilliam, Richard/0000-0001-7020-4410</t>
  </si>
  <si>
    <t>UK Natural Environment Research Council [AFI 8/08]; Natural Environment Research Council [ceh010010, bas0100025, NE/E017304/1] Funding Source: researchfish; NERC [NE/E017304/1, bas0100025] Funding Source: UKRI</t>
  </si>
  <si>
    <t>UK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</si>
  <si>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This work was funded by UK Natural Environment Research Council grant AFI 8/08. The funders had no role in study design, data collection and analysis, decision to publish, or preparation of the manuscript.</t>
  </si>
  <si>
    <t>e19220</t>
  </si>
  <si>
    <t>10.1371/journal.pone.0019220</t>
  </si>
  <si>
    <t>756NE</t>
  </si>
  <si>
    <t>WOS:000290018400034</t>
  </si>
  <si>
    <t>Dessai, DVG; Singh, KT; Mohan, R; Nayak, GN; Sudhakar, M</t>
  </si>
  <si>
    <t>Dessai, Deepti V. G.; Singh, Ksh. Tomchou; Mohan, Rahul; Nayak, G. N.; Sudhakar, M.</t>
  </si>
  <si>
    <t>Reading source and processes from the distribution of suspended particulate matter and its selected elemental chemistry in the Southern and Indian Oceans</t>
  </si>
  <si>
    <t>Elemental chemistry; processes; source; Southern Ocean; suspended particulate matter</t>
  </si>
  <si>
    <t>AUSTRAL SUMMER 2004; ATLANTIC-OCEAN; TRACE-METALS; ICE CORE; WATER; ANTARCTICA; FRONTS; DUST; IRON; BAY</t>
  </si>
  <si>
    <t>Analysis of surface suspended particulate matter (SPM) from 28 degrees S to 69 degrees S at 1 degrees interval reveals a more or less decreasing trend with increasing latitude at two distinct sections in the north and south of 54 degrees S which are marked by relatively steady and a highly fluctuating trends respectively. Vertical as well as horizontal profiles of SPM, temperature and salinity at six selected stations were used in conjunction with associated trace metals to understand their association, distribution and possible source. The southern Antarctic zone is characterized by low salinity and temperature, variable SPM with high Fe and Mn, and the northern Subtropical zone is with high SPM of mainly biogenic material, high salinity and temperature and high Ca, whereas the Sub Antarctic zone in between is of moderate salinity and temperature but low SPM. The terrigenous input through melt water of ice is probably responsible for the high SPM and low salinity near surface waters, and also high SPM waters at 1000 m depth which are with high Fe and Mn in the Antarctic zone. The temperature and salinity controlled primary productivity probably controls the concentration and distribution of near surface high SPM and associated trace metals in the Subtropical zone whereas the primary productivity and the melt water play a role in contributing SPM in the middle convergence zone.</t>
  </si>
  <si>
    <t>[Dessai, Deepti V. G.; Singh, Ksh. Tomchou; Nayak, G. N.] Goa Univ, Dept Marine Sci, Panaji 403206, Goa, India; [Mohan, Rahul; Sudhakar, M.] Natl Ctr Antarctic &amp; Ocean Res, Vasco Da Gama 403804, Goa, India</t>
  </si>
  <si>
    <t>Goa University; Ministry of Earth Sciences (MoES) - India; National Centre for Polar and Ocean Research (NCPOR)</t>
  </si>
  <si>
    <t>Nayak, GN (corresponding author), Goa Univ, Dept Marine Sci, Panaji 403206, Goa, India.</t>
  </si>
  <si>
    <t>nayak1006@rediffmail.com</t>
  </si>
  <si>
    <t>APR 25</t>
  </si>
  <si>
    <t>762YN</t>
  </si>
  <si>
    <t>WOS:000290518200022</t>
  </si>
  <si>
    <t>Cubaynes, S; Doherty, PF; Schreiber, EA; Gimenez, O</t>
  </si>
  <si>
    <t>Cubaynes, Sarah; Doherty, Paul F., Jr.; Schreiber, E. A.; Gimenez, Olivier</t>
  </si>
  <si>
    <t>To breed or not to breed: a seabird's response to extreme climatic events</t>
  </si>
  <si>
    <t>El Nino; intermittent breeding; age at first breeding attempt; mark-recapture; seabirds; sea surface temperature</t>
  </si>
  <si>
    <t>ANTARCTIC SEABIRD; CONSEQUENCES; SURVIVAL; OCEAN</t>
  </si>
  <si>
    <t>Intermittent breeding is an important life-history strategy that has rarely been quantified in the wild and for which drivers remain unclear. It may be the result of a trade-off between survival and reproduction, with individuals skipping breeding when breeding conditions are below a certain threshold. Heterogeneity in individual quality can also lead to heterogeneity in intermittent breeding. We modelled survival, recruitment and breeding probability of the red-footed booby (Sula sula), using a 19 year mark-recapture dataset involving more than 11 000 birds. We showed that skipping breeding was more likely in El-Nino years, correlated with an increase in the local sea surface temperature, supporting the hypothesis that it may be partly an adaptive strategy of birds to face the trade-off between survival and reproduction owing to environmental constraints. We also showed that the age-specific probability of first breeding attempt was synchronized among different age-classes and higher in El-Nino years. This result suggested that pre-breeders may benefit from lowered competition with experienced breeders in years of high skipping probabilities.</t>
  </si>
  <si>
    <t>[Cubaynes, Sarah; Gimenez, Olivier] Ctr Ecol Fonct &amp; Evolut, UMR 5175, F-34293 Montpellier 5, France; [Cubaynes, Sarah] Inst Math &amp; Modelisat Montpellier, UMR 5149, F-34095 Montpellier 5, France; [Doherty, Paul F., Jr.] Colorado State Univ, Dept Fish Wildlife &amp; Conservat Biol, Ft Collins, CO 80523 USA; [Schreiber, E. A.] Natl Museum Nat Hist, Div Birds, Smithsonian Inst, Washington, DC 20560 USA</t>
  </si>
  <si>
    <t>Centre National de la Recherche Scientifique (CNRS); CNRS - Institute of Ecology &amp; Environment (INEE); Universite PSL; Ecole Pratique des Hautes Etudes (EPHE); Institut Agro; Montpellier SupAgro; CIRAD; Institut de Recherche pour le Developpement (IRD); Universite Paul-Valery; Universite de Montpellier; Centre National de la Recherche Scientifique (CNRS); CNRS - National Institute for Mathematical Sciences (INSMI); Universite de Montpellier; Colorado State University; Smithsonian Institution; Smithsonian National Museum of Natural History</t>
  </si>
  <si>
    <t>Cubaynes, S (corresponding author), Ctr Ecol Fonct &amp; Evolut, UMR 5175, Campus CNRS,1919 Route Mende, F-34293 Montpellier 5, France.</t>
  </si>
  <si>
    <t>sarah.cubaynes@cefe.cnrs.fr</t>
  </si>
  <si>
    <t>Cubaynes, Sarah/JOK-5811-2023; Gimenez, Olivier/G-4281-2010</t>
  </si>
  <si>
    <t>Gimenez, Olivier/0000-0001-7001-5142</t>
  </si>
  <si>
    <t>French Research National Agency (ANR) [ANR-08-JCJC-0028-01]; Languedoc-Roussillon region; U.S. Department of Defence</t>
  </si>
  <si>
    <t>French Research National Agency (ANR)(Agence Nationale de la Recherche (ANR)); Languedoc-Roussillon region(Region Occitanie); U.S. Department of Defence(United States Department of Defense)</t>
  </si>
  <si>
    <t>This work was partly supported by a grant from the French Research National Agency (ANR), reference ANR-08-JCJC-0028-01. P. F. D. thanks the Languedoc-Roussillon region for funding during a sabbatical at Universite Montpellier 2. E. A. S. thanks the U.S. Fish and Wildlife Service or permission to conduct this study and the U.S. Department of Defence for funding.</t>
  </si>
  <si>
    <t>APR 23</t>
  </si>
  <si>
    <t>10.1098/rsbl.2010.0778</t>
  </si>
  <si>
    <t>733EE</t>
  </si>
  <si>
    <t>WOS:000288244100039</t>
  </si>
  <si>
    <t>Kawaguchi, S; Kurihara, H; King, R; Hale, L; Berli, T; Robinson, JP; Ishida, A; Wakita, M; Virtue, P; Nicol, S; Ishimatsu, A</t>
  </si>
  <si>
    <t>Kawaguchi, So; Kurihara, Haruko; King, Robert; Hale, Lillian; Berli, Thomas; Robinson, James P.; Ishida, Akio; Wakita, Masahide; Virtue, Patti; Nicol, Stephen; Ishimatsu, Atsushi</t>
  </si>
  <si>
    <t>Will krill fare well under Southern Ocean acidification?</t>
  </si>
  <si>
    <t>Antarctic krill; ocean acidification; early development; habitat pCO(2); Southern Ocean</t>
  </si>
  <si>
    <t>EUPHAUSIA-SUPERBA; ECOSYSTEM; GROWTH; WEST</t>
  </si>
  <si>
    <t>Antarctic krill embryos and larvae were experimentally exposed to 380 (control), 1000 and 2000 mu atm pCO(2) in order to assess the possible impact of ocean acidification on early development of krill. No significant effects were detected on embryonic development or larval behaviour at 1000 mu atm pCO(2); however, at 2000 mu atm pCO(2) development was disrupted before gastrulation in 90 per cent of embryos, and no larvae hatched successfully. Our model projections demonstrated that Southern Ocean sea water pCO(2) could rise up to 1400 mu atm in krill's depth range under the IPCC IS92a scenario by the year 2100 (atmospheric pCO(2) 788 mu atm). These results point out the urgent need for understanding the pCO(2)-response relationship for krill developmental and later stages, in order to predict the possible fate of this key species in the Southern Ocean.</t>
  </si>
  <si>
    <t>[Kawaguchi, So; King, Robert; Nicol, Stephen] Australian Antarctic Div, Kingston, Tas 7050, Australia; [Kawaguchi, So; Nicol, Stephen] Antarctic Climate &amp; Ecosyst Cooperat Res Ctr, Hobart, Tas 7001, Australia; [Kurihara, Haruko] Univ Ryukyus, Okinawa 9030213, Japan; [Hale, Lillian; Berli, Thomas; Robinson, James P.; Virtue, Patti] Univ Tasmania, Sandy Bay, Tas 7005, Australia; [Ishida, Akio; Wakita, Masahide] JAMSTEC, Res Inst Global Change, Yokosuka, Kanagawa 2370061, Japan; [Wakita, Masahide] JAMSTEC, Mutsu Inst Oceanog, Mutsu, Aomori 0350022, Japan; [Ishimatsu, Atsushi] Nagasaki Univ, Nagasaki 8512213, Japan</t>
  </si>
  <si>
    <t>Australian Antarctic Division; Antarctic Climate &amp; Ecosystems Cooperative Research Centre (ACE CRC); University of the Ryukyus; University of Tasmania; Japan Agency for Marine-Earth Science &amp; Technology (JAMSTEC); Japan Agency for Marine-Earth Science &amp; Technology (JAMSTEC); Nagasaki University</t>
  </si>
  <si>
    <t>Kawaguchi, S (corresponding author), Australian Antarctic Div, Channel Highway, Kingston, Tas 7050, Australia.</t>
  </si>
  <si>
    <t>Berli, Thomas M/D-2634-2011; Kawaguchi, So/N-1795-2017</t>
  </si>
  <si>
    <t>Virtue, Patti/0000-0002-9870-1256; King, Robert/0000-0002-4650-2335; Kawaguchi, So/0000-0002-2042-5095</t>
  </si>
  <si>
    <t>Australian Antarctic Division; Antarctic Climate &amp; Ecosystems Co-operative Research Centre (ACE CRC)</t>
  </si>
  <si>
    <t>Australian Antarctic Division; Antarctic Climate &amp; Ecosystems Co-operative Research Centre (ACE CRC)(Australian GovernmentDepartment of Industry, Innovation and ScienceCooperative Research Centres (CRC) Programme)</t>
  </si>
  <si>
    <t>We thank Hans-Otto Portner, Robin Ross and Langdon Quetin and the two anonymous reviewers for their useful comments. This research was supported by the Australian Antarctic Division and by the Australian Government Co-operative Research Centres Program through the Antarctic Climate &amp; Ecosystems Co-operative Research Centre (ACE CRC).</t>
  </si>
  <si>
    <t>10.1098/rsbl.2010.0777</t>
  </si>
  <si>
    <t>WOS:000288244100035</t>
  </si>
  <si>
    <t>Munday, DR; Allison, LC; Johnson, HL; Marshall, DP</t>
  </si>
  <si>
    <t>Munday, D. R.; Allison, L. C.; Johnson, H. L.; Marshall, D. P.</t>
  </si>
  <si>
    <t>Remote forcing of the Antarctic Circumpolar Current by diapycnal mixing</t>
  </si>
  <si>
    <t>MERIDIONAL OVERTURNING CIRCULATION; LAST GLACIAL MAXIMUM; GENERAL-CIRCULATION; OCEAN CIRCULATION; WIND; DRIVEN; MODEL; THERMOHALINE; ENERGY; ENERGETICS</t>
  </si>
  <si>
    <t>We show that diapycnal mixing can drive a significant Antarctic Circumpolar Current (ACC) volume transport, even when the mixing is located remotely in northernhemisphere ocean basins. In the case of remote forcing, the globally- averaged diapycnal mixing coefficient is the important parameter. This result is anticipated from theoretical arguments and demonstrated in a global ocean circulation model. The impact of enhanced diapycnal mixing on the ACC during glacial periods is discussed. Citation: Munday, D. R., L. C. Allison, H. L. Johnson, and D. P. Marshall (2011), Remote forcing of the Antarctic Circumpolar Current by diapycnal mixing, Geophys. Res. Lett., 38, L08609, doi: 10.1029/2011GL046849.</t>
  </si>
  <si>
    <t>[Munday, D. R.; Marshall, D. P.] Univ Oxford, Dept Phys, Oxford OX1 3PU, England; [Allison, L. C.] Univ Reading, Dept Meteorol, Reading RG6 6BB, Berks, England; [Johnson, H. L.] Univ Oxford, Dept Earth Sci, Oxford OX1 3PR, England</t>
  </si>
  <si>
    <t>University of Oxford; University of Reading; University of Oxford</t>
  </si>
  <si>
    <t>Munday, DR (corresponding author), Univ Oxford, Dept Phys, Parks Rd, Oxford OX1 3PU, England.</t>
  </si>
  <si>
    <t>munday@atm.ox.ac.uk</t>
  </si>
  <si>
    <t>Marshall, David Philip/B-6767-2009; Allison, Lesley/H-4033-2011; Munday, David R/R-1986-2016; Munday, David/Y-7052-2019; Allison, Lesley/I-4746-2015</t>
  </si>
  <si>
    <t>Marshall, David Philip/0000-0002-5199-6579; Munday, David R/0000-0003-1920-708X; Allison, Lesley/0000-0002-9271-1197; Johnson, Helen/0000-0003-1873-2085</t>
  </si>
  <si>
    <t>UK Natural Environment Research Council; Royal Society University; Natural Environment Research Council [ncas10009, NE/H005668/1, NE/E007546/1] Funding Source: researchfish; NERC [NE/H005668/1, NE/E007546/1] Funding Source: UKRI</t>
  </si>
  <si>
    <t>UK Natural Environment Research Council(UK Research &amp; Innovation (UKRI)Natural Environment Research Council (NERC)); Royal Society University(Royal Society); Natural Environment Research Council(UK Research &amp; Innovation (UKRI)Natural Environment Research Council (NERC)); NERC(UK Research &amp; Innovation (UKRI)Natural Environment Research Council (NERC))</t>
  </si>
  <si>
    <t>This study is funded by the UK Natural Environment Research Council. HLJ is supported by a Royal Society University Research Fellowship. DPM acknowledges additional support from the Oxford Martin School.</t>
  </si>
  <si>
    <t>APR 22</t>
  </si>
  <si>
    <t>L08609</t>
  </si>
  <si>
    <t>10.1029/2011GL046849</t>
  </si>
  <si>
    <t>754LD</t>
  </si>
  <si>
    <t>WOS:000289855200002</t>
  </si>
  <si>
    <t>Vollmer, MK; Miller, BR; Rigby, M; Reimann, S; Mühle, J; Krummel, PB; O'Doherty, S; Kim, J; Rhee, TS; Weiss, RF; Fraser, PJ; Simmonds, PG; Salameh, PK; Harth, CM; Wang, RHJ; Steele, LP; Young, D; Lunder, CR; Hermansen, O; Ivy, D; Arnold, T; Schmidbauer, N; Kim, KR; Greally, BR; Hill, M; Leist, M; Wenger, A; Prinn, RG</t>
  </si>
  <si>
    <t>Vollmer, Martin K.; Miller, Benjamin R.; Rigby, Matthew; Reimann, Stefan; Muehle, Jens; Krummel, Paul B.; O'Doherty, Simon; Kim, Jooil; Rhee, Tae Siek; Weiss, Ray F.; Fraser, Paul J.; Simmonds, Peter G.; Salameh, Peter K.; Harth, Christina M.; Wang, Ray H. J.; Steele, L. Paul; Young, Dickon; Lunder, Chris R.; Hermansen, Ove; Ivy, Diane; Arnold, Tim; Schmidbauer, Norbert; Kim, Kyung-Ryul; Greally, Brian R.; Hill, Matthias; Leist, Michael; Wenger, Angelina; Prinn, Ronald G.</t>
  </si>
  <si>
    <t>Atmospheric histories and global emissions of the anthropogenic hydrofluorocarbons HFC-365mfc, HFC-245fa, HFC-227ea, and HFC-236fa</t>
  </si>
  <si>
    <t>IN-SITU MEASUREMENTS; OH REACTION-KINETICS; RATE CONSTANTS; HYDROXYL RADICALS; DEGRADATION; LIFETIMES; MECHANISM; CLIMATE; GASES; FOAM</t>
  </si>
  <si>
    <t>We report on ground-based atmospheric measurements and emission estimates of the four anthropogenic hydrofluorocarbons (HFCs) HFC-365mfc (CH3CF2CH2CF3, 1,1,1,3,3-pentafluorobutane), HFC-245fa (CHF2CH2CF3, 1,1,1,3,3-pentafluoropropane), HFC-227ea (CF3CHFCF3, 1,1,1,2,3,3,3-heptafluoropropane), and HFC-236fa (CF3CH2CF3, 1,1,1,3,3,3-hexafluoropropane). In situ measurements are from the global monitoring sites of the Advanced Global Atmospheric Gases Experiment (AGAGE), the System for Observations of Halogenated Greenhouse Gases in Europe (SOGE), and Gosan (South Korea). We include the first halocarbon flask sample measurements from the Antarctic research stations King Sejong and Troll. We also present measurements of archived air samples from both hemispheres back to the 1970s. We use a two-dimensional atmospheric transport model to simulate global atmospheric abundances and to estimate global emissions. HFC-365mfc and HFC-245fa first appeared in the atmosphere only similar to 1 decade ago; they have grown rapidly to globally averaged dry air mole fractions of 0.53 ppt (in parts per trillion, 10(-12)) and 1.1 ppt, respectively, by the end of 2010. In contrast, HFC-227ea first appeared in the global atmosphere in the 1980s and has since grown to similar to 0.58 ppt. We report the first measurements of HFC-236fa in the atmosphere. This long-lived compound was present in the atmosphere at only 0.074 ppt in 2010. All four substances exhibit yearly growth rates of &gt;8% yr(-1) at the end of 2010. We find rapidly increasing emissions for the foam-blowing compounds HFC-365mfc and HFC-245fa starting in similar to 2002. After peaking in 2006 (HFC-365mfc: 3.2 kt yr(-1), HFC-245fa: 6.5 kt yr(-1)), emissions began to decline. Our results for these two compounds suggest that recent estimates from long-term projections (to the late 21st century) have strongly overestimated emissions for the early years of the projections (similar to 2005-2010). Global HFC-227ea and HFC-236fa emissions have grown to average values of 2.4 kt yr(-1) and 0.18 kt y(r-)1 over the 2008-2010 period, respectively.</t>
  </si>
  <si>
    <t>[Vollmer, Martin K.; Reimann, Stefan; Hill, Matthias; Wenger, Angelina] Empa, Swiss Fed Labs Mat Sci &amp; Technol, Lab Air Pollut &amp; Environm Technol, CH-8600 Dubendorf, Switzerland; [Muehle, Jens; Weiss, Ray F.; Salameh, Peter K.; Harth, Christina M.; Arnold, Tim] Univ Calif San Diego, Scripps Inst Oceanog, La Jolla, CA 92093 USA; [Krummel, Paul B.; Fraser, Paul J.; Steele, L. Paul; Leist, Michael] CSIRO Marine &amp; Atmospher Res, Ctr Australian Weather &amp; Climate Res, Aspendale, Vic 3195, Australia; [Lunder, Chris R.; Hermansen, Ove; Schmidbauer, Norbert] Norwegian Inst Air Res, N-2007 Kjeller, Norway; [Rigby, Matthew; Prinn, Ronald G.] MIT, Ctr Global Change Sci, Cambridge, MA 02139 USA; [Kim, Jooil; Kim, Kyung-Ryul] Seoul Natl Univ, Sch Earth &amp; Environm Sci, Seoul 151742, South Korea; [Kim, Kyung-Ryul] Seoul Natl Univ, Res Inst Oceanog, Seoul 151742, South Korea; [O'Doherty, Simon; Simmonds, Peter G.; Young, Dickon; Greally, Brian R.] Univ Bristol, Sch Chem, Atmospher Chem Res Grp, Bristol BS8 1TS, Avon, England; [Rhee, Tae Siek] Korea Polar Res Inst, Inchon 406840, South Korea; [Wang, Ray H. J.] Georgia Inst Technol, Sch Earth &amp; Atmospher Sci, Atlanta, GA 30332 USA; [Miller, Benjamin R.] Univ Colorado, Cooperat Inst Res Environm Sci, Boulder, CO 80309 USA</t>
  </si>
  <si>
    <t>Swiss Federal Institutes of Technology Domain; Swiss Federal Laboratories for Materials Science &amp; Technology (EMPA); University of California System; University of California San Diego; Scripps Institution of Oceanography; Commonwealth Scientific &amp; Industrial Research Organisation (CSIRO); NILU; Massachusetts Institute of Technology (MIT); Seoul National University (SNU); Seoul National University (SNU); University of Bristol; Korea Polar Research Institute (KOPRI); Korea Institute of Ocean Science &amp; Technology (KIOST); University System of Georgia; Georgia Institute of Technology; University of Colorado System; University of Colorado Boulder</t>
  </si>
  <si>
    <t>Vollmer, MK (corresponding author), Empa, Swiss Fed Labs Mat Sci &amp; Technol, Lab Air Pollut &amp; Environm Technol, Ueberlandstr 129, CH-8600 Dubendorf, Switzerland.</t>
  </si>
  <si>
    <t>martin.vollmer@empa.ch</t>
  </si>
  <si>
    <t>Fraser, Paul J. B./D-1755-2012; Young, Dickon/AFO-7065-2022; Krummel, Paul B/A-4293-2013; Miller, Benjamin R/X-7691-2019; Muhle, Jens/GPX-3244-2022; Steele, Paul/B-3185-2009; Reimann, Stefan/A-2327-2009; Rigby, Matthew/A-5555-2012</t>
  </si>
  <si>
    <t>Young, Dickon/0000-0002-6723-3138; Krummel, Paul B/0000-0002-4884-3678; Miller, Benjamin R/0000-0001-9988-9687; Muhle, Jens/0000-0001-9776-3642; Reimann, Stefan/0000-0002-9885-7138; Arnold, Tim/0000-0001-9097-8907; Kim, Jooil/0000-0002-2610-4882; Miller, Benjamin/0000-0003-1647-0122; Rigby, Matthew/0000-0002-2020-9253; Wenger, Angelina/0000-0001-5011-1751; Hermansen, Ove/0000-0001-7353-057X</t>
  </si>
  <si>
    <t>National Aeronautic and Space Administration (NASA) [NAG5-12669, NNX07AE89G, NNX07AF09G, NNX07AE87G]; Department of Energy and Climate Change (DECC, UK) [GA01081]; Commonwealth Scientific and Industrial Research Organisation (CSIRO Australia), Bureau of Meteorology (Australia); EU Commission [EVK2-2000-00674]; International Foundation High Altitude Research Stations Jungfraujoch and Gornergrat (HFSJG); Swiss National Program HALCLIM (Swiss Federal Office for the Environment, FOEN); Korea government (MEST) [2010-0029119]; Climate and Pollution Agency (klif)</t>
  </si>
  <si>
    <t>National Aeronautic and Space Administration (NASA)(National Aeronautics &amp; Space Administration (NASA)); Department of Energy and Climate Change (DECC, UK); Commonwealth Scientific and Industrial Research Organisation (CSIRO Australia), Bureau of Meteorology (Australia)(Commonwealth Scientific &amp; Industrial Research Organisation (CSIRO)); EU Commission(European Union (EU)European Commission Joint Research Centre); International Foundation High Altitude Research Stations Jungfraujoch and Gornergrat (HFSJG); Swiss National Program HALCLIM (Swiss Federal Office for the Environment, FOEN); Korea government (MEST)(Ministry of Education, Science &amp; Technology (MEST), Republic of KoreaKorean Government); Climate and Pollution Agency (klif)</t>
  </si>
  <si>
    <t>We acknowledge the station personnel at all stations for their continuous support in conducting in situ measurements and flask sampling activities. We also acknowledge the many providers of flask samples composing the archived air sample data set of the Northern Hemisphere. The operation of the AGAGE instruments at the network sites is supported by the National Aeronautic and Space Administration (NASA) (grants NAG5-12669 and NNX07AE89G to MIT and grants NNX07AF09G and NNX07AE87G to SIO), the Department of Energy and Climate Change (DECC, UK) contract GA01081 to the University of Bristol, and the Commonwealth Scientific and Industrial Research Organisation (CSIRO Australia), Bureau of Meteorology (Australia). The operation of SOGE stations was supported by the EU Commission of the European Communities Research Directorate-General 5th Framework Programme (EU FP-5) theme of Energy, Environment and Sustainable Development (project EVK2-2000-00674). Support of the Jungfraujoch station is provided by the International Foundation High Altitude Research Stations Jungfraujoch and Gornergrat (HFSJG). Financial support for the measurements is provided for Jungfraujoch by the Swiss National Program HALCLIM (Swiss Federal Office for the Environment, FOEN), for Gosan by the National Research Foundation of Korea (NRF) grant funded by the Korea government (MEST) project 2010-0029119, and for Zeppelin by the Climate and Pollution Agency (klif). The Antarctic flask sampling programs are supported by the research council of Norway for Troll and the Korean Polar Research Programs PN09120 and PE10180 for King Sejong. Nada Derek (CSIRO) computed cumulative UNFCCC emissions. Mike Kurylo was engaged in helpful discussions regarding the JPL reaction coefficients. The late Laurence W. Porter (CSIRO/Bureau of Meteorology, Australia) contributed significantly to the Cape Grim in situ and archived air sample analysis. The late Derek M. Cunnold (Georgia Institute of Technology) contributed significantly to the background determinations and modeling algorithms used for this study.</t>
  </si>
  <si>
    <t>D08304</t>
  </si>
  <si>
    <t>10.1029/2010JD015309</t>
  </si>
  <si>
    <t>754KJ</t>
  </si>
  <si>
    <t>WOS:000289853200005</t>
  </si>
  <si>
    <t>Mortimer, E; van Vuuren, BJ; Lee, JE; Marshall, DJ; Convey, P; Chown, SL</t>
  </si>
  <si>
    <t>Mortimer, E.; van Vuuren, B. Jansen; Lee, J. E.; Marshall, D. J.; Convey, P.; Chown, S. L.</t>
  </si>
  <si>
    <t>Mite dispersal among the Southern Ocean Islands and Antarctica before the last glacial maximum</t>
  </si>
  <si>
    <t>ameronothroid mites; biogeography; dispersal; glacial refugia; vicariance</t>
  </si>
  <si>
    <t>LONG-DISTANCE DISPERSAL; PHENOTYPIC PLASTICITY; MOLECULAR PHYLOGENY; WEEVILS COLEOPTERA; KERGUELEN PLATEAU; MARION ISLAND; POLAR FRONT; ACARI; BIOGEOGRAPHY; MARITIME</t>
  </si>
  <si>
    <t>It has long been maintained that the majority of terrestrial Antarctic species are relatively recent, post last glacial maximum, arrivals with perhaps a few microbial or protozoan taxa being substantially older. Recent studies have questioned this 'recolonization hypothesis', though the range of taxa examined has been limited. Here, we present the first large-scale study for mites, one of two dominant terrestrial arthropod groups in the region. Specifically, we provide a broad-scale molecular phylogeny of a biologically significant group of ameronothroid mites from across the maritime and sub-Antarctic regions. Applying different dating approaches, we show that divergences among the ameronothroid mite genera Podacarus, Alaskozetes and Halozetes significantly predate the Pleistocene and provide evidence of independent dispersals across the Antarctic Polar Front. Our data add to a growing body of evidence demonstrating that many taxa have survived glaciation of the Antarctic continent and the sub-Antarctic islands. Moreover, they also provide evidence of a relatively uncommon trend of dispersals from islands to continental mainlands. Within the ameronothroid mites, two distinct clades with specific habitat preferences ( marine intertidal versus terrestrial/supralittoral) exist, supporting a model of within-habitat speciation rather than colonization from marine refugia to terrestrial habitats. The present results provide additional impetus for a search for terrestrial refugia in an area previously thought to have lacked ice-free ground during glacial maxima.</t>
  </si>
  <si>
    <t>[Mortimer, E.; van Vuuren, B. Jansen] Univ Stellenbosch, Evolutionary Genom Grp, ZA-7602 Matieland, South Africa; [van Vuuren, B. Jansen; Lee, J. E.; Chown, S. L.] Univ Stellenbosch, Ctr Invas Biol, Dept Bot &amp; Zool, ZA-7602 Matieland, South Africa; [Marshall, D. J.] Univ Brunei Darussalam, Dept Biol, Jalan Tungu Link 1410, Gadong, Brunei; [Convey, P.] British Antarctic Survey, Nat Environm Res Council, Cambridge CB3 0ET, England</t>
  </si>
  <si>
    <t>Stellenbosch University; Stellenbosch University; University Brunei Darussalam; UK Research &amp; Innovation (UKRI); Natural Environment Research Council (NERC); NERC British Antarctic Survey</t>
  </si>
  <si>
    <t>van Vuuren, BJ (corresponding author), Univ Stellenbosch, Evolutionary Genom Grp, Private Bag X1, ZA-7602 Matieland, South Africa.</t>
  </si>
  <si>
    <t>bjvv@sun.ac.za</t>
  </si>
  <si>
    <t>Convey, Peter/AAV-5728-2020; Chown, Steven/ABD-7646-2021; Jansen van Vuuren, Bettine/E-6227-2013; Chown, Steven/H-3347-2011</t>
  </si>
  <si>
    <t>Convey, Peter/0000-0001-8497-9903; Jansen van Vuuren, Bettine/0000-0002-5334-5358; Marshall, David/0000-0003-3771-5950; Chown, Steven/0000-0001-6069-5105</t>
  </si>
  <si>
    <t>SANAP [2069543]; Center for Invasion Biology; 'Polar Sciences for Planet Earth' core programme of BAS; Natural Environment Research Council [bas0100025] Funding Source: researchfish; NERC [bas0100025] Funding Source: UKRI</t>
  </si>
  <si>
    <t>SANAP; Center for Invasion Biology; 'Polar Sciences for Planet Earth' core programme of BAS; Natural Environment Research Council(UK Research &amp; Innovation (UKRI)Natural Environment Research Council (NERC)); NERC(UK Research &amp; Innovation (UKRI)Natural Environment Research Council (NERC))</t>
  </si>
  <si>
    <t>We thank Anne Ropiquet, Brent Emerson, Savel Daniels and an anonymous reviewer for critical comments on a previous version of the ms. This work was supported by SANAP Grant 2069543 and a Center for Invasion Biology stipend to BvV. PC is supported through the 'Polar Sciences for Planet Earth' core programme of BAS. We thank several researchers for making collections of mites, particularly J. Deere, C. Hanel, D. Bergstrom and L. Coetzee. This paper also contributes to the SCAR 'Evolution and Biodiversity in Antarctica' research programme.</t>
  </si>
  <si>
    <t>10.1098/rspb.2010.1779</t>
  </si>
  <si>
    <t>733DM</t>
  </si>
  <si>
    <t>WOS:000288241300018</t>
  </si>
  <si>
    <t>Pusz, AE; Thunell, RC; Miller, KG</t>
  </si>
  <si>
    <t>Pusz, A. E.; Thunell, R. C.; Miller, K. G.</t>
  </si>
  <si>
    <t>Deep water temperature, carbonate ion, and ice volume changes across the Eocene-Oligocene climate transition</t>
  </si>
  <si>
    <t>FORAMINIFERAL MG/CA-PALEOTHERMOMETRY; CALCITE COMPENSATION DEPTH; NORTH-ATLANTIC; BENTHIC FORAMINIFERA; ANTARCTIC GLACIATION; STABLE-ISOTOPE; PLANKTONIC-FORAMINIFERA; SOUTH-ATLANTIC; GLOBAL CLIMATE; SR/CA RATIOS</t>
  </si>
  <si>
    <t>Paired benthic foraminiferal stable isotope and Mg/Ca data are used to estimate bottom water temperature (BWT) and ice volume changes associated with the Eocene-Oligocene Transition (EOT), the largest global climate event of the past 50 Myr. We utilized ODP Sites 1090 and 1265 in the South Atlantic to assess seawater delta O-18 (delta(w)), Antarctic ice volume, and sea level changes across the EOT (similar to 33.8-33.54 Ma). We also use benthic delta C-13 data to reconstruct the sources of the deep water masses in this region during the EOT. Our data, together with previously published records, indicate that a pulse of Northern Component Water influenced the South Atlantic immediately prior to and following the EOT. Benthic delta O-18 records show a 0.5% increase at similar to 33.8 Ma (EOT-1) that represents a similar to 2 degrees C cooling and a small (similar to 10 m) eustatic fall that is followed by a 1.0% increase associated with Oi-1. The expected cooling of deep waters at Oi-1 (similar to 33.54 Ma) is not apparent in our Mg/Ca records. We suggest the cooling is masked by coeval changes in the carbonate saturation state (Delta[CO32-]) which affect the Mg/Ca data. To account for this, the BWT, ice volume, and delta(w) estimates are corrected for a change in the Delta[CO32-] of deep waters on the basis of recently published work. Corrected BWT at Sites 1090 and 1265 show a similar to 1.5 degrees C cooling coincident with Oi-1 and an average delta(w) increase of similar to 0.75%. The increase in ice volume during Oi-1 resulted in a similar to 70 m drop in global sea level and the development of an Antarctic ice sheet that was near modern size or slightly larger.</t>
  </si>
  <si>
    <t>[Pusz, A. E.; Thunell, R. C.] Univ S Carolina, Dept Earth &amp; Ocean Sci, Columbia, SC 29208 USA; [Miller, K. G.] Rutgers State Univ, Dept Earth &amp; Planetary Sci, Piscataway, NJ 08854 USA</t>
  </si>
  <si>
    <t>University of South Carolina System; University of South Carolina Columbia; Rutgers University System; Rutgers University New Brunswick</t>
  </si>
  <si>
    <t>Pusz, AE (corresponding author), Univ S Carolina, Dept Earth &amp; Ocean Sci, 701 Sumter St, Columbia, SC 29208 USA.</t>
  </si>
  <si>
    <t>apusz@geol.sc.edu</t>
  </si>
  <si>
    <t>U.S. National Science Foundation (NSF); Joint Oceanographic Institutions; NSF [ANT-0732995, OCE0623256]</t>
  </si>
  <si>
    <t>U.S. National Science Foundation (NSF)(National Science Foundation (NSF)); Joint Oceanographic Institutions; NSF(National Science Foundation (NSF))</t>
  </si>
  <si>
    <t>We thank Eric Tappa for sample analyses and data processing and Mimi Katz, Howie Scher, and Ben Cramer for their insightful discussions and suggestions. We graciously thank Vicky Peck and Carrie Lear for access to their manuscripts recently accepted to Paleoceanography. We thank Rainer Zahn and two anonymous reviewers for editorial reviews and helpful advice to improve our manuscript. Samples for this work were obtained from the Ocean Drilling Program (ODP), which is supported by the U.S. National Science Foundation (NSF) and by Joint Oceanographic Institutions. This research was funded by NSF grants ANT-0732995 (Thunell) and OCE0623256 (Miller).</t>
  </si>
  <si>
    <t>APR 21</t>
  </si>
  <si>
    <t>PA2205</t>
  </si>
  <si>
    <t>10.1029/2010PA001950</t>
  </si>
  <si>
    <t>754KU</t>
  </si>
  <si>
    <t>WOS:000289854300001</t>
  </si>
  <si>
    <t>King, MA; Makinson, K; Gudmundsson, GH</t>
  </si>
  <si>
    <t>King, Matt A.; Makinson, Keith; Gudmundsson, G. Hilmar</t>
  </si>
  <si>
    <t>Nonlinear interaction between ocean tides and the Larsen C Ice Shelf system</t>
  </si>
  <si>
    <t>ANTARCTIC PENINSULA; STREAM; FLOW; BENEATH</t>
  </si>
  <si>
    <t>We report on three GPS records of flow of the Larsen C Ice Shelf, spanning 2 months to 2 years. Variations in speed are evident at periods from a few hours to similar to 182 days, including semi-diurnal, diurnal and similar to 14.76 days. At fortnightly periods the ice shelf varies by +/- 10% from its long-term speed but at diurnal timescales it is up to +/- 100%. A nonlinear relationship between ocean tides and velocity is required to explain the observed variations in flow. As an initial examination we model flow as a non-linear function of basal shear stress including tidal perturbations in the ice shelf grounding zone and show that the major features of the observations are reproduced, notably the long-period signal largely absent from the vertical tidal signal. Alternative explanations are discussed. These observations demonstrate that the ice shelf system is highly sensitive to relatively modest changes in forcing at its boundaries. Citation: King, M. A., K. Makinson, and G. H. Gudmundsson (2011), Nonlinear interaction between ocean tides and the Larsen C Ice Shelf system, Geophys. Res. Lett., 38, L08501, doi: 10.1029/2011GL046680.</t>
  </si>
  <si>
    <t>[King, Matt A.] Newcastle Univ, Sch Civil Engn &amp; Geosci, Newcastle Upon Tyne NE1 7RU, Tyne &amp; Wear, England; [Makinson, Keith; Gudmundsson, G. Hilmar] British Antarctic Survey, Cambridge CB3 0ET, England</t>
  </si>
  <si>
    <t>Newcastle University - UK; UK Research &amp; Innovation (UKRI); Natural Environment Research Council (NERC); NERC British Antarctic Survey</t>
  </si>
  <si>
    <t>Facility, NERC Geophysical Equipment/G-5260-2010; Makinson, Keith/A-2495-2013; Gudmundsson, Gudmundur Hilmar/F-6499-2012; King, Matt/B-4622-2008; Gudmundsson, Gudmundur Hilmar/AAU-5987-2020</t>
  </si>
  <si>
    <t>Makinson, Keith/0000-0002-5791-1767; Gudmundsson, Gudmundur Hilmar/0000-0003-4236-5369; King, Matt/0000-0001-5611-9498; Gudmundsson, Gudmundur Hilmar/0000-0003-4236-5369</t>
  </si>
  <si>
    <t>NERC AFI; GEF grant; RCUK Academic; NERC [NE/D009960/1, bas0100028] Funding Source: UKRI; Natural Environment Research Council [bas0100028, NE/D009960/1] Funding Source: researchfish</t>
  </si>
  <si>
    <t>NERC AFI(UK Research &amp; Innovation (UKRI)Natural Environment Research Council (NERC)); GEF grant; RCUK Academic(UK Research &amp; Innovation (UKRI)); NERC(UK Research &amp; Innovation (UKRI)Natural Environment Research Council (NERC)); Natural Environment Research Council(UK Research &amp; Innovation (UKRI)Natural Environment Research Council (NERC))</t>
  </si>
  <si>
    <t>This work was funded by NERC AFI and GEF grants/loans and a RCUK Academic Fellowship to MAK. We thank David Barber and BAS logistics, pilots and field assistants for deploying (and digging out) the equipment. The manuscript was significantly improved through comments by Doug MacAyeal, Robert H. Thomas, anonymous reviewers and Eric Rignot (Editor).</t>
  </si>
  <si>
    <t>L08501</t>
  </si>
  <si>
    <t>10.1029/2011GL046680</t>
  </si>
  <si>
    <t>754LA</t>
  </si>
  <si>
    <t>WOS:000289854900001</t>
  </si>
  <si>
    <t>Comiso, JC; Kwok, R; Martin, S; Gordon, AL</t>
  </si>
  <si>
    <t>Comiso, Josefino C.; Kwok, Ronald; Martin, Seelye; Gordon, Arnold L.</t>
  </si>
  <si>
    <t>Variability and trends in sea ice extent and ice production in the Ross Sea</t>
  </si>
  <si>
    <t>SOUTHERN-OCEAN; CLIMATE-CHANGE; ANNULAR MODE; SHELF; THICKNESS; POLYNYA; SURFACE; WESTERN; FLUX; OSCILLATION</t>
  </si>
  <si>
    <t>Salt release during sea ice formation in the Ross Sea coastal regions is regarded as a primary forcing for the regional generation of Antarctic Bottom Water. Passive microwave data from November 1978 through 2008 are used to examine the detailed seasonal and interannual characteristics of the sea ice cover of the Ross Sea and the adjacent Bellingshausen and Amundsen seas. For this period the sea ice extent in the Ross Sea shows the greatest increase of all the Antarctic seas. Variability in the ice cover in these regions is linked to changes in the Southern Annular Mode and secondarily to the Antarctic Circumpolar Wave. Over the Ross Sea shelf, analysis of sea ice drift data from 1992 to 2008 yields a positive rate of increase in the net ice export of about 30,000 km(2) yr(-1). For a characteristic ice thickness of 0.6 m, this yields a volume transport of about 20 km(3) yr(-1), which is almost identical, within error bars, to our estimate of the trend in ice production. The increase in brine rejection in the Ross Shelf Polynya associated with the estimated increase with the ice production, however, is not consistent with the reported Ross Sea salinity decrease. The locally generated sea ice enhancement of Ross Sea salinity may be offset by an increase of relatively low salinity of the water advected into the region from the Amundsen Sea, a consequence of increased precipitation and regional glacial ice melt.</t>
  </si>
  <si>
    <t>[Comiso, Josefino C.] NASA, Cryospher Sci Branch, Goddard Space Flight Ctr, Greenbelt, MD 20771 USA; [Kwok, Ronald] CALTECH, Jet Prop Lab, Pasadena, CA 91109 USA; [Martin, Seelye] Univ Washington, Sch Oceanog, Seattle, WA 98195 USA; [Gordon, Arnold L.] Columbia Univ, Lamont Doherty Earth Observ, Palisades, NY 10964 USA</t>
  </si>
  <si>
    <t>National Aeronautics &amp; Space Administration (NASA); NASA Goddard Space Flight Center; National Aeronautics &amp; Space Administration (NASA); NASA Jet Propulsion Laboratory (JPL); California Institute of Technology; University of Washington; University of Washington Seattle; Columbia University</t>
  </si>
  <si>
    <t>Comiso, JC (corresponding author), NASA, Cryospher Sci Branch, Goddard Space Flight Ctr, 8800 Greenbelt Rd,Code 614-1, Greenbelt, MD 20771 USA.</t>
  </si>
  <si>
    <t>josefino.c.comiso@nasa.gov</t>
  </si>
  <si>
    <t>Kwok, Ron/A-9762-2008; Kwok, Ronald/L-3968-2019; Gordon, Arnold L./H-1049-2011</t>
  </si>
  <si>
    <t>Kwok, Ron/0000-0003-4051-5896; Kwok, Ronald/0000-0003-4051-5896; Gordon, Arnold L./0000-0001-6480-6095</t>
  </si>
  <si>
    <t>NASA [NNG04GM69G]; National Science Foundation Office of the Polar Programs [ANT-0538148]; National Science Foundation</t>
  </si>
  <si>
    <t>NASA(National Aeronautics &amp; Space Administration (NASA)); National Science Foundation Office of the Polar Programs(National Science Foundation (NSF)); National Science Foundation(National Science Foundation (NSF))</t>
  </si>
  <si>
    <t>J.C.C. would like to thank Robert Gerstein for programming support in the analysis of SSM/I and AMSR-E data and is grateful to the NASA Cryospheric Sciences Program for funding support. S. M. thanks Robert Drucker for his help with Figure 13 and gratefully acknowledges the support of NASA under contract NNG04GM69G. R. K. performed this work at the Jet Propulsion Laboratory, California Institute of Technology, under contract with NASA. A.L.G.'s support is from the National Science Foundation Office of the Polar Programs grant ANT-0538148, Lamont-Doherty contribution number 7397. We all thank the National Snow and Ice Data Center for provision of the SMMR, SSM/I and AMSR-E data. The ECMWF meteorological products are provided by the Data Support Section of the Scientific Computing Division of the National Center for Atmospheric Research (NCAR). NCAR is supported by grants from the National Science Foundation.</t>
  </si>
  <si>
    <t>C04021</t>
  </si>
  <si>
    <t>10.1029/2010JC006391</t>
  </si>
  <si>
    <t>754JV</t>
  </si>
  <si>
    <t>WOS:000289851800002</t>
  </si>
  <si>
    <t>Uemura, T; Taniguchi, M; Shibuya, K</t>
  </si>
  <si>
    <t>Uemura, Takeshi; Taniguchi, Makoto; Shibuya, Kazuo</t>
  </si>
  <si>
    <t>Submarine groundwater discharge in Lutzow-Holm Bay, Antarctica</t>
  </si>
  <si>
    <t>SUBGLACIAL LAKES; EAST ANTARCTICA</t>
  </si>
  <si>
    <t>We measured submarine groundwater discharge (SGD) for the first time in Antarctica, at Lutzow-Holm Bay, using a newly developed automated seepage meter. Measured SGD rates ranged from 10(-8) to 10(-6) m s(-1) are substantially greater than previously observed discharge rates at similar depth. The obtained SGD rates are accurate to within 3%-5%. Using a fast Fourier transform, we found that variations in the power spectrum density had a predominant period of 12.8 h, similar to that of the M2 tide, with peak values differing from average SGD rates by a factor of three. The high SGD rates obtained at the Antarctic marginal ice zone may reflect the contribution of significant volumes of subglacial meltwater from the rugged subglacial mountains located about 20 km inland from the coast. We discuss a possible mechanism of meltwater discharge to this coastal region. Citation: Uemura, T., M. Taniguchi, and K. Shibuya (2011), Submarine groundwater discharge in Lutzow-Holm Bay, Antarctica, Geophys. Res. Lett., 38, L08402, doi:10.1029/2010GL046394.</t>
  </si>
  <si>
    <t>[Shibuya, Kazuo] Natl Inst Polar Res, Tachikawa, Tokyo 1908518, Japan; [Uemura, Takeshi; Shibuya, Kazuo] Grad Univ Adv Studies Sokendai, Dept Polar Sci, Tachikawa, Tokyo, Japan; [Taniguchi, Makoto] Res Inst Human &amp; Nat, Kita Ku, Kyoto 6038047, Japan</t>
  </si>
  <si>
    <t>Research Organization of Information &amp; Systems (ROIS); National Institute of Polar Research (NIPR) - Japan; Graduate University for Advanced Studies - Japan; Research Institute for Humanity &amp; Nature (RIHN)</t>
  </si>
  <si>
    <t>Uemura, T (corresponding author), Kaijo High Sch, Shinjuku Ku, Okubo 3-6-1, Tokyo 1690072, Japan.</t>
  </si>
  <si>
    <t>makoto@chikyu.ac.jp</t>
  </si>
  <si>
    <t>Taniguchi, Makoto/E-3335-2012</t>
  </si>
  <si>
    <t>Japan Society for the Promotion of Science [16310015]; Grants-in-Aid for Scientific Research [16310015] Funding Source: KAKEN</t>
  </si>
  <si>
    <t>We thank the members of the 46th Japanese Antarctic Research Expedition for their assistance. This research was supported in part by Grant-in-Aid 16310015 (Principal Investigator: K. Shibuya) for scientific research awarded by the Japan Society for the Promotion of Science.</t>
  </si>
  <si>
    <t>APR 20</t>
  </si>
  <si>
    <t>L08402</t>
  </si>
  <si>
    <t>10.1029/2010GL046394</t>
  </si>
  <si>
    <t>754KW</t>
  </si>
  <si>
    <t>WOS:000289854500001</t>
  </si>
  <si>
    <t>Sinev, AY; Sanoamuang, LO</t>
  </si>
  <si>
    <t>Sinev, Artem Y.; Sanoamuang, La-Orsri</t>
  </si>
  <si>
    <t>Hormonal induction of males as a method for studying tropical cladocerans: description of males of four chydorid species (Cladocera: Anomopoda: Chydoridae)</t>
  </si>
  <si>
    <t>cladocera; methyl farnesoate; male induction; short-term cultures; Chydoridae; Thailand</t>
  </si>
  <si>
    <t>SUB-ANTARCTIC ISLANDS; LEBERIS-SMIRNOV; ALONA; REDESCRIPTION; BRANCHIOPODA; AMERICA; BAIRD</t>
  </si>
  <si>
    <t>Methyl farnesoate, a crustacean juvenile hormone, successfully induced male development in several littoral cladocerans from Thailand in short-term multispecies cultures. Male morphology is fully described in four species of Chydoridae-Oxyurella singalensis Daday, 1898, Leberis diaphanus (King, 1853), Leydigia cf. ciliata Gauthier, 1939, Disparalona cf. hamata (Birge, 1910). Males of the latter two taxa from Thailand differ from these from the other localities, suggesting the presence of sibling-species in the Indochina region.</t>
  </si>
  <si>
    <t>[Sinev, Artem Y.] Moscow MV Lomonosov State Univ, Dept Invertebrate Zool, Fac Biol, Moscow 119991, Russia; [Sanoamuang, La-Orsri] Khon Kaen Univ, Appl Taxon Res Ctr, Dept Biol, Fac Sci, Khon Kaen 40002, Thailand; [Sanoamuang, La-Orsri] Mahasarakham Univ, Fac Sci, Maha Sarakham 44150, Thailand</t>
  </si>
  <si>
    <t>Lomonosov Moscow State University; Khon Kaen University; Mahasarakham University</t>
  </si>
  <si>
    <t>Sinev, AY (corresponding author), Moscow MV Lomonosov State Univ, Dept Invertebrate Zool, Fac Biol, Moscow 119991, Russia.</t>
  </si>
  <si>
    <t>artemsinev@yandex.ru; la_orsri@kku.ac.th</t>
  </si>
  <si>
    <t>Sinev, Artem/J-8201-2012</t>
  </si>
  <si>
    <t>Sinev, Artem/0000-0001-5288-7617</t>
  </si>
  <si>
    <t>National Research University, Khon Kaen University; Russian Ministry of Education and Science; Grant Council of the President of Russia [02.740.11.0280, P1291]; Russian Foundation for Basic Research [09-04-00201-a]</t>
  </si>
  <si>
    <t>National Research University, Khon Kaen University; Russian Ministry of Education and Science(Ministry of Education and Science, Russian Federation); Grant Council of the President of Russia; Russian Foundation for Basic Research(Russian Foundation for Basic Research (RFBR)Spanish Government)</t>
  </si>
  <si>
    <t>We thank Prof. N. N. Smirnov and Dr. A. A. Kotov (Institute for Ecology and Evolution, RAS, Moscow) for constructive comments and suggestions. Special thanks to Yan R. Galimov (Institute of Development Biology RAS, Moscow) for the consultations on work with methyl farnesoate. This work was partly supported by the National Research University Program, Khon Kaen University. Research was partly supported by Russian Ministry of Education and Science and by Grant Council of the President of Russia (programs 02.740.11.0280 and P1291) and by the Russian Foundation for Basic Research (grant 09-04-00201-a).</t>
  </si>
  <si>
    <t>10.11646/zootaxa.2826.1.2</t>
  </si>
  <si>
    <t>752CM</t>
  </si>
  <si>
    <t>WOS:000289665900002</t>
  </si>
  <si>
    <t>Blagoveshchenskaya, NF; Borisova, TD; Yeoman, TK; Rietveld, MT; Ivanova, IM; Baddeley, LJ</t>
  </si>
  <si>
    <t>Blagoveshchenskaya, N. F.; Borisova, T. D.; Yeoman, T. K.; Rietveld, M. T.; Ivanova, I. M.; Baddeley, L. J.</t>
  </si>
  <si>
    <t>Artificial small-scale field-aligned irregularities in the high latitude F region of the ionosphere induced by an X-mode HF heater wave</t>
  </si>
  <si>
    <t>RADIO-WAVES; CUTLASS; RADARS; EISCAT; BACKSCATTER; SUPERDARN; TROMSO</t>
  </si>
  <si>
    <t>The effects on the high-latitude F region of the ionosphere by X-mode powerful HF radio waves injected towards the magnetic zenith (MZ) are analysed. The experiments were conducted using the EISCAT/Heating facility and UHF radar at Tromso, Norway, the CUTLASS (SuperDARN) radar and the EISCAT ionosonde (dynasonde). The results show that the X-mode HF pump wave, radiated into the magnetic zenith from the HF heater, can generate very strong small-scale artificial field aligned irregularities (AFAIs) in the F-region of the high-latitude ionosphere. These irregularities, with spatial scales across the geomagnetic field of the order of 8-15 m, are generated when the heater frequency is above the ordinary-mode critical frequency but comparable with the extraordinary-mode critical frequency. The generation of the X-mode AFAIs was accompanied by electron temperature (Te) enhancements up to 50% above the background level and an increase in the electron density (Ne) by up to 30%. Citation: Blagoveshchenskaya, N. F., T. D. Borisova, T. K. Yeoman, M. T. Rietveld, I. M. Ivanova, and L. J. Baddeley (2011), Artificial small-scale field-aligned irregularities in the high latitude F region of the ionosphere induced by an X-mode HF heater wave, Geophys. Res. Lett., 38, L08802, doi: 10.1029/2011GL046724.</t>
  </si>
  <si>
    <t>[Blagoveshchenskaya, N. F.; Borisova, T. D.; Ivanova, I. M.] Arctic &amp; Antarctic Res Inst, St Petersburg 199397, Russia; [Yeoman, T. K.] Univ Leicester, Dept Phys &amp; Astron, Leicester LE1 7RH, Leics, England; [Rietveld, M. T.] EISCAT Sci Assoc, N-9027 Ramfjordbotn, Norway; [Baddeley, L. J.] UNIS, N-9171 Svalbard, Norway</t>
  </si>
  <si>
    <t>Arctic &amp; Antarctic Research Institute; University of Leicester; University Centre Svalbard (UNIS)</t>
  </si>
  <si>
    <t>Blagoveshchenskaya, NF (corresponding author), Arctic &amp; Antarctic Res Inst, 38 Bering St, St Petersburg 199397, Russia.</t>
  </si>
  <si>
    <t>lisab@unis.no</t>
  </si>
  <si>
    <t>Blagoveshchenskaya, Nataly F./S-4342-2017; Baddeley, Lisa/ABD-4414-2020; Yeoman, Timothy k/L-9105-2014; Blagoveshchenskaya, Nataly/AAE-4093-2022; Borisova, Tatiana/AAK-7698-2020</t>
  </si>
  <si>
    <t>Blagoveshchenskaya, Nataly F./0000-0003-1752-3273; Baddeley, Lisa/0000-0003-1246-0488; Yeoman, Timothy k/0000-0002-8434-4825; Blagoveshchenskaya, Nataly/0000-0003-1752-3273; Borisova, Tatiana/0000-0003-1727-5310</t>
  </si>
  <si>
    <t>Finland (SA); Germany (DFG); Japan (NIPR); Japan (STEL); Norway (NFR); Sweden (VR); United Kingdom (NERC); China (CRIRP); UK Science and Technology Facilities Council [PP/E007929/1]; Finnish Meteorological Institute; Swedish Institute of Space Physics; Science and Technology Facilities Council [ST/H002480/1]; Norwegian Research Council [191628/V30, 19617/630]; STFC [ST/H002480/1, PP/E007929/1] Funding Source: UKRI; Science and Technology Facilities Council [ST/H002480/1, PP/E007929/1] Funding Source: researchfish</t>
  </si>
  <si>
    <t>Finland (SA); Germany (DFG)(German Research Foundation (DFG)); Japan (NIPR); Japan (STEL); Norway (NFR)(Research Council of Norway); Sweden (VR)(Swedish Research Council); United Kingdom (NERC)(UK Research &amp; Innovation (UKRI)Natural Environment Research Council (NERC)); China (CRIRP); UK Science and Technology Facilities Council(UK Research &amp; Innovation (UKRI)Science &amp; Technology Facilities Council (STFC)); Finnish Meteorological Institute; Swedish Institute of Space Physics; Science and Technology Facilities Council(UK Research &amp; Innovation (UKRI)Science &amp; Technology Facilities Council (STFC)); Norwegian Research Council(Research Council of Norway); STFC(UK Research &amp; Innovation (UKRI)Science &amp; Technology Facilities Council (STFC)); Science and Technology Facilities Council(UK Research &amp; Innovation (UKRI)Science &amp; Technology Facilities Council (STFC))</t>
  </si>
  <si>
    <t>We would like to thank the EISCAT Scientific Association for performing the Tromso heating experiments in conjunction with the EISCAT UHF radar measurements. EISCAT is an International Association supported by Finland (SA), Germany (DFG), Japan (NIPR and STEL), Norway (NFR), Sweden (VR), the United Kingdom (NERC) and China (CRIRP). CUTLASS is supported by the UK Science and Technology Facilities Council grant PP/E007929/1, the Finnish Meteorological Institute, and the Swedish Institute of Space Physics. TKY is supported by Science and Technology Facilities Council grant ST/H002480/1. LJB is supported in this work by Norwegian Research Council grants 191628/V30 and 19617/630. Authors are grateful to both reviewers for useful comments.</t>
  </si>
  <si>
    <t>APR 19</t>
  </si>
  <si>
    <t>L08802</t>
  </si>
  <si>
    <t>10.1029/2011GL046724</t>
  </si>
  <si>
    <t>754KS</t>
  </si>
  <si>
    <t>WOS:000289854100001</t>
  </si>
  <si>
    <t>Ni, BB; Thorne, RM; Meredith, NP; Horne, RB; Shprits, YY</t>
  </si>
  <si>
    <t>Ni, Binbin; Thorne, Richard M.; Meredith, Nigel P.; Horne, Richard B.; Shprits, Yuri Y.</t>
  </si>
  <si>
    <t>Resonant scattering of plasma sheet electrons leading to diffuse auroral precipitation: 2. Evaluation for whistler mode chorus waves</t>
  </si>
  <si>
    <t>PITCH-ANGLE DIFFUSION; RADIATION BELT ELECTRONS; QUASI-LINEAR DIFFUSION; EARTHS INNER MAGNETOSPHERE; STORM-TIME CHORUS; VLF CHORUS; RELATIVISTIC ELECTRONS; PARTICLE INTERACTIONS; OUTER MAGNETOSPHERE; ELECTROSTATIC-WAVES</t>
  </si>
  <si>
    <t>Using the statistical wave power spectral profiles obtained from CRRES wave data within the 0000-0600 MLT sector under different levels of geomagnetic activity and a modeled latitudinal variation of wave normal angle distribution, we examine quantitatively the effects of lower band and upper band chorus on resonant diffusion of plasma sheet electrons for diffuse auroral precipitation in the inner magnetosphere. Whistler mode chorus-induced resonant scattering of plasma sheet electrons is geomagnetic activity dependent, varying from above the strong diffusion limit (timescale of an hour) during active times (AE* &gt; 300 nT) with peak wave amplitudes of &gt;50 pT to weak scattering (timescale of a day) during quiet conditions (AE* &lt; 100 nT) with typical wave amplitudes of &lt;= 10 pT. Chorus waves present at different magnetic latitudes make distinct contributions to the net diffusion rates of plasma sheet electrons, largely depending on the latitudinal variation of wave power. Upper band chorus is the controlling scattering process for electrons from similar to 100 eV to similar to 2 keV, and lower band chorus is most effective for precipitating the higher energy (&gt;similar to 2 keV) plasma sheet electrons in the inner magnetosphere. Efficient scattering by the combination of active time lower band and upper band chorus can cover a wide energy range from similar to 100 eV to &gt;100 keV and a broad interval of equatorial pitch angle, thereby accounting for the formation of observed electron pancake distribution. Decreased chorus scattering during less disturbed times can also modify the magnetic local time distribution of plasma sheet electrons. Compared to the effects of chorus waves, electron cyclotron harmonic wave-induced resonant diffusion coefficients are at least 1 order of magnitude smaller and are negligible under any geomagnetic condition, indicating that chorus waves act as the major contributor dominantly responsible for diffuse auroral precipitation in the inner magnetosphere. Chorus-driven momentum diffusion and mixed diffusion are also important. Lower band and upper band chorus can cause strong momentum diffusion of plasma sheet electrons in the energy ranges of similar to 500 eV to similar to 2 keV and similar to 2 keV to similar to 3 keV, respectively, which can significantly result in energization of the electrons and attenuation of the waves.</t>
  </si>
  <si>
    <t>[Ni, Binbin; Thorne, Richard M.; Shprits, Yuri Y.] Univ Calif Los Angeles, Dept Atmospher &amp; Ocean Sci, Los Angeles, CA 90095 USA; [Shprits, Yuri Y.] Univ Calif Los Angeles, Inst Geophys &amp; Planetary Phys, Los Angeles, CA 90095 USA; [Meredith, Nigel P.; Horne, Richard B.] British Antarctic Survey, Cambridge CB3 0ET, England</t>
  </si>
  <si>
    <t>University of California System; University of California Los Angeles; University of California System; University of California Los Angeles; UK Research &amp; Innovation (UKRI); Natural Environment Research Council (NERC); NERC British Antarctic Survey</t>
  </si>
  <si>
    <t>Ni, BB (corresponding author), Univ Calif Los Angeles, Dept Atmospher &amp; Ocean Sci, 405 Hilgard Ave,Box 951565,7127 Math Sci Bldg, Los Angeles, CA 90095 USA.</t>
  </si>
  <si>
    <t>Ni, Binbin/I-5244-2013; Shprits, Yuri Y/I-2174-2014; Horne, Richard B/U-3764-2019; Meredith, Nigel P/C-5806-2018</t>
  </si>
  <si>
    <t>Horne, Richard B/0000-0002-0412-6407; Shprits, Yuri/0000-0002-9625-0834</t>
  </si>
  <si>
    <t>NSF [ATM-0802843]; NASA [GI 08-H6I08-0117]; Lab Research Fee grant [09-LR-04116720-SHPY]; Natural Environment Research Council [bas0100023] Funding Source: researchfish; NERC [bas0100023] Funding Source: UKRI</t>
  </si>
  <si>
    <t>NSF(National Science Foundation (NSF)); NASA(National Aeronautics &amp; Space Administration (NASA)); Lab Research Fee grant; Natural Environment Research Council(UK Research &amp; Innovation (UKRI)Natural Environment Research Council (NERC)); NERC(UK Research &amp; Innovation (UKRI)Natural Environment Research Council (NERC))</t>
  </si>
  <si>
    <t>This research was supported in part by NSF grant ATM-0802843, NASA GI 08-H6I08-0117 grant, and Lab Research Fee grant 09-LR-04116720-SHPY.</t>
  </si>
  <si>
    <t>A04219</t>
  </si>
  <si>
    <t>10.1029/2010JA016233</t>
  </si>
  <si>
    <t>754KX</t>
  </si>
  <si>
    <t>WOS:000289854600008</t>
  </si>
  <si>
    <t>Ni, BB; Thorne, RM; Horne, RB; Meredith, NP; Shprits, YY; Chen, LJ; Li, W</t>
  </si>
  <si>
    <t>Ni, Binbin; Thorne, Richard M.; Horne, Richard B.; Meredith, Nigel P.; Shprits, Yuri Y.; Chen, Lunjin; Li, Wen</t>
  </si>
  <si>
    <t>Resonant scattering of plasma sheet electrons leading to diffuse auroral precipitation: 1. Evaluation for electrostatic electron cyclotron harmonic waves</t>
  </si>
  <si>
    <t>PITCH-ANGLE DIFFUSION; LOW-ENERGY ELECTRONS; WHISTLER-MODE WAVES; PANCAKE DISTRIBUTIONS; OUTER MAGNETOSPHERE; STATISTICAL-MODEL; X-RAY; EMISSIONS; SATELLITE; FREQUENCY</t>
  </si>
  <si>
    <t>Using statistical wave power spectral profiles obtained from CRRES and the latitudinal distributions of wave propagation modeled by the HOTRAY code, a quantitative analysis has been performed on the scattering of plasma sheet electrons into the diffuse auroral zone by multiband electrostatic electron cyclotron harmonic (ECH) emissions near L = 6 within the 0000-0600 MLT sector. The results show that ECH wave scattering of plasma sheet electrons varies from near the strong diffusion rate (timescale of an hour or less) during active times with peak wave amplitudes of an order of 1 mV/m to very weak scattering (on the timescale of &gt;1 day) during quiet conditions with typical wave amplitudes of tenths of mV/m. However, for the low-energy (similar to 100 eV to below 2 keV) electron population mainly associated with the diffuse auroral emission, ECH waves are only responsible for rapid pitch angle diffusion (occasionally near the limit of strong diffusion) for a small portion of the electron population with pitch angles alpha(eq) &lt; 20 degrees, dependent on electron energy and geomagnetic activity level. ECH scattering alone cannot account for the rapid loss of plasma sheet electrons during transport from the nightside to the dayside, nor can it explain the formation of the pancake electron distributions strongly peaked at alpha(eq) &gt; 70 degrees. Computations of the bounce-averaged coefficients of momentum diffusion and (pitch angle, momentum) mixed diffusion indicate that both mixed diffusion and energy diffusion of plasma sheet electrons due to ECH waves are very small compared to pitch angle diffusion and that ECH waves have little effect on local electron acceleration. Consequently, the multiple harmonic ECH emissions cannot play a dominant role in the occurrence of diffuse auroral precipitation near L - 6, and other wave-particle interaction mechanisms, such as whistler mode chorus-driven resonant scattering, are required to explain the global distribution of diffuse auroral precipitation and the formation of the pancake distribution in the inner magnetosphere.</t>
  </si>
  <si>
    <t>[Ni, Binbin; Thorne, Richard M.; Shprits, Yuri Y.; Chen, Lunjin; Li, Wen] Univ Calif Los Angeles, Dept Atmospher &amp; Ocean Sci, Los Angeles, CA 90095 USA; [Horne, Richard B.; Meredith, Nigel P.] British Antarctic Survey, Cambridge CB3 0ET, England; [Shprits, Yuri Y.] Univ Calif Los Angeles, Inst Geophys &amp; Planetary Phys, Los Angeles, CA 90095 USA</t>
  </si>
  <si>
    <t>University of California System; University of California Los Angeles; UK Research &amp; Innovation (UKRI); Natural Environment Research Council (NERC); NERC British Antarctic Survey; University of California System; University of California Los Angeles</t>
  </si>
  <si>
    <t>Shprits, Yuri Y/I-2174-2014; Meredith, Nigel P/C-5806-2018; Chen, Lunjin/L-1250-2013; Li, Wen/F-3722-2011; Horne, Richard B/U-3764-2019; Ni, Binbin/I-5244-2013</t>
  </si>
  <si>
    <t>NSF [ATM-0802843]; [09-LR-04116720-SHPY]; Natural Environment Research Council [bas0100023] Funding Source: researchfish; NERC [bas0100023] Funding Source: UKRI</t>
  </si>
  <si>
    <t>NSF(National Science Foundation (NSF)); ; Natural Environment Research Council(UK Research &amp; Innovation (UKRI)Natural Environment Research Council (NERC)); NERC(UK Research &amp; Innovation (UKRI)Natural Environment Research Council (NERC))</t>
  </si>
  <si>
    <t>This research was supported by NSF grant ATM-0802843 and also by 09-LR-04116720-SHPY. The authors thank the World Data Center for Geomagnetism, Kyoto, for providing the AE index.</t>
  </si>
  <si>
    <t>A04218</t>
  </si>
  <si>
    <t>10.1029/2010JA016232</t>
  </si>
  <si>
    <t>WOS:000289854600007</t>
  </si>
  <si>
    <t>Guilini, K; Soltwedel, T; van Oevelen, D; Vanreusel, A</t>
  </si>
  <si>
    <t>Guilini, Katja; Soltwedel, Thomas; van Oevelen, Dick; Vanreusel, Ann</t>
  </si>
  <si>
    <t>Deep-Sea Nematodes Actively Colonise Sediments, Irrespective of the Presence of a Pulse of Organic Matter: Results from an In-Situ Experiment</t>
  </si>
  <si>
    <t>LIVING MARINE NEMATODES; MEIOFAUNAL COLONIZATION; VERTICAL-DISTRIBUTION; BENTHIC RESPONSE; ANTARCTIC SHELF; SOUTHERN BIGHT; DISTURBANCE; PHYTODETRITUS; MEIOBENTHOS; MARGIN</t>
  </si>
  <si>
    <t>A colonisation experiment was performed in situ at 2500 m water depth at the Arctic deep-sea long-term observatory HAUSGARTEN to determine the response of deep-sea nematodes to disturbed, newly available patches, enriched with organic matter. Cylindrical tubes, laterally covered with a 500 mm mesh, were filled with azoic deep-sea sediment and C-13-labelled food sources (diatoms and bacteria). After 10 days of incubation the tubes were analysed for nematode response in terms of colonisation and uptake. Nematodes actively colonised the tubes, however with densities that only accounted for a maximum of 2.13% (51 ind. 10 cm(-2)) of the ambient nematode assemblages. Densities did not differ according to the presence or absence of organic matter, nor according to the type of organic matter added. The fact that the organic matter did not function as an attractant to nematodes was confirmed by the absence of notable C-13 assimilation by the colonising nematodes. Overall, colonisationappears to be a process that yields reproducible abundance and diversity patterns, with certain taxa showing more efficiency. Together with the high variability between the colonising nematode assemblages, this lends experimental support to the existence of a spatio-temporal mosaic that emerges from highly localised, partially stochastic community dynamics.</t>
  </si>
  <si>
    <t>[Guilini, Katja; Vanreusel, Ann] Univ Ghent, Dept Biol, Marine Biol Sect, B-9000 Ghent, Belgium; [Soltwedel, Thomas] Alfred Wegener Inst, Dept Deep Sea Ecol &amp; Technol, Bremerhaven, Germany; [van Oevelen, Dick] Netherlands Inst Ecol NIOO KNAW, Ctr Estuarine &amp; Marine Ecol, Yerseke, Netherlands</t>
  </si>
  <si>
    <t>Ghent University; Helmholtz Association; Alfred Wegener Institute, Helmholtz Centre for Polar &amp; Marine Research; Royal Netherlands Academy of Arts &amp; Sciences; Netherlands Institute of Ecology (NIOO-KNAW)</t>
  </si>
  <si>
    <t>Guilini, K (corresponding author), Univ Ghent, Dept Biol, Marine Biol Sect, B-9000 Ghent, Belgium.</t>
  </si>
  <si>
    <t>Katja.Guilini@UGent.be</t>
  </si>
  <si>
    <t>Soltwedel, Thomas/P-1852-2016; van Oevelen, Dick/B-3491-2011</t>
  </si>
  <si>
    <t>Soltwedel, Thomas/0000-0002-8214-5937;</t>
  </si>
  <si>
    <t>European Community [GOCE-CT-2005- 511234, 226354]; Flanders Fund for Scientific Research (FWO) [3G0346]; FUNDEEP [01J14909]</t>
  </si>
  <si>
    <t>European Community; Flanders Fund for Scientific Research (FWO)(FWO); FUNDEEP</t>
  </si>
  <si>
    <t>The research leading to the results presented in this manuscript received funding from the European Community's Sixth Framework Program under the Hotspot Ecosystem Research on the Margins of European Seas project (HERMES, http://www.eu-hermes.net), contract number GOCE-CT-2005- 511234, from the European Community's Seventh Framework Program under the Hotspot Ecosystem Research and Man's Impact on European Seas project (HERMIONE, http://www.eu-hermione.net), grant agreement number 226354, and from the Flanders Fund for Scientific Research (FWO, project number 3G0346, http://www.fwo.be) and Special Research Fund (BOF, the relation between function and biodiversity of Nematoda in the deep sea [FUNDEEP], project number 01J14909). The funders had no role in study design, data collection and analysis, decision to publish, or preparation of the manuscript.</t>
  </si>
  <si>
    <t>e18912</t>
  </si>
  <si>
    <t>10.1371/journal.pone.0018912</t>
  </si>
  <si>
    <t>752EC</t>
  </si>
  <si>
    <t>WOS:000289671100037</t>
  </si>
  <si>
    <t>Matschiner, M; Hanel, R; Salzburger, W</t>
  </si>
  <si>
    <t>Matschiner, Michael; Hanel, Reinhold; Salzburger, Walter</t>
  </si>
  <si>
    <t>On the Origin and Trigger of the Notothenioid Adaptive Radiation</t>
  </si>
  <si>
    <t>FISHES TELEOSTEI; NEW-ZEALAND; EVOLUTION; MITOCHONDRIAL; PHYLOGENIES; PERSPECTIVE; SELECTION; DECLINE; GENE</t>
  </si>
  <si>
    <t>Adaptive radiation is usually triggered by ecological opportunity, arising through (i) the colonization of a new habitat by its progenitor; (ii) the extinction of competitors; or (iii) the emergence of an evolutionary key innovation in the ancestral lineage. Support for the key innovation hypothesis is scarce, however, even in textbook examples of adaptive radiation. Antifreeze glycoproteins (AFGPs) have been proposed as putative key innovation for the adaptive radiation of notothenioid fishes in the ice-cold waters of Antarctica. A crucial prerequisite for this assumption is the concurrence of the notothenioid radiation with the onset of Antarctic sea ice conditions. Here, we use a fossil-calibrated multi-marker phylogeny of nothothenioid and related acanthomorph fishes to date AFGP emergence and the notothenioid radiation. All time-constraints are cross-validated to assess their reliability resulting in six powerful calibration points. We find that the notothenioid radiation began near the Oligocene-Miocene transition, which coincides with the increasing presence of Antarctic sea ice. Divergence dates of notothenioids are thus consistent with the key innovation hypothesis of AFGP. Early notothenioid divergences are furthermore congruent with vicariant speciation and the breakup of Gondwana.</t>
  </si>
  <si>
    <t>[Matschiner, Michael; Salzburger, Walter] Univ Basel, Inst Zool, CH-4051 Basel, Switzerland; [Hanel, Reinhold] Johann Heinrich von Thunen Inst, Inst Fisheries Ecol, Fed Res Inst Rural Areas Forestry &amp; Fisheries, Hamburg, Germany</t>
  </si>
  <si>
    <t>University of Basel; Johann Heinrich von Thunen Institute</t>
  </si>
  <si>
    <t>Matschiner, M (corresponding author), Univ Basel, Inst Zool, Rheinsprung 9, CH-4051 Basel, Switzerland.</t>
  </si>
  <si>
    <t>walter.salzburger@unibas.ch</t>
  </si>
  <si>
    <t>Hanel, Reinhold/AAO-4887-2021; Salzburger, Walter/G-1598-2011</t>
  </si>
  <si>
    <t>Salzburger, Walter/0000-0002-9988-1674; Matschiner, Michael/0000-0003-4741-3884</t>
  </si>
  <si>
    <t>German Research Foundation (DFG); European Research Council (ERC)</t>
  </si>
  <si>
    <t>German Research Foundation (DFG)(German Research Foundation (DFG)); European Research Council (ERC)(European Research Council (ERC)Spanish Government)</t>
  </si>
  <si>
    <t>This study was supported by a PhD scholarship of the VolkswagenStiftung priority program 'Evolutionary Biology' for M. M., a grant from the German Research Foundation (DFG) to R. H., and funding from the European Research Council (ERC; Starting Grant 'INTERGENADAPT') to W. S. The funders had no role in study design, data collection and analysis, decision to publish, or preparation of the manuscript.</t>
  </si>
  <si>
    <t>APR 18</t>
  </si>
  <si>
    <t>e18911</t>
  </si>
  <si>
    <t>10.1371/journal.pone.0018911</t>
  </si>
  <si>
    <t>751LS</t>
  </si>
  <si>
    <t>WOS:000289620100028</t>
  </si>
  <si>
    <t>John, CM; Karner, GD; Browning, E; Leckie, RM; Mateo, Z; Carson, B; Lowery, C</t>
  </si>
  <si>
    <t>John, Cedric M.; Karner, Garry D.; Browning, Emily; Leckie, R. Mark; Mateo, Zenon; Carson, Brooke; Lowery, Chris</t>
  </si>
  <si>
    <t>Timing and magnitude of Miocene eustasy derived from the mixed siliciclastic-carbonate stratigraphic record of the northeastern Australian margin</t>
  </si>
  <si>
    <t>sea-level; eustasy; amplitude of sea-level change; ice volume; sequence stratigraphy; Heterozoan carbonates; Miocene; ODP Leg 194</t>
  </si>
  <si>
    <t>SEA-LEVEL; CONTINENTAL-MARGIN; MARION PLATEAU; LATE MIDDLE; FLUCTUATIONS; SIGNATURE; EVOLUTION; SEQUENCES; ATLANTIC; HISTORY</t>
  </si>
  <si>
    <t>Eustasy is a key parameter to understand sedimentary sequences on continental margins and to reconstruct continental ice volume in the Cenozoic, but timing and magnitude of global sea level changes remain controversial, especially for the Miocene Epoch. We analyzed sediment cores recovered from the Marion Plateau, offshore northeastern Australia, during Ocean Drilling Program (ODP) Leg 194 to define the mechanisms and timing of sequence formation on mixed carbonate-siliciclastic margins, and to estimate the amplitude of Miocene eustatic adjustments. We identified sequence boundaries on seismic reflection lines, significantly revised the existing biostratigraphic age models, and investigated the sedimentary response to sea-level changes across the Marion Plateau. We subdivided the Miocene sediments into three sequence sets comprising a set of prograding clinoforms, a muddy prograding carbonate ramp evolving into an aggrading platform, and a lowstand ramp evolving into a backstepping ramp. We recognized eight individual sequences dated at 18.0 Ma, 17.2 Ma, 16.5 Ma, 15.4 Ma, 14.7 Ma, 13.9 Ma, 13.0 Ma, and 11.9 Ma. We demonstrate that sequences on the Marion Plateau are controlled by glacio-eustasy since sequence boundaries are marked by increases in delta O-18 (deep-sea Miocene isotope events Mi1b, Mbi-3, Mi2, Mi2a, Mi3a, Mi3, Mi4, and Mi5, respectively), which reflects increased ice volume primarily on Antarctica. Our backstripping estimates suggest that sea-level fell by 26-28 m at 16.5 Ma, 26-29 m at 15.4 Ma, 29-38 m at 14.7 Ma, and 53-81 m at 13.9 Ma. Combining backstripping with delta O-18 estimates yields sea-level fall amplitudes of 27 +/- 1 m at 16.5 Ma, 27 +/- 1 m at 15.4 Ma, 33 +/- 3 m at 14.7 Ma, and 59 +/- 6 m at 13.9 Ma. We use a similar approach to estimate eustatic rises of 19 +/- 1 m between 16.5 and 15.4 Ma, 23 +/- 3 m between 15.4 and 14.7 Ma, and 33 +/- 3 m between 14.7 and 13.9 Ma. These estimates can be combined into a eustatic curve that suggests that sea-level fell by 53-69 m between 16.5 and 13.9 Ma. This implies that at least 90% of the East Antarctic Icesheet was formed during the middle Miocene. The new independent amplitude estimates are crucial as the Miocene is the geologic Epoch for which the New Jersey margin sea-level record is poorly constrained. (C) 2011 Elsevier By. All rights reserved.</t>
  </si>
  <si>
    <t>[John, Cedric M.] Univ London Imperial Coll Sci Technol &amp; Med, Dept Earth Sci &amp; Engn, London SW7 2AZ, England; [Karner, Garry D.] ExxonMobil Upstream Res Co, Houston, TX USA; [Browning, Emily; Leckie, R. Mark; Lowery, Chris] Univ Massachusetts, Dept Geosci, Amherst, MA 01003 USA; [Mateo, Zenon] Integrated Ocean Drilling Program, College Stn, TX USA; [Carson, Brooke] Chevron Corp, Houston, TX USA</t>
  </si>
  <si>
    <t>Imperial College London; Exxon Mobil Corporation; University of Massachusetts System; University of Massachusetts Amherst; Texas A&amp;M University System; Texas A&amp;M University College Station; Chevron</t>
  </si>
  <si>
    <t>John, CM (corresponding author), Univ London Imperial Coll Sci Technol &amp; Med, Dept Earth Sci &amp; Engn, London SW7 2AZ, England.</t>
  </si>
  <si>
    <t>cedric.john@imperial.ac.uk</t>
  </si>
  <si>
    <t>John, Cedric/B-3292-2008</t>
  </si>
  <si>
    <t>John, Cedric/0000-0001-9711-1548; Leckie, R. Mark/0000-0002-7311-2180</t>
  </si>
  <si>
    <t>American Chemical Society [48462-AC8]</t>
  </si>
  <si>
    <t>American Chemical Society(American Chemical Society)</t>
  </si>
  <si>
    <t>Acknowledgement is made to the American Chemical Society Petroleum Research Fund for major research support awarded to R.M. Leckie and C.M. John (PRF#48462-AC8). Ken Miller, Damian O'Grady (ExxonMobil), and an anonymous reviewer are thanked for their constructive reviews that help shape the manuscript. We thank Margaret Hastedt, Bill Crowford, Jonathan Strand and Amanda Ulincy for their help with scanning the cores from ODP Leg 194.</t>
  </si>
  <si>
    <t>APR 15</t>
  </si>
  <si>
    <t>10.1016/j.epsl.2011.02.013</t>
  </si>
  <si>
    <t>767EV</t>
  </si>
  <si>
    <t>WOS:000290839000016</t>
  </si>
  <si>
    <t>O'Donnell, R; Lewis, N; McIntyre, S; Condon, J</t>
  </si>
  <si>
    <t>O'Donnell, Ryan; Lewis, Nicholas; McIntyre, Steve; Condon, Jeff</t>
  </si>
  <si>
    <t>Improved Methods for PCA-Based Reconstructions: Case Study Using the Steig et al. (2009) Antarctic Temperature Reconstruction</t>
  </si>
  <si>
    <t>THERMAL CALIBRATION; ORBITAL DRIFT; SURFACE; TRENDS</t>
  </si>
  <si>
    <t>A detailed analysis is presented of a recently published Antarctic temperature reconstruction that combines satellite and ground information using a regularized expectation-maximization algorithm. Though the general reconstruction concept has merit, it is susceptible to spurious results for both temperature trends and patterns. The deficiencies include the following: (i) improper calibration of satellite data; (ii) improper determination of spatial structure during infilling; and (iii) suboptimal determination of regularization parameters, particularly with respect to satellite principal component retention. This study proposes two methods to resolve these issues. One utilizes temporal relationships between the satellite and ground data; the other combines ground data with only the spatial component of the satellite data. Both improved methods yield similar results that disagree with the previous method in several aspects. Rather than finding warming concentrated in West Antarctica, the authors find warming over the period of 1957-2006 to be concentrated in the peninsula (approximate to 0.35 degrees C decade(-1)). This study also shows average trends for the continent, East Antarctica, and West Antarctica that are half or less than that found using the unimproved method. Notably, though the authors find warming in West Antarctica to be smaller in magnitude and find that statistically significant warming extends at least as far as Marie Byrd Land. This study also finds differences in the seasonal patterns of temperature change, with winter and fall showing the largest differences and spring and summer showing negligible differences outside of the peninsula.</t>
  </si>
  <si>
    <t>O'Donnell, R (corresponding author), 23522 Finch Ave, Mattawan, MI 49071 USA.</t>
  </si>
  <si>
    <t>ode3197@yahoo.com</t>
  </si>
  <si>
    <t>10.1175/2010JCLI3656.1</t>
  </si>
  <si>
    <t>756GX</t>
  </si>
  <si>
    <t>WOS:000290000800005</t>
  </si>
  <si>
    <t>Burkanov, V; Gurarie, E; Altukhov, A; Mamaev, E; Permyakov, P; Trukhin, A; Waite, J; Gelatt, T</t>
  </si>
  <si>
    <t>Burkanov, Vladimir; Gurarie, Eliezer; Altukhov, Alexey; Mamaev, Evgeny; Permyakov, Peter; Trukhin, Alexey; Waite, Jason; Gelatt, Tom</t>
  </si>
  <si>
    <t>Environmental and biological factors influencing maternal attendance patterns of Steller sea lions (Eumetopias jubatus) in Russia</t>
  </si>
  <si>
    <t>JOURNAL OF MAMMALOGY</t>
  </si>
  <si>
    <t>Asian population; Commander Islands; Eumetopias jubatus; foraging behavior; Kuril Islands; maternal attendance patterns; postpartum nursing period; Sea of Okhotsk</t>
  </si>
  <si>
    <t>ANTARCTIC FUR SEALS; CONTROL-REGION SEQUENCES; POPULATION DECLINE; FORAGING BEHAVIOR; SOUTHEAST ALASKA; PUP BEHAVIOR; ADULT FEMALE; HYPOTHESIS; DIET; VARIABILITY</t>
  </si>
  <si>
    <t>Maternal attendance patterns in free-ranging wildlife can provide insight into basic biology, foraging behavior, and population dynamics. We collected detailed visual observations of attendance patterns by adult lactating Steller sea lions (Eumetopias jubatus) from 2005 to 2007 on 6 major rookeries in the Russian Far East, including those with an increasing population trend (Sea of Okhotsk), severely depleted populations that were recovering (Kuril Islands), or those that were stable (Commander Islands). Individually identifiable females were observed during the postpartum period, with special attention paid to presence and absence during the day and to departure and arrival times. Within Russia females on several Kuril Islands rookeries exhibited extremely short foraging trip durations (median 6.5-8.0 h) and spent higher proportions of time on the rookery (75-82%), whereas females in the Sea of Okhotsk population had the longest trips (median 19.8 h) and spent the least amount of time on the rookery (60%). Most indices of attendance pattern were more favorable (longer peripartum period, higher proportion of time spent on rookery, shorter trips, and longer visits) than those reported in Alaska and much more so than those in California during El Nino years, where the proportion of time spent on the rookery was nearly half that in Russia. Females &gt; 6 years of age had shorter trips and longer visit durations than the youngest females (4-5 years), and older mothers exhibited significantly longer periods of nursing before taking their 1st trip, suggesting greater physical condition for older females. Although trip durations remained constant throughout the season, visit durations shortened significantly as the pups aged, suggesting that increasing nutritional demands of pups are met by more frequent, rather than longer, trips. No apparent relationships between attendance patterns and population status were observed; however, many of the differences in attendance patterns throughout the range of the Steller sea lion could be related to local variation in bathymetry and diet patterns.</t>
  </si>
  <si>
    <t>[Burkanov, Vladimir; Gurarie, Eliezer; Gelatt, Tom] NOAA, Alaska Fisheries Sci Ctr, Natl Marine Mammal Lab, Seattle, WA 98115 USA; [Burkanov, Vladimir; Altukhov, Alexey] Russian Acad Sci, Pacific Geog Inst, Far E Branch, Kamchatka Branch, Petropavlovsk Kamchatski 683000, Russia; [Gurarie, Eliezer] Univ Helsinki, Dept Biosci, FI-00014 Helsinki, Finland; [Mamaev, Evgeny] Kamchatka Sci Res Inst Fisheries &amp; Oceanog Kamcha, Petropavlovsk Kamchatski 683000, Russia; [Permyakov, Peter; Trukhin, Alexey] Russian Acad Sci, Far E Branch, VI Ilichev Pacific Oceanol Inst, Vladivostok 690041, Russia; [Waite, Jason] Univ Alaska Fairbanks, Sch Fisheries &amp; Ocean Sci, Fairbanks, AK 99775 USA</t>
  </si>
  <si>
    <t>National Oceanic Atmospheric Admin (NOAA) - USA; Russian Academy of Sciences; Pacific Geographical Institute of the Far Eastern Branch of the Russian Academy of Sciences; University of Helsinki; Russian Academy of Sciences; Ilichev Pacific Oceanological Institute; University of Alaska System; University of Alaska Fairbanks</t>
  </si>
  <si>
    <t>Gurarie, E (corresponding author), NOAA, Alaska Fisheries Sci Ctr, Natl Marine Mammal Lab, 7600 Sand Point Way NE, Seattle, WA 98115 USA.</t>
  </si>
  <si>
    <t>eli.gurarie@noaa.gov</t>
  </si>
  <si>
    <t>Gurarie, Eliezer/AGI-0958-2022; Waite, Jason N/D-5334-2011; Permyakov, Petr/AAO-2623-2020; Trukhin, Alexey/AAO-2699-2020; Burkanov, Vladimir/C-3116-2012</t>
  </si>
  <si>
    <t>Gurarie, Eliezer/0000-0002-8666-9674; Burkanov, Vladimir/0000-0002-0129-7884; Altukhov, Alexey/0000-0001-8532-0596</t>
  </si>
  <si>
    <t>National Oceanic and Atmospheric Administration [NFFS7300-5-00014]; Alaska SeaLife Center</t>
  </si>
  <si>
    <t>National Oceanic and Atmospheric Administration(National Oceanic Atmospheric Admin (NOAA) - USA); Alaska SeaLife Center</t>
  </si>
  <si>
    <t>Gratitude is extended to S. Artemieva, R. Belobrov, O. Belonovich, A. Chetvergov, Z. Dolgova, V. Dyachkov, A. Karbolin, A. Karelin, A. Kondratyuk, K. Korsakova, M. Kozyreva, D. Matsuev, S. Purtov, L. Sagatelova, O. Savenko, N. Sonin, and A. Sychenko, who contributed to collecting data in the field and to D. Calkins and R. Andrews for long-term support of this research. Thanks also go to K. Grieve for useful discussions on statistical analysis and K. Laidre, who helped with the text and synthesis. Comments from M. Lander, B. Fadely, and 2 anonymous reviewers greatly improved the manuscript. We additionally thank R. Barry for improving the manuscript through meticulous reviews. The research was funded by National Oceanic and Atmospheric Administration grant NFFS7300-5-00014 and Alaska SeaLife Center. All work on rookeries was conducted under permits issued annually by Russian permitting agencies.</t>
  </si>
  <si>
    <t>ALLIANCE COMMUNICATIONS GROUP DIVISION ALLEN PRESS</t>
  </si>
  <si>
    <t>810 EAST 10TH STREET, LAWRENCE, KS 66044 USA</t>
  </si>
  <si>
    <t>0022-2372</t>
  </si>
  <si>
    <t>J MAMMAL</t>
  </si>
  <si>
    <t>J. Mammal.</t>
  </si>
  <si>
    <t>10.1644/10-MAMM-A-194.1</t>
  </si>
  <si>
    <t>754PV</t>
  </si>
  <si>
    <t>WOS:000289869700010</t>
  </si>
  <si>
    <t>Cameron-Smith, P; Elliott, S; Maltrud, M; Erickson, D; Wingenter, O</t>
  </si>
  <si>
    <t>Cameron-Smith, Philip; Elliott, Scott; Maltrud, Mathew; Erickson, David; Wingenter, Oliver</t>
  </si>
  <si>
    <t>Changes in dimethyl sulfide oceanic distribution due to climate change</t>
  </si>
  <si>
    <t>ENHANCED GREENHOUSE CONDITIONS; ANTARCTIC SOUTHERN-OCEAN; CO2 EMISSIONS; PHYTOPLANKTON; DIMETHYLSULFONIOPROPIONATE; ACIDIFICATION; ATMOSPHERE; DYNAMICS; SYSTEM; MODEL</t>
  </si>
  <si>
    <t>Dimethyl sulfide (DMS) is one of the major precursors for aerosols and cloud condensation nuclei in the marine boundary layer overmuch of the remote ocean. Here we report on coupled climate simulations with a state-of-the-art global ocean biogeochemical model for DMS distribution and fluxes using present-day and future atmospheric CO2 concentrations. We find changes in zonal averaged DMS flux to the atmosphere of over 150% in the Southern Ocean. This is due to concurrent sea ice changes and ocean ecosystem composition shifts caused by changes in temperature, mixing, nutrient, and light regimes. The largest changes occur in a region already sensitive to climate change, so any resultant local CLAW/Gaia feedback of DMS on clouds, and thus radiative forcing, will be particularly important. A comparison of these results to prior studies shows that increasing model complexity is associated with reduced DMS emissions at the equator and increased emissions at high latitudes. Citation: Cameron-Smith, P., S. Elliott, M. Maltrud, D. Erickson, and O. Wingenter (2011), Changes in dimethyl sulfide oceanic distribution due to climate change, Geophys. Res. Lett., 38, L07704, doi: 10.1029/2011GL047069.</t>
  </si>
  <si>
    <t>[Cameron-Smith, Philip] Lawrence Livermore Natl Lab, Atmospher Earth &amp; Energy Div, Livermore, CA 94550 USA; [Elliott, Scott; Maltrud, Mathew] Los Alamos Natl Lab, Los Alamos, NM 87545 USA; [Erickson, David] Oak Ridge Natl Lab, Oak Ridge, TN 37831 USA; [Wingenter, Oliver] New Mexico Inst Min &amp; Technol, Geophys Res Ctr, Socorro, NM 87801 USA; [Wingenter, Oliver] New Mexico Inst Min &amp; Technol, Dept Chem, Socorro, NM 87801 USA</t>
  </si>
  <si>
    <t>United States Department of Energy (DOE); Lawrence Livermore National Laboratory; United States Department of Energy (DOE); Los Alamos National Laboratory; United States Department of Energy (DOE); Oak Ridge National Laboratory; New Mexico Institute of Mining Technology; New Mexico Institute of Mining Technology</t>
  </si>
  <si>
    <t>Cameron-Smith, P (corresponding author), Lawrence Livermore Natl Lab, Atmospher Earth &amp; Energy Div, 7000 East Ave, Livermore, CA 94550 USA.</t>
  </si>
  <si>
    <t>pjc@llnl.gov</t>
  </si>
  <si>
    <t>Cameron-Smith, Philip/E-2468-2011</t>
  </si>
  <si>
    <t>Cameron-Smith, Philip/0000-0002-8802-8627</t>
  </si>
  <si>
    <t>U.S. DOE; Office of Science of the U.S. Department of Energy [DE-AC05-00OR22725]; U.S. Department of Energy by Lawrence Livermore National Laboratory [DE-AC52-07NA27344]</t>
  </si>
  <si>
    <t>U.S. DOE(United States Department of Energy (DOE)); Office of Science of the U.S. Department of Energy(United States Department of Energy (DOE)); U.S. Department of Energy by Lawrence Livermore National Laboratory(United States Department of Energy (DOE))</t>
  </si>
  <si>
    <t>We thank two anonymous reviewers for their suggestions. National laboratory authors were supported by the U.S. DOE OBER SciDAC project. Wingenter was supported by the NMIMT Geophysical Research Center. We used the Oak Ridge Leadership Facility at the Oak Ridge National Laboratory, which is supported by the Office of Science of the U.S. Department of Energy under contract DE-AC05-00OR22725. Part of this study was performed under the auspices of the U.S. Department of Energy by Lawrence Livermore National Laboratory under contract DE-AC52-07NA27344.</t>
  </si>
  <si>
    <t>L07704</t>
  </si>
  <si>
    <t>10.1029/2011GL047069</t>
  </si>
  <si>
    <t>751XA</t>
  </si>
  <si>
    <t>WOS:000289649800005</t>
  </si>
  <si>
    <t>D'Asaro, E; Lee, C; Rainville, L; Harcourt, R; Thomas, L</t>
  </si>
  <si>
    <t>D'Asaro, Eric; Lee, Craig; Rainville, Luc; Harcourt, Ramsey; Thomas, Leif</t>
  </si>
  <si>
    <t>Enhanced Turbulence and Energy Dissipation at Ocean Fronts</t>
  </si>
  <si>
    <t>VERTICAL KINETIC-ENERGY; DEEP CONVECTION; LABRADOR SEA; MIXED-LAYER; WIND; PROPAGATION; VORTICITY; VELOCITY</t>
  </si>
  <si>
    <t>The ocean surface boundary layer mediates air-sea exchange. In the classical paradigm and in current climate models, its turbulence is driven by atmospheric forcing. Observations at a 1-kilometer-wide front within the Kuroshio Current indicate that the rate of energy dissipation within the boundary layer is enhanced by one to two orders of magnitude, suggesting that the front, rather than the atmospheric forcing, supplied the energy for the turbulence. The data quantitatively support the hypothesis that winds aligned with the frontal velocity catalyzed a release of energy from the front to the turbulence. The resulting boundary layer is stratified in contrast to the classically well-mixed layer. These effects will be strongest at the intense fronts found in the Kuroshio Current, the Gulf Stream, and the Antarctic Circumpolar Current, all of which are key players in the climate system.</t>
  </si>
  <si>
    <t>[D'Asaro, Eric; Lee, Craig; Rainville, Luc; Harcourt, Ramsey] Univ Washington, Appl Phys Lab, Seattle, WA 98105 USA; [D'Asaro, Eric; Lee, Craig; Rainville, Luc] Univ Washington, Sch Oceanog, Seattle, WA 98105 USA; [Thomas, Leif] Stanford Univ, Dept Environm Earth Syst Sci, Stanford, CA 94305 USA</t>
  </si>
  <si>
    <t>University of Washington; University of Washington Seattle; University of Washington; University of Washington Seattle; Stanford University</t>
  </si>
  <si>
    <t>D'Asaro, E (corresponding author), Univ Washington, Appl Phys Lab, Seattle, WA 98105 USA.</t>
  </si>
  <si>
    <t>dasaro@apl.washington.edu</t>
  </si>
  <si>
    <t>Office of Naval Research [N00014-05-1-0329/30/31, N00014-08-1-0445/10446/10447, N00014-09-1-0202]; Directorate For Geosciences; Division Of Ocean Sciences [0934737] Funding Source: National Science Foundation</t>
  </si>
  <si>
    <t>Office of Naval Research(Office of Naval Research); Directorate For Geosciences; Division Of Ocean Sciences(National Science Foundation (NSF)NSF - Directorate for Geosciences (GEO))</t>
  </si>
  <si>
    <t>This work was supported by the Office of Naval Research as part of the Assessing the Effects of Submesoscale Ocean Parameterizations program (grants N00014-05-1-0329/30/31, N00014-08-1-0445/10446/10447, and N00014-09-1-0202). This work would not have been possible without the efforts of staff at the Integrated Observations Group, the Ocean Engineering Department at the University of Washington Applied Physics Laboratory, and the crew and officers of the R/V Melville.</t>
  </si>
  <si>
    <t>10.1126/science.1201515</t>
  </si>
  <si>
    <t>750AT</t>
  </si>
  <si>
    <t>WOS:000289516600035</t>
  </si>
  <si>
    <t>Shevenell, AE; Ingalls, AE; Domack, EW; Kelly, C</t>
  </si>
  <si>
    <t>Shevenell, A. E.; Ingalls, A. E.; Domack, E. W.; Kelly, C.</t>
  </si>
  <si>
    <t>Holocene Southern Ocean surface temperature variability west of the Antarctic Peninsula (vol 470, pg 250, 2011)</t>
  </si>
  <si>
    <t>APR 14</t>
  </si>
  <si>
    <t>10.1038/nature09931</t>
  </si>
  <si>
    <t>749LR</t>
  </si>
  <si>
    <t>WOS:000289469100050</t>
  </si>
  <si>
    <t>Uotila, P; Vihma, T; Pezza, AB; Simmonds, I; Keay, K; Lynch, AH</t>
  </si>
  <si>
    <t>Uotila, P.; Vihma, T.; Pezza, A. B.; Simmonds, I.; Keay, K.; Lynch, A. H.</t>
  </si>
  <si>
    <t>Relationships between Antarctic cyclones and surface conditions as derived from high-resolution numerical weather prediction data</t>
  </si>
  <si>
    <t>POLAR MM5 SIMULATIONS; SOUTHWESTERN ROSS SEA; SOUTHERN-HEMISPHERE; MESOSCALE CYCLOGENESIS; SEMIANNUAL OSCILLATION; TEMPORAL VARIABILITY; MOISTURE TRANSPORT; DIGITAL DATA; PART 2; ICE</t>
  </si>
  <si>
    <t>An Antarctic cyclone climatology was created based on simulations of the Antarctic Mesoscale Prediction System (AMPS) and the University of Melbourne Cyclone (UM) detection and tracking algorithm for the period 2001-2009. Over 17,000 cyclone tracks were included in the climatology, and 20% of these cyclones were mesoscale in terms of their size. Mesoscale systems were common south of the Antarctic Circumpolar Trough (ACT) over the coastal oceans of the Indian Ocean sector and in the Ross Sea, while large synoptic systems occurred most frequently in the ACT. A novel technique was applied to study the relationships between cyclone characteristics and surface properties over the Southern Ocean and the coastal areas of Antarctica. Our comprehensive study has revealed that up to half of the cyclones simulated by AMPS correlated with the surface latent heat flux, sensible heat flux, or temperature gradient. These cyclones either modified the surface or were being modified by it. In the former category, 85% of the systems were synoptic cyclones associated predominantly with baroclinicity and advection, and the atmospheric boundary layer had a little influence in the generation and development of cyclones. On the contrary, in the latter category, 36% of the systems were mesoscale cyclones gaining energy from instabilities in the boundary layer associated with strong turbulent fluxes.</t>
  </si>
  <si>
    <t>[Uotila, P.] CSIRO Marine &amp; Atmospher Res, Aspendale, Vic 3195, Australia; [Vihma, T.] Finnish Meteorol Inst, FI-00101 Helsinki, Finland; [Pezza, A. B.; Simmonds, I.; Keay, K.] Univ Melbourne, Sch Earth Sci, Melbourne, Vic 3010, Australia; [Lynch, A. H.] Monash Univ, Sch Geog &amp; Environm Sci, Melbourne, Vic 3800, Australia</t>
  </si>
  <si>
    <t>Commonwealth Scientific &amp; Industrial Research Organisation (CSIRO); Finnish Meteorological Institute; University of Melbourne; Melbourne Bioinformatics; Monash University</t>
  </si>
  <si>
    <t>Uotila, P (corresponding author), CSIRO Marine &amp; Atmospher Res, Aspendale, Vic 3195, Australia.</t>
  </si>
  <si>
    <t>petteri.uotila@csiro.au</t>
  </si>
  <si>
    <t>Vihma, Timo/ABC-9771-2020; Uotila, Petteri/A-1703-2012; Lynch, Amanda/B-4278-2011</t>
  </si>
  <si>
    <t>Uotila, Petteri/0000-0002-2939-7561; Lynch, Amanda/0000-0003-2990-1016; Simmonds, Ian/0000-0002-4479-3255</t>
  </si>
  <si>
    <t>Australia Research Council [DP0770651]; Academy of Finland [128533, 128799]; Academy of Finland (AKA) [128799, 128533] Funding Source: Academy of Finland (AKA); Australian Research Council [DP0770651] Funding Source: Australian Research Council</t>
  </si>
  <si>
    <t>Australia Research Council(Australian Research Council); Academy of Finland(Research Council of Finland); Academy of Finland (AKA)(Research Council of Finland); Australian Research Council(Australian Research Council)</t>
  </si>
  <si>
    <t>We thank reviewers for their insightful comments that substantially improved the manuscript. The research was funded by the Australia Research Council grant DP0770651 and by the Academy of Finland grants 128533 and 128799. The Monash e-research facility is acknowledged for their computational support.</t>
  </si>
  <si>
    <t>D07109</t>
  </si>
  <si>
    <t>10.1029/2010JD015358</t>
  </si>
  <si>
    <t>751WI</t>
  </si>
  <si>
    <t>WOS:000289648000004</t>
  </si>
  <si>
    <t>Verronen, PT; Rodger, CJ; Clilverd, MA; Wang, SH</t>
  </si>
  <si>
    <t>Verronen, Pekka T.; Rodger, Craig J.; Clilverd, Mark A.; Wang, Shuhui</t>
  </si>
  <si>
    <t>First evidence of mesospheric hydroxyl response to electron precipitation from the radiation belts</t>
  </si>
  <si>
    <t>NORTHERN-HEMISPHERE; SOLAR; EVENTS; NOX</t>
  </si>
  <si>
    <t>Utilizing observations from the Medium Energy Proton and Electron Detector (MEPED) on board the Polar Orbiting Environmental Satellite (POES) and the Microwave Limb Sounder (MLS) on board the Aura satellite, we demonstrate that there is a strong link between 100-300 keV loss cone electron count rates observed in the outer radiation belt and nighttime OH concentrations in the middle mesosphere at 71-78 km altitude. In theory, this can be expected because the ionization caused by energetic electron precipitation (EEP) leads to odd hydrogen (HOx) production through ionic reactions. However, this is the first time that OH production due to EEP has been observed. We consider daily mean data from 2 months, March 2005 and April 2006, which were selected because of (1) relatively high count rates of radiation belt electrons observed and (2) the absence of solar proton events that could mask the EEP effects. The results show that at 55-65 degrees magnetic latitude (equivalent to McIlwain L shells 3.0-5.6) increases in electron count rates by 2 orders of magnitude are accompanied by increases in nighttime OH concentration of 100%. There is a high correlation between MEPED and MLS data such that 56-87% of the OH variation can be explained by changes in EEP. Because the relation between MEPED count rate observations and the flux of electrons actually entering the atmosphere is not trivial, we discuss the possibility of using OH observations to obtain an estimate of EEP forcing that could be used in atmospheric modeling.</t>
  </si>
  <si>
    <t>[Verronen, Pekka T.] Finnish Meteorol Inst, FI-00101 Helsinki, Finland; [Rodger, Craig J.] Univ Otago, Dept Phys, Dunedin, New Zealand; [Clilverd, Mark A.] British Antarctic Survey, Cambridge CB3 0ET, England; [Wang, Shuhui] CALTECH, Jet Prop Lab, Pasadena, CA 91109 USA</t>
  </si>
  <si>
    <t>Finnish Meteorological Institute; University of Otago; UK Research &amp; Innovation (UKRI); Natural Environment Research Council (NERC); NERC British Antarctic Survey; California Institute of Technology; National Aeronautics &amp; Space Administration (NASA); NASA Jet Propulsion Laboratory (JPL)</t>
  </si>
  <si>
    <t>Verronen, PT (corresponding author), Finnish Meteorol Inst, POB 503, FI-00101 Helsinki, Finland.</t>
  </si>
  <si>
    <t>pekka.verronen@fmi.fi; crodger@physics.otago.ac.nz; macl@bas.ac.uk; shuhui.wang@jpl.nasa.gov</t>
  </si>
  <si>
    <t>Verronen, Pekka T/G-6658-2014; Verronen, P. T./AIE-0203-2022; Rodger, Craig/A-1501-2011</t>
  </si>
  <si>
    <t>Verronen, P. T./0000-0002-3479-9071; Rodger, Craig J./0000-0002-6770-2707</t>
  </si>
  <si>
    <t>Academy of Finland [136225/SPOC, 123275/THERMES]; National Aeronautics and Space Administration; Natural Environment Research Council [bas0100023] Funding Source: researchfish; NERC [bas0100023] Funding Source: UKRI</t>
  </si>
  <si>
    <t>Academy of Finland(Research Council of Finland); National Aeronautics and Space Administration(National Aeronautics &amp; Space Administration (NASA)); Natural Environment Research Council(UK Research &amp; Innovation (UKRI)Natural Environment Research Council (NERC)); NERC(UK Research &amp; Innovation (UKRI)Natural Environment Research Council (NERC))</t>
  </si>
  <si>
    <t>P. T. V. would like to thank Marko Laine for valuable discussions. The work of P. T. V. was supported by the Academy of Finland through projects 136225/SPOC (Significance of Energetic Electron Precipitation to Odd Hydrogen, Ozone, and Climate) and 123275/THERMES (Thermosphere and Mesosphere Affecting the Stratosphere). Research at the Jet Propulsion Laboratory, California Institute of Technology, is performed under contract with the National Aeronautics and Space Administration. POES data were provided by NOAA National Geophysical Data Center. MLS/Aura data were provided by the NASA Goddard Earth Sciences Data and Information Service Center (GES DISC).</t>
  </si>
  <si>
    <t>D07307</t>
  </si>
  <si>
    <t>10.1029/2010JD014965</t>
  </si>
  <si>
    <t>WOS:000289648000003</t>
  </si>
  <si>
    <t>Marley, NJ; Mcinnes, SJ; Sands, CJ</t>
  </si>
  <si>
    <t>Marley, Nigel J.; Mcinnes, Sandra J.; Sands, Chester J.</t>
  </si>
  <si>
    <t>Phylum Tardigrada: A re-evaluation of the Parachela</t>
  </si>
  <si>
    <t>Tardigrade; Eohypsibioidea superfam. nov.; Hypsibioidea superfam. nov.; Isohypsibioidea superfam. nov.; Macrobiotoidea superfam. nov.; Isohypsibiidae fam. nov.; Ramazzottidae fam. nov.; Morphology; Molecular; Systematics</t>
  </si>
  <si>
    <t>HUFELANDI GROUP TARDIGRADA; PHYLOGENETIC POSITION; RE-DESCRIPTION; S-STR; EUTARDIGRADA; GENUS; MACROBIOTIDAE; HYPSIBIIDAE; ERECTION; REVISION</t>
  </si>
  <si>
    <t>We assessed the available morphological evidence to see if this corroborates the paraphyly in the Parachela (Tardigrada) as suggested by recent molecular data. We reconcile molecular phylogenetics with alpha morphology, focusing on claw and apophysis for the insertion of the stylet muscles (AISM). We combine molecular and morphological evidence to define six new taxa within the Parachela Schuster et al 1980. These include two new families of Isohypsibiidae fam. nov. and Ramazzottidae fam. nov. along with four new superfamilies of Eohypsibioidea superfam. nov., Hypsibioidea superfam. nov., Isohypsibioidea superfam. nov., and Macrobiotoidea superfam. nov.</t>
  </si>
  <si>
    <t>[Marley, Nigel J.] Univ Plymouth, Sch Marine Sci &amp; Engn, Marine Biol &amp; Ecol Res Ctr, Plymouth PL4 8AA, Devon, England; [Mcinnes, Sandra J.; Sands, Chester J.] British Antarctic Survey, Nat Environm Res Council, Cambridge CB3 0ET, England</t>
  </si>
  <si>
    <t>University of Plymouth; UK Research &amp; Innovation (UKRI); Natural Environment Research Council (NERC); NERC British Antarctic Survey</t>
  </si>
  <si>
    <t>Marley, NJ (corresponding author), Univ Plymouth, Sch Marine Sci &amp; Engn, Marine Biol &amp; Ecol Res Ctr, Plymouth PL4 8AA, Devon, England.</t>
  </si>
  <si>
    <t>nigel.marley@plymouth.ac.uk</t>
  </si>
  <si>
    <t>McInnes, Sandra/AAN-4773-2020; Marley, Nigel/M-5703-2017</t>
  </si>
  <si>
    <t>McInnes, Sandra/0000-0003-3403-9379; Marley, Nigel/0000-0002-3291-5534; Sands, Chester/0000-0003-1028-0328</t>
  </si>
  <si>
    <t>10.11646/zootaxa.2819.1.2</t>
  </si>
  <si>
    <t>749IB</t>
  </si>
  <si>
    <t>WOS:000289457400002</t>
  </si>
  <si>
    <t>Deushi, M; Shibata, K</t>
  </si>
  <si>
    <t>Deushi, Makoto; Shibata, Kiyotaka</t>
  </si>
  <si>
    <t>Impacts of increases in greenhouse gases and ozone recovery on lower stratospheric circulation and the age of air: Chemistry-climate model simulations up to 2100</t>
  </si>
  <si>
    <t>BREWER-DOBSON CIRCULATION; MIDDLE ATMOSPHERE; PARAMETERIZATION; TROPOSPHERE</t>
  </si>
  <si>
    <t>Long-term changes in lower stratospheric wave forcing and the distribution of mean age of air were examined using multidecadal simulations carried out with a chemistry-climate model in which changes in ozone concentration and the climate of the middle atmosphere were projected through the twenty-first century. Changes in wave forcing between future (2085-2099) and past (1985-1999) periods show clear seasonal variation in the simulations. In both summer hemispheres, subtropical wave forcing significantly strengthens and extends to the extratropics in the lower stratosphere, with the exception of the Antarctic region where resolved wave forcing is decreased in spring and summer as a result of an earlier breakdown of the polar vortex in the future period. This summer strengthening and extending in wave forcing is likely related to the westerly wind shift of the lower stratospheric easterly wind. In the future period, mean age of air is decreased at all locations and seasons at 50 hPa. However, the decrease is nonuniform in each season and region. A large decrease is simulated over the northern extratropics in summer, in accordance with a strengthened residual circulation. Over the Antarctic, a local maximum decrease appears in December, related to the earlier breakdown of the polar vortex.</t>
  </si>
  <si>
    <t>[Deushi, Makoto; Shibata, Kiyotaka] Meteorol Res Inst, Atmospher Environm &amp; Appl Meteorol Res Dept, Tsukuba, Ibaraki 3050052, Japan</t>
  </si>
  <si>
    <t>Deushi, M (corresponding author), Meteorol Res Inst, Atmospher Environm &amp; Appl Meteorol Res Dept, Tsukuba, Ibaraki 3050052, Japan.</t>
  </si>
  <si>
    <t>mdeushi@mri-jma.go.jp</t>
  </si>
  <si>
    <t>Deushi, Makoto/0000-0002-0373-3918</t>
  </si>
  <si>
    <t>Ministry of Education, Culture, Sports, Science, and Technology of Japan [20340129, 20340131, 20244076]; Grants-in-Aid for Scientific Research [20244076, 20340129, 20340131] Funding Source: KAKEN</t>
  </si>
  <si>
    <t>Ministry of Education, Culture, Sports, Science, and Technology of Japan(Ministry of Education, Culture, Sports, Science and Technology, Japan (MEXT)); Grants-in-Aid for Scientific Research(Ministry of Education, Culture, Sports, Science and Technology, Japan (MEXT)Japan Society for the Promotion of ScienceGrants-in-Aid for Scientific Research (KAKENHI))</t>
  </si>
  <si>
    <t>The simulations were made with the supercomputer at the National Institute for Environmental Studies, Japan. This work was supported in part by a grant-in-aid (20340129, 20340131, and 20244076) for Science Research from the Ministry of Education, Culture, Sports, Science, and Technology of Japan. The MIM analysis package used in this study was developed by T. Iwasaki and contributors. Anonymous reviewers are thanked for helping to improve the paper.</t>
  </si>
  <si>
    <t>APR 13</t>
  </si>
  <si>
    <t>D07107</t>
  </si>
  <si>
    <t>10.1029/2010JD015024</t>
  </si>
  <si>
    <t>751WH</t>
  </si>
  <si>
    <t>WOS:000289647900002</t>
  </si>
  <si>
    <t>Monniot, F; Dettai, A; Eleaume, M; Cruaud, C; Ameziane, N</t>
  </si>
  <si>
    <t>Monniot, Francoise; Dettai, Agnes; Eleaume, Marc; Cruaud, Corinne; Ameziane, Nadia</t>
  </si>
  <si>
    <t>Antarctic Ascidians (Tunicata) of the French-Australian survey CEAMARC in Terre Adelie</t>
  </si>
  <si>
    <t>Ascidians; Antarctic; Terre Adelie; New species</t>
  </si>
  <si>
    <t>DEEP-WATER ASCIDIANS; SLOPE; DNA</t>
  </si>
  <si>
    <t>A large collection of ascidians was made during the CEAMARC Aurora Australis V3 cruise off Terre Adelie and George V Land a region rarely investigated before at these depths. Sampling was performed by beam trawls and a dredge between 138 degrees-146 latitude East and from 150 to 1700 m depth, on the Antarctic shelf and slope. Three of the 33 ascidian species identified are new and belong to the Stolidobranchia. Half of the species have an exclusive Antarctic distribution, others also occur in Sub-Antarctic areas, but none are common with the southern temperate fauna. The CEAMARC collection does not contain the whole range of already known species from this region. Moreover, brittle and very small specimens were not collected. COI sequences were obtained for 37 specimens, including two of the new species.</t>
  </si>
  <si>
    <t>[Monniot, Francoise; Dettai, Agnes; Eleaume, Marc; Ameziane, Nadia] Museum Natl Hist Nat, FR-75231 Paris 05, France; [Cruaud, Corinne] Genoscope, Ctr Natl Sequencage, F-91057 Evry, France</t>
  </si>
  <si>
    <t>Museum National d'Histoire Naturelle (MNHN); Universite Paris Saclay; CEA</t>
  </si>
  <si>
    <t>Monniot, F (corresponding author), Museum Natl Hist Nat, 57 Rue Cuvier, FR-75231 Paris 05, France.</t>
  </si>
  <si>
    <t>Australian Antarctic Division; Japanese Science Foundation; French polar institute IPEV; CNRS; MNHN; ANR [o07-BLAN-0213-01]; Museum national d'Histoire naturelle [IFR 101]</t>
  </si>
  <si>
    <t>Australian Antarctic Division; Japanese Science Foundation; French polar institute IPEV; CNRS(Centre National de la Recherche Scientifique (CNRS)); MNHN; ANR(Agence Nationale de la Recherche (ANR)); Museum national d'Histoire naturelle</t>
  </si>
  <si>
    <t>We would like to acknowledge the voyage leader, Martin Riddle, the crew and the captain of the RV Aurora Australis. The CAML-CEAMARC cruise of RV Aurora Australis (IPY project no53) were supported by the Australian Antarctic Division, the Japanese Science Foundation, the French polar institute IPEV (ICOTA programme), the CNRS, the MNHN (Direction transversale des collections) and the ANR (White Project ANTFLOCKs USAR no07-BLAN-0213-01 led by Guillaume Lecointre). This research involved many other scientists and students who helped sorting the benthos on board. This work was supported by the 'Consortium National de Recherche en Genomique', and the 'Service de Systematique Moleculaire' of the Museum national d'Histoire naturelle (IFR 101). It is part of the agreement number 2005/67 between the Genoscope and the Museum national d'Histoire naturelle on the project 'Macrophylogeny of life' led by Guillaume Lecointre. It is a contribution to CAML and SCAR-MarBIN. We are very grateful to Michael Stoddart, Graham Hosie and Victoria Wadley for managing the CEAMARC programme. We thank C. Ozouf-Costaz for her help and constructive comments and J.-F. Dejouannet for his help with the pictures, and G. Denys for the preparation of the specimens. EM pictures were performed by the Service Commun de Microscopie Electronique du Laboratoire des Sciences de le Vie du M. N. H. N.</t>
  </si>
  <si>
    <t>748PT</t>
  </si>
  <si>
    <t>WOS:000289403600001</t>
  </si>
  <si>
    <t>Bortolotto, E; Bucklin, A; Mezzavilla, M; Zane, L; Patarnello, T</t>
  </si>
  <si>
    <t>Bortolotto, Erica; Bucklin, Ann; Mezzavilla, Massimo; Zane, Lorenzo; Patarnello, Tomaso</t>
  </si>
  <si>
    <t>Gone with the currents: lack of genetic differentiation at the circum-continental scale in the Antarctic krill Euphausia superba</t>
  </si>
  <si>
    <t>BMC GENETICS</t>
  </si>
  <si>
    <t>SOUTHERN-OCEAN; POPULATION-STRUCTURE; MITOCHONDRIAL LINEAGES; CRYPTIC SPECIATION; DNA POLYMORPHISM; COMPUTER-PROGRAM; RESTRICTION DATA; TIME DEPENDENCY; POLAR FRONT; SCOTIA SEA</t>
  </si>
  <si>
    <t>Background: Southern Ocean fauna represent a significant amount of global biodiversity, whose origin may be linked to glacial cycles determining local extinction/eradication with ice advance, survival of refugee populations and post-glacial re-colonization. This pattern implies high potential for differentiation in benthic shelf species with limited dispersal, yet consequences for pelagic organisms are less clear. The present study investigates levels of genetic variation and population structure of the Antarctic krill Euphausia superba using mitochondrial DNA and EST-linked microsatellite markers for an unprecedentedly comprehensive sampling of its populations over a circum-Antarctic range. Results: MtDNA (ND1) sequences and EST-linked microsatellite markers indicated no clear sign of genetic structure among populations over large geographic scales, despite considerable power to detect differences inferred from forward-time simulations. Based on ND1, few instances of genetic heterogeneity, not significant after correction for multiple tests, were detected between geographic or temporal samples. Neutrality tests and mismatch distribution based on mtDNA sequences revealed strong evidence of past population expansion. Significant positive values of the parameter g (a measure of population growth) were obtained from microsatellite markers using a coalescent-based genealogical method and suggested a recent start (60 000 - 40 000 years ago) for the expansion. Conclusions: The results provide evidence of lack of genetic heterogeneity of Antarctic krill at large geographic scales and unequivocal support for recent population expansion. Lack of genetic structuring likely reflects the tight link between krill and circum-Antarctic ocean currents and is consistent with the hypothesis that differentiation processes in Antarctic species are largely influenced by dispersal potential, whereas small-scale spatial and temporal differentiation might be due to local conditions leading to genetic patchiness. The signal of recent population growth suggests differential impact of glacial cycles on pelagic Antarctic species, which experienced population expansion during glaciations with increased available habitat, versus sedentary benthic shelf species. EST-linked microsatellites provide new perspectives to complement the results based on mtDNA and suggest that data-mining of EST libraries will be a useful approach to facilitate use of microsatellites for additional species.</t>
  </si>
  <si>
    <t>[Bortolotto, Erica; Mezzavilla, Massimo; Zane, Lorenzo] Univ Padua, Dept Biol, I-35121 Padua, Italy; [Bucklin, Ann] Univ Connecticut, Dept Marine Sci, Groton, CT 06340 USA; [Patarnello, Tomaso] Univ Padua, Dept Publ Hlth Comparat Pathol &amp; Vet Hyg, I-35020 Legnaro, PD, Italy</t>
  </si>
  <si>
    <t>University of Padua; University of Connecticut; University of Padua</t>
  </si>
  <si>
    <t>Zane, L (corresponding author), Univ Padua, Dept Biol, Via U Bassi 58B, I-35121 Padua, Italy.</t>
  </si>
  <si>
    <t>lorenzo.zane@gmail.com</t>
  </si>
  <si>
    <t>Zane, Lorenzo/G-6249-2010; Mezzavilla, Massimo/AAL-8225-2020; Mezzavilla, Massimo/J-2948-2018</t>
  </si>
  <si>
    <t>Zane, Lorenzo/0000-0002-6963-2132; Mezzavilla, Massimo/0000-0002-9000-4595; Mezzavilla, Massimo/0000-0002-9000-4595; PATARNELLO, Tomaso/0000-0003-1794-5791; Bucklin, Ann/0000-0003-3750-9348</t>
  </si>
  <si>
    <t>Italian PNRA (Progetto Nazionale di Ricerche in Antaride); NSF [OPP-0338195, OPP-0610789]; Directorate For Geosciences; Division Of Polar Programs [1044982] Funding Source: National Science Foundation</t>
  </si>
  <si>
    <t>Italian PNRA (Progetto Nazionale di Ricerche in Antaride); NSF(National Science Foundation (NSF)); Directorate For Geosciences; Division Of Polar Programs(National Science Foundation (NSF)NSF - Directorate for Geosciences (GEO))</t>
  </si>
  <si>
    <t>This work was supported by the Italian PNRA (Progetto Nazionale di Ricerche in Antaride) and by the NSF Office of Polar Programs (Award Nos. OPP-0338195 and OPP-0610789 to A. B. and T. P. We thank Paola Batta-Lona (University of Connecticut) for helpful collaboration, and Eric Rynes and Lucian Smith (Lamarc Team) for their useful advice. We also warmly thank the British Antarctic Survey (United Kingdom) and Alfred Wegener Institute (Germany) for providing samples and for inviting LZ to participate to cruise JR26 and EB to cruise ANT XXIII/8.</t>
  </si>
  <si>
    <t>BIOMED CENTRAL LTD</t>
  </si>
  <si>
    <t>236 GRAYS INN RD, FLOOR 6, LONDON WC1X 8HL, ENGLAND</t>
  </si>
  <si>
    <t>1471-2156</t>
  </si>
  <si>
    <t>BMC GENET</t>
  </si>
  <si>
    <t>BMC Genet.</t>
  </si>
  <si>
    <t>APR 12</t>
  </si>
  <si>
    <t>10.1186/1471-2156-12-32</t>
  </si>
  <si>
    <t>766OE</t>
  </si>
  <si>
    <t>WOS:000290792900001</t>
  </si>
  <si>
    <t>Yau, S; Lauro, FM; DeMaere, MZ; Brown, MV; Thomas, T; Raftery, MJ; Andrews-Pfannkoch, C; Lewis, M; Hoffman, JM; Gibson, JA; Cavicchioli, R</t>
  </si>
  <si>
    <t>Yau, Sheree; Lauro, Federico M.; DeMaere, Matthew Z.; Brown, Mark V.; Thomas, Torsten; Raftery, Mark J.; Andrews-Pfannkoch, Cynthia; Lewis, Matthew; Hoffman, Jeffrey M.; Gibson, John A.; Cavicchioli, Ricardo</t>
  </si>
  <si>
    <t>Virophage control of antarctic algal host-virus dynamics</t>
  </si>
  <si>
    <t>metagenomics; metaproteomics; East Antarctica; Vestfold Hills; microbial ecology</t>
  </si>
  <si>
    <t>VESTFOLD HILLS; PHAEOCYSTIS-POUCHETII; EMILIANIA-HUXLEYI; POPULATION-DYNAMICS; EAST ANTARCTICA; MEROMICTIC LAKE; ORGANIC LAKE; DNA VIRUSES; BLOOM; DIVERSITY</t>
  </si>
  <si>
    <t>Viruses are abundant ubiquitous members of microbial communities and in the marine environment affect population structure and nutrient cycling by infecting and lysing primary producers. Antarctic lakes are microbially dominated ecosystems supporting truncated food webs in which viruses exert a major influence on the microbial loop. Here we report the discovery of a virophage (relative of the recently described Sputnik virophage) that preys on phycodnaviruses that infect prasinophytes (phototrophic algae). By performing metaproteogenomic analysis on samples from Organic Lake, a hypersaline meromictic lake in Antarctica, complete virophage and near-complete phycodnavirus genomes were obtained. By introducing the virophage as an additional predator of a predator-prey dynamic model we determined that the virophage stimulates secondary production through the microbial loop by reducing overall mortality of the host and increasing the frequency of blooms during polar summer light periods. Virophages remained abundant in the lake 2 y later and were represented by populations with a high level of major capsid protein sequence variation (25-100% identity). Virophage signatures were also found in neighboring Ace Lake (in abundance) and in two tropical lakes (hypersaline and fresh), an estuary, and an ocean upwelling site. These findings indicate that virophages regulate host-virus interactions, influence overall carbon flux in Organic Lake, and play previously unrecognized roles in diverse aquatic ecosystems.</t>
  </si>
  <si>
    <t>[Yau, Sheree; Lauro, Federico M.; DeMaere, Matthew Z.; Brown, Mark V.; Thomas, Torsten; Cavicchioli, Ricardo] Univ New S Wales, Sch Biotechnol &amp; Biomol Sci, Sydney, NSW 2052, Australia; [Thomas, Torsten] Univ New S Wales, Ctr Marine Bioinnovat, Sydney, NSW 2052, Australia; [Raftery, Mark J.] Univ New S Wales, Bioanalyt Mass Spectrometry Facil, Sydney, NSW 2052, Australia; [Andrews-Pfannkoch, Cynthia; Lewis, Matthew; Hoffman, Jeffrey M.] J Craig Venter Inst, Rockville, MD 20850 USA; [Gibson, John A.] Univ Tasmania, Marine Res Labs, Tasmanian Aquaculture &amp; Fisheries Inst, Hobart, Tas 7001, Australia</t>
  </si>
  <si>
    <t>University of New South Wales Sydney; University of New South Wales Sydney; University of New South Wales Sydney; J. Craig Venter Institute; University of Tasmania</t>
  </si>
  <si>
    <t>Lauro, Federico/X-2420-2019; DeMaere, Matthew Zachariah/D-9002-2012; Yau, Sheree/AAX-9078-2021; Cavicchioli, Ricardo/D-4341-2013</t>
  </si>
  <si>
    <t>Lauro, Federico/0000-0002-8373-1014; DeMaere, Matthew Zachariah/0000-0002-7601-5108; Yau, Sheree/0000-0003-1878-132X; Cavicchioli, Ricardo/0000-0001-8989-6402; Thomas, Torsten/0000-0001-9557-3001</t>
  </si>
  <si>
    <t>Australian Research Council; Australian Antarctic Division; Gordon and Betty Moore Foundation</t>
  </si>
  <si>
    <t>Australian Research Council(Australian Research Council); Australian Antarctic Division; Gordon and Betty Moore Foundation(Gordon and Betty Moore Foundation)</t>
  </si>
  <si>
    <t>We thank Craig Venter, John Bowman, Louise (Cromer) Newman, Anthony Hull, John Rich, and Martin Riddle for providing helpful discussion and logistical support associated with the Antarctic expedition; Lisa Ziegler for discussion about marine viruses; Intersect (and in particular Joachim Mai) for technical support for computing infrastructure and software development; and Jenny Norman from the University of New South Wales Electron Microscopy Unit for assistance in generating images. Mass spectrometric results were obtained at the Bioanalytical Mass Spectrometry Facility within the Analytical Centre of the University of New South Wales. This work was undertaken using infrastructure provided by New South Wales Government co-investment in the National Collaborative Research Infrastructure Scheme. Subsidized access to this facility is gratefully acknowledged. This work was supported by the Australian Research Council and the Australian Antarctic Division. Funding for sequencing was provided by the Gordon and Betty Moore Foundation to the J. Craig Venter Institute.</t>
  </si>
  <si>
    <t>10.1073/pnas.1018221108</t>
  </si>
  <si>
    <t>748SZ</t>
  </si>
  <si>
    <t>WOS:000289413600049</t>
  </si>
  <si>
    <t>Babu, VR; Somayajulu, YK; Anilkumar, N; Sudhakar, M</t>
  </si>
  <si>
    <t>Babu, V. Ramesh; Somayajulu, Y. K.; Anilkumar, N.; Sudhakar, M.</t>
  </si>
  <si>
    <t>Geostrophic volume transport and eddies in the region of sub-tropical and sub-Antarctic waters south of Madagascar during austral summer (January-February) 2004</t>
  </si>
  <si>
    <t>Antarctic waters; Austral summer; eddies</t>
  </si>
  <si>
    <t>VARIABILITY; OCEAN; EAST; CIRCULATION; AGULHAS; FRONTS; GEOSAT</t>
  </si>
  <si>
    <t>Geostrophic volume transport based on hydrographic data is estimated across two transects that are covered south of Madagascar in the region of the sub-tropical and sub-Antarctic waters as a part of the Indian Pilot Expedition to the Southern Ocean on board ORV Sagar Kanya during austral summer 2004. Strong density current shears are encountered in the study area suggesting high potential for the generation of meso-scale eddies. Volume transports with reversing directions are encountered especially in the depth range of 0-1000 m between Madagascar and around Sub-Tropical Convergence (STC) and they reach maximum values of 40 and 80 Sv (1 Sv = 10(6) m(3) s(-1)) directed towards southeast and east across tracks 1 and 2 respectively. Such reversing flows, however, are not much seen in the sub-Antarctic and Antarctic waters. The sea surface height anomaly (SSHA) field in the southwestern Indian Ocean based on satellite altimetry during January-February 2004 further shows that relatively high meso-scale variability associated with the regions of larger volume transports promotes meandering of East Madagascar current (EMC) and combined Agulhas return current (ARC)/Antarctic circumpolar current (ACC) systems from where eddies are likely to shed out with a developmental tendency of clockwise (anti-clockwise) rotations on right (left) side of these current streams. A positive correlation between SSHA and mixed layer depth (MLD) is confined to the sub-tropical waters, suggesting the influence of eddies on the dynamics of MLD in the study area.</t>
  </si>
  <si>
    <t>[Babu, V. Ramesh; Somayajulu, Y. K.] NIO, Panaji 403004, Goa, India; [Anilkumar, N.; Sudhakar, M.] NCAOR, Vasco Da Gama 403804, Goa, India</t>
  </si>
  <si>
    <t>Council of Scientific &amp; Industrial Research (CSIR) - India; CSIR - National Institute of Oceanography (NIO); Ministry of Earth Sciences (MoES) - India; National Centre for Polar and Ocean Research (NCPOR)</t>
  </si>
  <si>
    <t>Somayajulu, YK (corresponding author), NIO, Panaji 403004, Goa, India.</t>
  </si>
  <si>
    <t>yksoma@nio.org</t>
  </si>
  <si>
    <t>Veligatla, Ramesh Babu/L-1461-2017</t>
  </si>
  <si>
    <t>APR 10</t>
  </si>
  <si>
    <t>747IM</t>
  </si>
  <si>
    <t>WOS:000289313500024</t>
  </si>
  <si>
    <t>Levermann, A</t>
  </si>
  <si>
    <t>Levermann, Anders</t>
  </si>
  <si>
    <t>OCEANOGRAPHY When glacial giants roll over</t>
  </si>
  <si>
    <t>ANTARCTIC ICEBERG DISTRIBUTION; DISSOLUTION</t>
  </si>
  <si>
    <t>Potsdam Inst Climate Impact Res, D-14473 Potsdam, Germany</t>
  </si>
  <si>
    <t>Potsdam Institut fur Klimafolgenforschung</t>
  </si>
  <si>
    <t>Levermann, A (corresponding author), Potsdam Inst Climate Impact Res, D-14473 Potsdam, Germany.</t>
  </si>
  <si>
    <t>anders.levermann@pik-potsdam.de</t>
  </si>
  <si>
    <t>Levermann, Anders/G-4666-2011</t>
  </si>
  <si>
    <t>Levermann, Anders/0000-0003-4432-4704</t>
  </si>
  <si>
    <t>Office of Polar Programs (OPP); Directorate For Geosciences [0944193] Funding Source: National Science Foundation</t>
  </si>
  <si>
    <t>APR 7</t>
  </si>
  <si>
    <t>10.1038/472043a</t>
  </si>
  <si>
    <t>745VV</t>
  </si>
  <si>
    <t>WOS:000289199400030</t>
  </si>
  <si>
    <t>Lander, ME; Logsdon, ML; Loughlin, TR; Van Blaricom, GR</t>
  </si>
  <si>
    <t>Lander, Michelle E.; Logsdon, Miles L.; Loughlin, Thomas R.; Van Blaricom, Glenn R.</t>
  </si>
  <si>
    <t>Spatial patterns and scaling behaviors of Steller sea lion (Eumetopias jubatus) distributions and their environment</t>
  </si>
  <si>
    <t>JOURNAL OF THEORETICAL BIOLOGY</t>
  </si>
  <si>
    <t>Bathymetry; Fractal analysis; Satellite telemetry; Sea surface temperature; Variance</t>
  </si>
  <si>
    <t>ANTARCTIC FUR SEALS; BOX-COUNTING METHOD; FRACTAL ANALYSIS; MOVEMENT PATTERNS; ELEPHANT SEALS; HABITAT; HETEROGENEITY; DYNAMICS; ECOLOGY; TRAJECTORIES</t>
  </si>
  <si>
    <t>Fractal geometry and other multi-scale analyses have become popular tools for investigating spatial patterns of animal distributions in heterogeneous environments. In theory, changes in patterns of animal distributions with changes in scale reflect transitions between the controlling influences of one environmental factor or process over another. In an effort to find linkages between Steller sea lions (Eumetopias jubatus) and their environment, the objective of this study was to determine if the spatial distribution of Steller sea lions at sea displayed similar scaling properties to the variation of two environmental features, including bathymetry and sea surface temperature (SST). Additionally, distributions of Steller sea lion point patterns were examined with respect to measurements of bathymetric complexity. From February 2000 to May 2004, satellite transmitters were deployed on 10 groups of juvenile Steller sea lions (n=52) at eight different locations within the Aleutian Islands and Gulf of Alaska. Indices of fractal dimension were calculated for each group of sea lions using a unit square box-counting method, whereas indices of bathymetry and SST patchiness were derived by conducting a variance ratio analysis over the same scales. Distributions of Steller sea lions at sea displayed self-similar fractal patterns, suggesting that individuals were distributed in a continuous hierarchical set of clumps within clumps across scales, and foraging behavior was likely influenced by a scale invariant mechanism. Patterns of bathymetric variability also were self-similar, whereas patterns of SST variability were scale dependent and failed to retain self-similar spatial structure at larger scales. These results indicate that the distributions of Steller sea lions at sea were more influenced by bathymetry than SST at the scales examined, but scale-dependent patterns in the distribution of Steller sea lions at sea or linkages with SST may have been apparent if analyses were conducted at finer spatial scales. Published by Elsevier Ltd.</t>
  </si>
  <si>
    <t>[Lander, Michelle E.; Loughlin, Thomas R.] NMFS, Natl Marine Mammal Lab, Seattle, WA 98115 USA; [Lander, Michelle E.; Van Blaricom, Glenn R.] Univ Washington, Washington Cooperat Fish &amp; Wildlife Res Unit, Sch Aquat &amp; Fishery Sci, Seattle, WA 98195 USA; [Logsdon, Miles L.] Univ Washington, Sch Oceanog, Seattle, WA 98195 USA</t>
  </si>
  <si>
    <t>National Oceanic Atmospheric Admin (NOAA) - USA; University of Washington; University of Washington Seattle; University of Washington; University of Washington Seattle</t>
  </si>
  <si>
    <t>Lander, ME (corresponding author), NMFS, Natl Marine Mammal Lab, 7600 Sand Point Way NE, Seattle, WA 98115 USA.</t>
  </si>
  <si>
    <t>Michelle.Lander@noaa.gov; Mlog@u.washington.edu; trlwc@comcast.net; Glennvb@u.washington.edu</t>
  </si>
  <si>
    <t>National Marine Mammal Laboratory (NMML) [782-1532]; University of Washington IACUC [2887-09]</t>
  </si>
  <si>
    <t>National Marine Mammal Laboratory (NMML); University of Washington IACUC</t>
  </si>
  <si>
    <t>We thank the entire staff of the Alaska Ecosystems Program at the National Marine Mammal Laboratory (NMML) for all of their assistance and support. J. Benson, A. Greig, L. Delwiche, D. Johnson, and J. Sterling provided valuable assistance with data processing and analysis. We further thank the Sea Mammal Research Unit, the Alaska Department of Fish and Game, and the crews of the M/V Pacific Star, M/V Woldstad, and M/V Tiglax. B. Fadely, J. London, C. Baier, and an anonymous reviewer provided constructive comments on the manuscript. This work was supported by the NMML and conducted under Federal Marine Mammal Permit #782-1532 and University of Washington IACUC #2887-09. The use of trade, product, or firm names in this publication is for descriptive purposes only and does not imply endorsement by the U.S. Government. The findings and conclusions in the paper are those of the authors and do not necessarily represent the views of the National Marine Fisheries Service.</t>
  </si>
  <si>
    <t>0022-5193</t>
  </si>
  <si>
    <t>1095-8541</t>
  </si>
  <si>
    <t>J THEOR BIOL</t>
  </si>
  <si>
    <t>J. Theor. Biol.</t>
  </si>
  <si>
    <t>10.1016/j.jtbi.2011.01.015</t>
  </si>
  <si>
    <t>Biology; Mathematical &amp; Computational Biology</t>
  </si>
  <si>
    <t>Life Sciences &amp; Biomedicine - Other Topics; Mathematical &amp; Computational Biology</t>
  </si>
  <si>
    <t>734DC</t>
  </si>
  <si>
    <t>WOS:000288312400009</t>
  </si>
  <si>
    <t>Calvo, E; Pelejero, C; Pena, LD; Cacho, I; Logan, GA</t>
  </si>
  <si>
    <t>Calvo, Eva; Pelejero, Carles; Pena, Leopoldo D.; Cacho, Isabel; Logan, Graham A.</t>
  </si>
  <si>
    <t>Eastern Equatorial Pacific productivity and related-CO2 changes since the last glacial period</t>
  </si>
  <si>
    <t>marine productivity; molecular biomarkers; paleoceanography</t>
  </si>
  <si>
    <t>ATMOSPHERIC CO2; SOUTHERN-OCEAN; LEAKAGE HYPOTHESIS; CLIMATE; DUST; ICE; VENTILATION; BIOMARKERS; SILICATE; NUTRIENT</t>
  </si>
  <si>
    <t>Understanding oceanic processes, both physical and biological, that control atmospheric CO2 is vital for predicting their influence during the past and into the future. The Eastern Equatorial Pacific (EEP) is thought to have exerted a strong control over glacial/interglacial CO2 variations through its link to circulation and nutrient-related changes in the Southern Ocean, the primary region of the world oceans where CO2-enriched deep water is upwelled to the surface ocean and comes into contact with the atmosphere. Here we present a multiproxy record of surface ocean productivity, dust inputs, and thermocline conditions for the EEP over the last 40,000 y. This allows us to detect changes in phytoplankton productivity and composition associated with increases in equatorial upwelling intensity and influence of Si-rich waters of sub-Antarctic origin. Our evidence indicates that diatoms outcompeted coccolithophores at times when the influence of Si-rich Southern Ocean intermediate waters was greatest. This shift from calcareous to noncalcareous phytoplankton would cause a lowering in atmospheric CO2 through a reduced carbonate pump, as hypothesized by the Silicic Acid Leakage Hypothesis. However, this change does not seem to have been crucial in controlling atmospheric CO2, as it took place during the deglaciation, when atmospheric CO2 concentrations had already started to rise. Instead, the concomitant intensification of Antarctic upwelling brought large quantities of deep CO2-rich waters to the ocean surface. This process very likely dominated any biologically mediated CO2 sequestration and probably accounts for most of the deglacial rise in atmospheric CO2.</t>
  </si>
  <si>
    <t>[Calvo, Eva; Pelejero, Carles] CSIC, Inst Ciencies Mar, E-08003 Barcelona, Spain; [Pelejero, Carles] CSIC, Inst Catalana Recerca &amp; Estudis Avancats, E-08003 Barcelona, Spain; [Pena, Leopoldo D.] Columbia Univ, Lamont Doherty Earth Observ, Palisades, NY 10964 USA; [Cacho, Isabel] Univ Barcelona, Dept Estratig Paleontol &amp; Geociencies Marines, Grp Recerca Geociencies Marines, E-08028 Barcelona, Spain; [Logan, Graham A.] Geosci Australia, Canberra, ACT 2601, Australia</t>
  </si>
  <si>
    <t>Consejo Superior de Investigaciones Cientificas (CSIC); CSIC - Centro Mediterraneo de Investigaciones Marinas y Ambientales (CMIMA); CSIC - Instituto de Ciencias del Mar (ICM); ICREA; Consejo Superior de Investigaciones Cientificas (CSIC); Columbia University; University of Barcelona; Geoscience Australia</t>
  </si>
  <si>
    <t>Calvo, E (corresponding author), CSIC, Inst Ciencies Mar, Passeig Maritim Barceloneta 37-49, E-08003 Barcelona, Spain.</t>
  </si>
  <si>
    <t>ecalvo@icm.cat</t>
  </si>
  <si>
    <t>Pelejero, Carles/AAF-4550-2019; Pena, Leopoldo/B-8140-2013; Cacho, Isabel/H-4402-2013; Cacho, Isabel/AAX-2610-2021; Calvo, Eva/C-2618-2014</t>
  </si>
  <si>
    <t>Pelejero, Carles/0000-0002-7763-7769; Pena, Leopoldo/0000-0001-6414-6293; Cacho, Isabel/0000-0002-6512-0770; Cacho, Isabel/0000-0002-6512-0770; Calvo, Eva/0000-0003-3659-4499</t>
  </si>
  <si>
    <t>Spanish Ministerio de Ciencia e Innovacion [CTM2006-01957/MAR, CTM2009-08849/MAR]; Ramon y Cajal; National Science Foundation [OCE-10-31198]; Generalitat de Catalunya (Catalan Government) [2009SGR142]; ICREA Funding Source: Custom</t>
  </si>
  <si>
    <t>Spanish Ministerio de Ciencia e Innovacion(Instituto de Salud Carlos IIISpanish Government); Ramon y Cajal(Spanish Government); National Science Foundation(National Science Foundation (NSF)); Generalitat de Catalunya (Catalan Government)(Generalitat de Catalunya); ICREA(ICREA)</t>
  </si>
  <si>
    <t>We thank Robert Anderson, Thomas Marchitto, and Gisela Winckler for kindly providing data. E. C., C. P., and I. C. acknowledge funding from the Spanish Ministerio de Ciencia e Innovacion through Grants CTM2006-01957/MAR and CTM2009-08849/MAR, and a Ramon y Cajal Contract (to E. C.). L. D. P. acknowledges support from National Science Foundation Grant OCE-10-31198. G. A. L. published with permission of Geoscience Australia. This is a contribution from the Marine Biogeochemistry and Global Change research group, funded by Generalitat de Catalunya (Catalan Government) through Grant 2009SGR142.</t>
  </si>
  <si>
    <t>APR 5</t>
  </si>
  <si>
    <t>10.1073/pnas.1009761108</t>
  </si>
  <si>
    <t>746RT</t>
  </si>
  <si>
    <t>WOS:000289265300015</t>
  </si>
  <si>
    <t>Mendo, T; Koch, V; Wolff, M; Sínsel, F; Ruiz-Verdugo, C</t>
  </si>
  <si>
    <t>Mendo, T.; Koch, V.; Wolff, M.; Sinsel, F.; Ruiz-Verdugo, C.</t>
  </si>
  <si>
    <t>Feasibility of intertidal bottom culture of the penshell Atrina maura in Bahia Magdalena, Baja California Sur, Mexico</t>
  </si>
  <si>
    <t>Bioeconomic model; Penshell; Atrina maura; Aquaculture; Intertidal</t>
  </si>
  <si>
    <t>SCALLOP PLACOPECTEN-MAGELLANICUS; PINNA-BICOLOR GMELIN; ECOLOGICAL ENERGETICS; NODIPECTEN-SUBNODOSUS; REPRODUCTIVE-CYCLE; SUSPENDED CULTURE; FOOD AVAILABILITY; SPAT COLLECTION; COASTAL LAGOON; GROWTH</t>
  </si>
  <si>
    <t>Variable and declining catches, high prices and a growing demand have raised interest in the cultivation of penshells in Mexico, and recent studies showed that Atrina maura has fast growth rates and is a potential candidate for aquaculture in Baja California Sur. This study aimed to generate more information on growth, production and mortality of A. maura and to evaluate if a low cost intertidal bottom culture can be economically feasible. Wild specimens were planted into two plots at two different tide levels in a mangrove channel called Estero San Buto, in Bahia Magdalena, Baja California Sur, Mexico. From September 2007 to May 2008, size increment data was recorded monthly, as well as weight, mortality and environmental conditions. From the data obtained and interviews with aquaculturists about costs and potential benefits, a bioeconomic model was constructed to evaluate the profitability of the investment. Growth data from A. maura was fitted to the specialized Von Bertalanffy model, a fixed L-infinity = 33.5 was used and the growth parameters were calculated as K=0.48 and 0.35 for the lower and mid-intertidal, respectively. Muscle and gonad condition indices showed significant correlations with temperature. Gonad maturation of A. maura initiated from January to March and the main spawning season started at the end of March. Survival after transplantation from suspended trays was high (99%) and after eight months of culture the average survivorship was 78%. The bioeconomic model simulating a 14 year culture operation showed that the main costs were related to labor and that the capital equipment costs were high during the first and eighth year, due to the lifespan of Nestier trays. A batch of 200,000 seeds each year was needed to achieve positive returns under the study conditions, with a payback period of seven years. The higher risk associated with longer periods of culture would probably discourage fishermen from this type of investment. The study highlights the importance of considering economic aspects before committing to this type of venture. (C) 2011 Elsevier B.V. All rights reserved.</t>
  </si>
  <si>
    <t>[Mendo, T.; Wolff, M.] Leibniz Zentrum Marine Tropenokol, D-28359 Bremen, Germany; [Koch, V.; Ruiz-Verdugo, C.] Univ Autonoma Baja Calif Sur, Depto Biol Marina, BCS, La Paz 23080, Mexico; [Wolff, M.] Charles Darwin Fdn, Quito, Ecuador</t>
  </si>
  <si>
    <t>Leibniz Zentrum fur Marine Tropenforschung (ZMT)</t>
  </si>
  <si>
    <t>Mendo, T (corresponding author), Inst Marine &amp; Antarctic Studies IMAS, Private Bag 129, Hobart, Tas 7001, Australia.</t>
  </si>
  <si>
    <t>taniamendow@yahoo.com</t>
  </si>
  <si>
    <t>Koch, Volker/J-1587-2012; Wolff, Matthias/E-7782-2011; Mendo, Tania/AAH-7734-2020</t>
  </si>
  <si>
    <t>Mendo, Tania/0000-0003-4397-2064</t>
  </si>
  <si>
    <t>Deutscher Akademischer Austauscht Dienst (DAAD); SAGARPA-CONACYT [12563]</t>
  </si>
  <si>
    <t>Deutscher Akademischer Austauscht Dienst (DAAD)(Deutscher Akademischer Austausch Dienst (DAAD)); SAGARPA-CONACYT(Consejo Nacional de Ciencia y Tecnologia (CONACyT))</t>
  </si>
  <si>
    <t>The first author was supported by a Deutscher Akademischer Austauscht Dienst (DAAD) scholarship and by the Project SAGARPA-CONACYT 12563 Desarrollo de la biotecnologia de poliploidia para el mejoramiento genetico de callo de hacha Atrina maura. The authors wish to acknowledge use of the Maptool program from www.seaturtle.org.We would also like to thank Werner Wosniok for his advice and help with the statistics and Dr. Tom Brey, Dr. Jurgen Laudien and Dr. Marc Taylor for their constructive comments; Nick Jones for proof reading the article and all the people that supported us during the fieldwork, especially to Alicia morena Schmidt-Roach and Laurita Wolheim. A special acknowledgment goes to the International Studies on Aquatic Tropical Ecology (ISATEC) team and the Center for Marine Tropical Ecology (ZMT).</t>
  </si>
  <si>
    <t>APR 4</t>
  </si>
  <si>
    <t>10.1016/j.aquaculture.2011.01.044</t>
  </si>
  <si>
    <t>752OX</t>
  </si>
  <si>
    <t>WOS:000289703100037</t>
  </si>
  <si>
    <t>Koshlyakov, MN; Gladyshev, SV; Tarakanov, RY; Fedorov, DA</t>
  </si>
  <si>
    <t>Koshlyakov, M. N.; Gladyshev, S. V.; Tarakanov, R. Yu.; Fedorov, D. A.</t>
  </si>
  <si>
    <t>Currents in the Western Drake Passage According to the Observations in January of 2010</t>
  </si>
  <si>
    <t>TOPOGRAPHY; ALTIMETRY; SEA</t>
  </si>
  <si>
    <t>The Western Drake Passage current system is investigated using the CTD, LADCP, and SADCP data of the cross Drake section carried out in January 2010. A complicated current structure consisting of the six Antarctic Circumpolar Current (ACC) jets as well as the system of slope and abyssal currents was revealed. The most interesting result is the identification of the abyssal quasi-geostrophic spurts in the northern part that probably are generated by abyssal eddy fragments, which are an imperative part of the meandering ACC.</t>
  </si>
  <si>
    <t>[Koshlyakov, M. N.; Gladyshev, S. V.; Tarakanov, R. Yu.; Fedorov, D. A.] Russian Acad Sci, PP Shirshov Oceanol Inst, Moscow, Russia</t>
  </si>
  <si>
    <t>Koshlyakov, MN (corresponding author), Russian Acad Sci, PP Shirshov Oceanol Inst, Moscow, Russia.</t>
  </si>
  <si>
    <t>mnkoshl@ocean.ru</t>
  </si>
  <si>
    <t>Gladyshev, Sergey/N-6508-2017; Tarakanov, Roman/R-3325-2016</t>
  </si>
  <si>
    <t>Russian Foundation for Basic Research [09-05-00242a, 09-05-00802a, 10-05-00029a]; Russian Academy of Sciences [20]</t>
  </si>
  <si>
    <t>Russian Foundation for Basic Research(Russian Foundation for Basic Research (RFBR)Spanish Government); Russian Academy of Sciences(Russian Academy of Sciences)</t>
  </si>
  <si>
    <t>This work was supported by the Russian Foundation for Basic Research (project nos. 09-05-00242a, 09-05-00802a, and 10-05-00029a) and by the Russian Academy of Sciences (basic research program no. 20). The expedition of 2010 was carried out as part of the Meridian Plus interagency project.</t>
  </si>
  <si>
    <t>APR</t>
  </si>
  <si>
    <t>10.1134/S000143701102007X</t>
  </si>
  <si>
    <t>868YK</t>
  </si>
  <si>
    <t>WOS:000298562300001</t>
  </si>
  <si>
    <t>Bogorodskii, PV; Pnyushkov, AV</t>
  </si>
  <si>
    <t>Bogorodskii, P. V.; Pnyushkov, A. V.</t>
  </si>
  <si>
    <t>Influence of Melt Ponds on the Formation of the Multiyear Sea Ice Cover</t>
  </si>
  <si>
    <t>The features of the sea ice growing and melting under the modern climatic conditions are considered with the use of the thermodynamic model of sea ice taking into account the seasonal melting and recrystallization of its upper layers. The evolution of the snowy and icy cover for the North Pole geographic point is estimated quantitatively on the basis of the NCEP/NCAR 2007 atmospheric reanalysis data.</t>
  </si>
  <si>
    <t>[Bogorodskii, P. V.; Pnyushkov, A. V.] Arctic &amp; Antarctic Res Inst, St Petersburg 199397, Russia; [Pnyushkov, A. V.] Int Arctic Res Ctr, Fairbanks, AK 99775 USA</t>
  </si>
  <si>
    <t>Bogorodskii, PV (corresponding author), Arctic &amp; Antarctic Res Inst, St Petersburg 199397, Russia.</t>
  </si>
  <si>
    <t>bogorodski@aari.nw.ru</t>
  </si>
  <si>
    <t>Bogorodskii, Petr/J-4213-2014; Pnyushkov, Andrey/M-3156-2019; Pnyushkov, Andrey/J-4153-2014</t>
  </si>
  <si>
    <t>Pnyushkov, Andrey/0000-0001-9112-6458; Pnyushkov, Andrey/0000-0001-9112-6458</t>
  </si>
  <si>
    <t>Russian Foundation for Basic Research [08-05-00109, 08-05-00124, 09-05-00652]</t>
  </si>
  <si>
    <t>This work was supported by the Russian Foundation for Basic Research, project nos. 08-05-00109, 08-05-00124, and 09-05-00652).</t>
  </si>
  <si>
    <t>PLEIADES HOUSE, 7 W 54 ST, NEW YORK, NY, UNITED STATES</t>
  </si>
  <si>
    <t>10.1134/S0001437011020020</t>
  </si>
  <si>
    <t>WOS:000298562300003</t>
  </si>
  <si>
    <t>Demidov, AB; Mosharov, SA; Gagarin, VI; Romanova, ND</t>
  </si>
  <si>
    <t>Demidov, A. B.; Mosharov, S. A.; Gagarin, V. I.; Romanova, N. D.</t>
  </si>
  <si>
    <t>Spatial Variability of the Primary Production and Chlorophyll a Concentration in the Drake Passage in the Austral Spring</t>
  </si>
  <si>
    <t>ANTARCTIC POLAR FRONT; EASTERN ATLANTIC SECTOR; DIFFERENT WATER MASSES; SOUTHERN-OCEAN; PHYTOPLANKTON BIOMASS; SOUTHWESTERN ATLANTIC; ELEPHANT-ISLAND; SUMMER; ZONATION; RATES</t>
  </si>
  <si>
    <t>The spatial distribution of the primary production (PP) and the chlorophyll a concentration (Chl) were investigated during two research cruises in the Drake Passage area in October-November of 2007 and 2008. The algorithm evaluating the integral PP (PPint) for the water column in this area was developed based on the data on the surface chlorophyll (Chl(s)) and the incident solar irradiance obtained in 2004-2008 in the Atlantic Sector of the Southern Ocean. The results obtained both by the experimental and model approaches suggested that the Polar Front (PF) region of the Drake Passage was characterized by low values of both the PPint (&lt;100 mg C/m(2) per day) and Chl(s) (0.08-0.20 mg/m(3)) in October-November. Low values of the Chl(s) and relatively high phaeophytine a concentrations indicated the winter succession state of the phytoplankton community in the Antarctic Ocean and the southern Polar Frontal Zone (PFZ). The seasonal warming of the surface water layers and the developing pycnocline resulted in a phytoplankton bloom and a Chl(s) concentration of more than 1 mg/m(3) in mid-November in this area and the Subantarctic waters.</t>
  </si>
  <si>
    <t>[Demidov, A. B.; Mosharov, S. A.; Gagarin, V. I.; Romanova, N. D.] Russian Acad Sci, PP Shirshov Oceanol Inst, Moscow, Russia</t>
  </si>
  <si>
    <t>Demidov, AB (corresponding author), Russian Acad Sci, PP Shirshov Oceanol Inst, Moscow, Russia.</t>
  </si>
  <si>
    <t>demspa@rambler.ru</t>
  </si>
  <si>
    <t>Romanova, Nadezda/AAU-5213-2021; Mosharov, Sergey/O-2565-2013; Demidov, Andrey/G-1043-2014</t>
  </si>
  <si>
    <t>Romanova, Nadezda/0000-0002-1268-0897; Mosharov, Sergey/0000-0002-0055-8982; Demidov, Andrey/0000-0002-1370-079X</t>
  </si>
  <si>
    <t>Meridian project [1901-17-09]; Basic Research of the Russian Academy of Sciences [20, 14.6]</t>
  </si>
  <si>
    <t>Meridian project; Basic Research of the Russian Academy of Sciences(Russian Academy of Sciences)</t>
  </si>
  <si>
    <t>This study was supported by state contract no. 1901-17-09 of the Meridian project and Program no. 20 for Basic Research of the Russian Academy of Sciences (project no. 14.6).</t>
  </si>
  <si>
    <t>10.1134/S0001437011020056</t>
  </si>
  <si>
    <t>WOS:000298562300011</t>
  </si>
  <si>
    <t>Barash, MS</t>
  </si>
  <si>
    <t>Barash, M. S.</t>
  </si>
  <si>
    <t>Environmental Changes in the Neogene and the Biotic Response</t>
  </si>
  <si>
    <t>SALINITY CRISIS; ATLANTIC; PACIFIC; OCEAN; EXTINCTION; IMPACT; RECORD</t>
  </si>
  <si>
    <t>Among the abiotic factors that determined via the paleoceanographic processes development and evolution of the oceanic biota in the Neogene, noteworthy are the tectonic, volcanic, climatic and extraterrestrial events. The most important tectonic events of such kind include the subsidence of the Faroe-Iceland Threshold 14-13 Ma ago, the closure of the Tethys Ocean in the east 19-12 Ma ago, the orogenesis in the western Mediterranean region and closure of the Mediterranean Sea (Messinian Crisis) 5.59-5.33 Ma ago, the formation of the Central American Isthmus 6.0-3.5 Ma ago, and the opening of the Bering Strait that occurred (according to different data) in the period of 7.4 to 3.1 Ma ago. The most significant climatic consequence resulted from the formation of the Circum-Antarctic Current, the irregular growth of the Antarctic ice shield, the cooling in the Arctic region 3.2-3.1 Ma ago, and the development of continental glaciations in the Northern Hemisphere approximately 2.5 Ma ago. The variations in the atmospheric CO2 content are correlative with the climatic fluctuations. The entire Cenozoic climatic record reflects the influence of the orbital parameters of the Earth. The Neogene was marked by several significant extraterrestrial events: the fireball falling in southwestern Germany in the middle Miocene 14.8-14.5 Ma ago probably accompanied by enhanced volcanic activity particularly in the rift valley of eastern Africa; the drastically increased influx of interplanetary dust due to the disruption caused by a large asteroid in the late Miocene 8.3 +/- 0.5 Ma ago, the fall of a large (&gt;1 km in diameter) asteroid in the Eltanin Fault zone of the Southern Ocean in the terminal Pliocene 2.15 Ma ago; and the explosion of a supernova star, which was probably responsible for the partial extinction of marine organisms at the Pliocene-Pleistocene transition approximately 2 Ma ago.</t>
  </si>
  <si>
    <t>Russian Acad Sci IO RAN, PP Shirshov Oceanol Inst, Moscow 117997, Russia</t>
  </si>
  <si>
    <t>Barash, MS (corresponding author), Russian Acad Sci IO RAN, PP Shirshov Oceanol Inst, Pr Nakhimovskii 36, Moscow 117997, Russia.</t>
  </si>
  <si>
    <t>barashms@yandex.ru</t>
  </si>
  <si>
    <t>10.1134/S0001437011020019</t>
  </si>
  <si>
    <t>WOS:000298562300013</t>
  </si>
  <si>
    <t>Schreider, AA; Schreider, AA</t>
  </si>
  <si>
    <t>Schreider, Al. A.; Schreider, A. A.</t>
  </si>
  <si>
    <t>Mesozoic Paleomagnetic Anomalies South of Ceylon</t>
  </si>
  <si>
    <t>SPREADING MAGNETIC-ANOMALIES; NORTHEASTERN INDIAN-OCEAN; EAST ANTARCTICA; SRI-LANKA; ENDERBY BASIN; GONDWANALAND; BREAKUP; RECONSTRUCTIONS; MADAGASCAR; TECTONICS</t>
  </si>
  <si>
    <t>Ceylon was one of the connecting continental links in the ensemble of the united Indian and Antarctic continents when Gondwana split up. However, the precise position of Ceylon is still undetermined. Some publications attribute its position to different regions near Enderby Land. The analysis of the linear magnetic anomalies in the Central Basin of the Indian Ocean south of Ceylon and near the Antarctic coast (the Cosmonaut Sea and the Riiser-Larsen Sea) yielded evidence for the position of Ceylon in the ensemble of the Indian and Antarctic continents: it was east of Gunnerus Ridge in the Cosmonaut Sea. The breaking away of Ceylon from Antarctica occurred in the period of chron M11r (136.44-136.90 Ma). Before breaking away, the eastern flank of the Gunnerus Ridge was joined to Ceylon and they formed a united continental block.</t>
  </si>
  <si>
    <t>[Schreider, Al. A.] OOO NIIgazekon, Moscow, Russia; [Schreider, A. A.] Russian Acad Sci, PP Shirshov Oceanol Inst, Moscow, Russia</t>
  </si>
  <si>
    <t>Schreider, AA (corresponding author), OOO NIIgazekon, Moscow, Russia.</t>
  </si>
  <si>
    <t>aschr@ocean.ru; aschr@ocean.ru</t>
  </si>
  <si>
    <t>Sazhneva, Alexandra/HPG-9897-2023</t>
  </si>
  <si>
    <t>10.1134/S0001437011020160</t>
  </si>
  <si>
    <t>WOS:000298562300015</t>
  </si>
  <si>
    <t>Radko, T; Kamenkovich, I</t>
  </si>
  <si>
    <t>Radko, Timour; Kamenkovich, Igor</t>
  </si>
  <si>
    <t>Semi-Adiabatic Model of the Deep Stratification and Meridional Overturning</t>
  </si>
  <si>
    <t>ANTARCTIC CIRCUMPOLAR CURRENT; GLOBAL THERMOHALINE CIRCULATION; WATER-MASS TRANSFORMATION; SOUTHERN-HEMISPHERE WINDS; RESOLUTION OCEAN MODELS; LARGE-SCALE CIRCULATION; VENTILATED THERMOCLINE; DIAPYCNAL DIFFUSION; EDDY TRANSFER; GULF-STREAM</t>
  </si>
  <si>
    <t>An analytical model of the Atlantic deep stratification and meridional overturning circulation is presented that illustrates the dynamic coupling between the Southern Ocean and the midlatitude gyres. The model, expressed here in terms of the two-and-a-half-layer framework, predicts the stratification and meridional transport as a function of the mechanical and thermodynamic forcing at the sea surface. The approach is based on the classical elements of large-scale circulation theory ideal thermocline, inertial western boundary currents, and eddy-controlled Antarctic Circumpolar Current (ACC) models which are combined to produce a consistent three-dimensional view of the global overturning. The analytical tractability is achieved by assuming and subsequently verifying that the pattern of circulation in the model is largely controlled by adiabatic processes: the time-mean and eddy-induced isopycnal advection of buoyancy. The mean stratification of the lower thermocline is determined by the surface forcing in the ACC and, to a lesser extent, by the North Atlantic Deep Water formation rate. Although the vertical small-scale mixing and the diapycnal eddy-flux components can substantially influence the magnitude of overturning, their effect on the net stratification of the midlatitude ocean is surprisingly limited. The analysis in this paper suggests the interpretation of the ACC as an active lateral boundary layer that does not passively adjust to the prescribed large-scale solution but instead forcefully controls the interior pattern.</t>
  </si>
  <si>
    <t>[Radko, Timour] USN, Postgrad Sch, Dept Oceanog, Monterey, CA 93943 USA; [Kamenkovich, Igor] Univ Miami, Rosenstiel Sch Marine &amp; Atmospher Sci, Div Meteorol &amp; Phys Oceanog, Miami, FL 33149 USA</t>
  </si>
  <si>
    <t>United States Department of Defense; United States Navy; Naval Postgraduate School; University of Miami</t>
  </si>
  <si>
    <t>Radko, T (corresponding author), USN, Postgrad Sch, Dept Oceanog, Monterey, CA 93943 USA.</t>
  </si>
  <si>
    <t>tradko@nps.edu</t>
  </si>
  <si>
    <t>Kamenkovich, Igor/AAG-3451-2019</t>
  </si>
  <si>
    <t>Kamenkovich, Igor/0000-0001-6228-5599</t>
  </si>
  <si>
    <t>National Science Foundation [OCE 0623524, OCE 0749723]</t>
  </si>
  <si>
    <t>The authors thank William Dewar, Michael Spall, and reviewers for helpful comments. Support of the National Science Foundation (Grants OCE 0623524 and OCE 0749723) is gratefully acknowledged.</t>
  </si>
  <si>
    <t>10.1175/2010JPO4538.1</t>
  </si>
  <si>
    <t>757AV</t>
  </si>
  <si>
    <t>WOS:000290057200007</t>
  </si>
  <si>
    <t>Hannisdal, B</t>
  </si>
  <si>
    <t>Hannisdal, Bjarte</t>
  </si>
  <si>
    <t>NON-PARAMETRIC INFERENCE OF CAUSAL INTERACTIONS FROM GEOLOGICAL RECORDS</t>
  </si>
  <si>
    <t>AMERICAN JOURNAL OF SCIENCE</t>
  </si>
  <si>
    <t>Information transfer; causality; monsoon; Phanerozoic; Earth system</t>
  </si>
  <si>
    <t>TIME-SERIES; MONSOON RECORD; SR-87/SR-86; GEOCARBSULF; DELTA-O-18; DELTA-C-13; EVOLUTION; SULFUR; CARBON; CAVE</t>
  </si>
  <si>
    <t>Quantification of drive-response relationships from geological records is challenged both by the complexity of the interactions and by indirect and uncertain proxy data. Here I demonstrate the use of information-theoretic techniques to detect causal relationships directly from incomplete and noisy time series. A non-parametric estimate of information transfer (IT) is used to quantify (1) the relative strength of statistical dependence among three variables, including nonlinear relationships, and (2) the directionality of coupling between two variables, compared to surrogate time series. Surrogates preserve the amplitudes and frequencies of the original data, and allow causation to be distinguished from correlation. Simple data pre-processing helps overcome biases related to non-stationarity. Causal inference involves a combination of the two IT calculations, and the method is sufficiently robust to sparse, irregular sampling to have geological applicability. Two case studies highlight some of the possibilities and limitations: (1) IT analysis of oxygen isotope records from Chinese speleothems against ice cores from Greenland and Antarctica suggests time-varying relative influence of the two hemispheres on monsoon intensity over the interval 40 to 10 Ka. IT from the Greenland record dominates except in the deep glacial phase, during which IT from the Antarctic record is more prominent. (2) IT analyses of Phanerozoic seawater isotope ratios capture long-term coupling between temperature (delta O-18) and carbon cycling (delta C-13) and between the cycling of carbon (delta C-13) and sulfur (delta S-34). Results suggest that the delta S-34 record contains an important signal for understanding Phanerozoic Earth system evolution. Although directional IT between proxies cannot be equated with direct causality, the method holds some promise as a data-driven approach to inferring causal interactions from geological records.</t>
  </si>
  <si>
    <t>Univ Bergen, Dept Earth Sci, Ctr Geobiol, N-5007 Bergen, Norway</t>
  </si>
  <si>
    <t>University of Bergen</t>
  </si>
  <si>
    <t>Hannisdal, B (corresponding author), Univ Bergen, Dept Earth Sci, Ctr Geobiol, Allegaten 41, N-5007 Bergen, Norway.</t>
  </si>
  <si>
    <t>bjarte.hannisdal@geo.uib.no</t>
  </si>
  <si>
    <t>AMER JOURNAL SCIENCE</t>
  </si>
  <si>
    <t>YALE UNIV, PO BOX 208109, NEW HAVEN, CT 06520-8109 USA</t>
  </si>
  <si>
    <t>0002-9599</t>
  </si>
  <si>
    <t>1945-452X</t>
  </si>
  <si>
    <t>AM J SCI</t>
  </si>
  <si>
    <t>Am. J. Sci.</t>
  </si>
  <si>
    <t>10.2475/04.2011.02</t>
  </si>
  <si>
    <t>809YS</t>
  </si>
  <si>
    <t>WOS:000294093200002</t>
  </si>
  <si>
    <t>Cuadros, J; Dekov, VM; Arroyo, X; Nieto, F</t>
  </si>
  <si>
    <t>Cuadros, Javier; Dekov, Vesselin M.; Arroyo, Xabier; Nieto, Fernando</t>
  </si>
  <si>
    <t>SMECTITE FORMATION IN SUBMARINE HYDROTHERMAL SEDIMENTS: SAMPLES FROM THE HMS CHALLENGER EXPEDITION (1872-1876)</t>
  </si>
  <si>
    <t>CLAYS AND CLAY MINERALS</t>
  </si>
  <si>
    <t>HMS Challenger; Metalliferous Sediments; Smectite Formation; TEM-AEM</t>
  </si>
  <si>
    <t>ATLANTIS-II DEEP; EAST PACIFIC RISE; METALLIFEROUS SEDIMENTS; CLAY-MINERALS; EPIGENETIC FEATURES; BAUER DEEP; NONTRONITE; ORIGIN; SEA; GEOCHEMISTRY</t>
  </si>
  <si>
    <t>Clay processes, mineral reactions, and element budgets in oceans continue to be important topics for scientific investigation, particularly with respect to understanding better the roles of chemistry, formation mechanism, and input from hydrothermal fluids, seawater, and non-hydrothermal mineral phases. To that end, the present study was undertaken. Three samples of submarine metalliferous sediments of hydrothermal origin were studied to investigate the formation of smectite, usually Fe-rich, which takes place in such environments. The samples are from the historical collection returned by the British HMS Challenger expedition (1872-1876) and kept at the Natural History Museum in London. The samples were collected from the vicinity of the Pacific-Antarctic Ridge and the Chile Ridge. The samples were analyzed by means of X-ray diffraction (XRD), chemical analysis, scanning electron microscopy-energy dispersive X-ray spectroscopy (SEM-EDX), infrared (IR), and transmission electron microscopy-analytical electron microscopy (TEM-AEM). After removal of biogenic calcite the samples appeared to consist mainly of two low-crystallinity phases mixed intimately: Fe/Mn (oxyhydr)oxides and a Si-Al-Mg-Fe phase of similar chemical characteristics to smectite and with variable proportions of the above elements, as indicated by XRD, IR, and SEM-EDX. In particular, analysis by XRD revealed the presence of highly disordered delta-MnO2. The TEM-AEM analysis showed that Fe/MnOOH particles have Fe/Mn ratios in the range 25-0.2 and textures changing from granular to veil-like as the proportion of Mcn increased. The smectite-like material has the morphology and chemistry of smectite, as well as 10-15 angstrom lattice fringes. Selected area electron diffraction (SAED) patterns indicated a very poorly crystalline material: in some cases distances between diffraction rings corresponded to d values of smectite. The smectite composition indicated a main Fe-rich dioctahedral component with a substantial Mg-rich trioctahedral component (total octahedral occupancy between 2.02 and 2.51 atoms per O-10[OH12). The (proto-) smectite is interpreted to have formed within the metalliferous sediment, as a slow reaction between Fe/MnOOH, seawater (providing Mg), detrital silicates from the continent (providing Si and Al), and X-ray amorphous silica of hydrothermal origin that adsorbed on Fe/MnOOH phases and deposited with them. This material is possibly in the process of maturation into well crystallized smectite.</t>
  </si>
  <si>
    <t>[Cuadros, Javier] Nat Hist Museum, Dept Mineral, London SW7 5BD, England; [Dekov, Vesselin M.] Univ Sofia, Dept Geol &amp; Paleontol, Sofia 1000, Bulgaria; [Arroyo, Xabier] Univ Basque Country, Dept Mineral &amp; Petrol, E-48080 Bilbao, Spain; [Arroyo, Xabier; Nieto, Fernando] Univ Granada, CSIC, Dept Mineral &amp; Petrol, Granada 18002, Spain; [Arroyo, Xabier; Nieto, Fernando] Univ Granada, CSIC, IACT, Granada 18002, Spain</t>
  </si>
  <si>
    <t>Natural History Museum London; University of Sofia; University of Basque Country; Consejo Superior de Investigaciones Cientificas (CSIC); University of Granada; University of Granada; Consejo Superior de Investigaciones Cientificas (CSIC); CSIC - Instituto Andaluz de Ciencias de la Tierra (IACT)</t>
  </si>
  <si>
    <t>Cuadros, J (corresponding author), Nat Hist Museum, Dept Mineral, Cromwell Rd, London SW7 5BD, England.</t>
  </si>
  <si>
    <t>j.cuadros@nhm.ac.uk</t>
  </si>
  <si>
    <t>Dekov, Vesselin/IAN-8962-2023; Nieto, Fernando/L-5377-2013</t>
  </si>
  <si>
    <t>Dekov, Vesselin/0000-0002-2369-0337; Nieto, Fernando/0000-0001-6250-056X</t>
  </si>
  <si>
    <t>European Community; Spanish MICINN [CGL2007-66744-C02-01/BTE]</t>
  </si>
  <si>
    <t>European Community; Spanish MICINN(Spanish Government)</t>
  </si>
  <si>
    <t>The authors thank M.M. Abad for technical support with the TEM-AEM analysis, B. Lanson for providing information about the nature of the delta-MnO2 phase, and N. Taitel-Goldman for very helpful advice and discussion at an early stage of the study. They also thank three anonymous reviewers for their helpful comments. This work was partly funded by the 'Synthesys' program of the European Community and Research Project no. CGL2007-66744-C02-01/BTE of the Spanish MICINN.</t>
  </si>
  <si>
    <t>0009-8604</t>
  </si>
  <si>
    <t>1552-8367</t>
  </si>
  <si>
    <t>CLAY CLAY MINER</t>
  </si>
  <si>
    <t>Clay Clay Min.</t>
  </si>
  <si>
    <t>10.1346/CCMN.2011.0590204</t>
  </si>
  <si>
    <t>Chemistry, Physical; Geosciences, Multidisciplinary; Mineralogy; Soil Science</t>
  </si>
  <si>
    <t>Chemistry; Geology; Mineralogy; Agriculture</t>
  </si>
  <si>
    <t>799CH</t>
  </si>
  <si>
    <t>WOS:000293260600004</t>
  </si>
  <si>
    <t>Bulkeley, R</t>
  </si>
  <si>
    <t>Bulkeley, Rip</t>
  </si>
  <si>
    <t>Cold war whaling: Bellingshausen and the Slava flotilla</t>
  </si>
  <si>
    <t>On 7 December 1945 a captured German whaling factory, Wikinger, was allocated to the Soviet Union under the terms of the Potsdam Agreement between that country, the United States and the United Kingdom. In the first section, this article presents the first detailed account of how Wikinger was seized by the Royal Navy and eventually transferred to Soviet ownership. The second section illustrates the hostile attitudes of western governments towards the Slava whaling flotilla during the cold war, and the degree to which their suspicions were focused on the work of scientists assigned to the flotilla. The next four sections trace the fluctuating perceptions and presentations, during the Tsarist and early Soviet periods, of the Imperial Russian Navy's Antarctic expedition of 1819-1821, the problems in respect of Antarctica which confronted Soviet diplomacy and propaganda in the 1940s, and the new story, about Russians having been the first people to discover Antarctica, which was developed in order to address them. It is then possible, in the seventh section, to explain the political utility of the Slava flotilla in the early 1950s. An eighth section sketches the divergent cultural fortunes of the Bellingshausen expedition and the Slava flotilla after the period under consideration. This article discusses the use of whaling and history in support of Soviet Antarctic policy between the end of World War 2 and the International Geophysical Year (IGY) of 1957-1958. But the Slava whaling flotilla did not just play a part in the historicisation of Soviet Antarctic policy. It was itself a historically constituted object, fraught with meanings on both sides of the cold war. For that reason the opportunity is taken to give a more detailed account of the flotilla's origins than has been available hitherto. The author notes that two contributors to this journal have preceded him in some of these matters (Armstrong 1950,1971; Gan 2009). He ventures to suggest, however, that the connections between whaling, historiography and public information management in Soviet Antarctic policy have not been fully demonstrated before this.</t>
  </si>
  <si>
    <t>Bulkeley, R (corresponding author), 38 Lonsdale Rd, Oxford OX2 7EW, England.</t>
  </si>
  <si>
    <t>rip@igy50.net</t>
  </si>
  <si>
    <t>10.1017/S003224741000015X</t>
  </si>
  <si>
    <t>725HG</t>
  </si>
  <si>
    <t>WOS:000287635200003</t>
  </si>
  <si>
    <t>Berlemont, R; Pipers, D; Delsaute, M; Angiono, F; Feller, G; Galleni, M; Power, P</t>
  </si>
  <si>
    <t>Berlemont, Renaud; Pipers, Delphine; Delsaute, Maud; Angiono, Federico; Feller, Georges; Galleni, Moreno; Power, Pablo</t>
  </si>
  <si>
    <t>Exploring the Antarctic soil metagenome as a source of novel cold-adapted enzymes and genetic mobile elements</t>
  </si>
  <si>
    <t>REVISTA ARGENTINA DE MICROBIOLOGIA</t>
  </si>
  <si>
    <t>metagenomics; cellulases; psychrophilic enzymes; integrases; activity-driven metagenomics</t>
  </si>
  <si>
    <t>ENVIRONMENTAL DNA LIBRARIES; FUNCTIONAL METAGENOMICS; UNCULTURED BACTERIA; LIPOLYTIC ENZYMES; ESCHERICHIA-COLI; 16S RDNA; LIPASE; CELLULASE; FAMILY; EXPRESSION</t>
  </si>
  <si>
    <t>Metagenomic library PP1 was obtained from Antarctic soil samples. Both functional and genotypic metagenomic screening were used for the isolation of novel cold-adapted enzymes with potential applications, and for the detection of genetic elements associated with gene mobilization, respectively. Fourteen lipase/esterase-, 14 amylase-, 3 protease-, and 11 cellulase-producing clones were detected by activity-driven screening, with apparent maximum activities around 35 degrees C for both amylolytic and lipolytic enzymes, and 35-55 degrees C for cellulases, as observed for other cold-adapted enzymes. However, the behavior of at least one of the studied cellulases is more compatible to that observed for mesophilic enzymes. These enzymes are usually still active at temperatures above 60 degrees C, probably resulting in a psychrotolerant behavior in Antarctic soils. Metagenomics allows to access novel genes encoding for enzymatic and biophysic properties from almost every environment with potential benefits for biotechnological and industrial applications. Only intl- and tnp-like genes were detected by PCR, encoding for proteins with 58-86%, and 58-73% amino acid identity with known entries, respectively. Two clones, BAC 27A-9 and BAC 14A-5, seem to present unique syntenic organizations, suggesting the occurrence of gene rearrangements that were probably due to evolutionary divergences within the genus or facilitated by the association with transposable elements. The evidence for genetic elements related to recruitment and mobilization of genes (transposons/integrons) in an extreme environment like Antarctica reinforces the hypothesis of the origin of some of the genes disseminated by mobile elements among human-associated microorganisms.</t>
  </si>
  <si>
    <t>[Berlemont, Renaud; Pipers, Delphine; Delsaute, Maud; Galleni, Moreno; Power, Pablo] Univ Liege, Lab Macromol Biol, Ctr Ingn Prot, B-4000 Liege, Belgium; [Feller, Georges] Univ Liege, Biochim Lab, Ctr Ingn Prot, B-4000 Liege, Belgium; [Angiono, Federico; Power, Pablo] Univ Buenos Aires, Lab Resistencia Bacteriana, Fac Farm &amp; Bioquim, RA-1053 Buenos Aires, DF, Argentina</t>
  </si>
  <si>
    <t>University of Liege; University of Liege; University of Buenos Aires</t>
  </si>
  <si>
    <t>Power, P (corresponding author), Univ Liege, Lab Macromol Biol, Ctr Ingn Prot, B-4000 Liege, Belgium.</t>
  </si>
  <si>
    <t>ppower@ffyb.uba.ar</t>
  </si>
  <si>
    <t>Power, Pablo/AAB-4178-2019</t>
  </si>
  <si>
    <t>Power, Pablo/0000-0002-7051-9954; Berlemont, Renaud/0000-0001-9243-5092</t>
  </si>
  <si>
    <t>Belgian Science Policy Office (BELSPO); FNRS (FRFC) [2.4561.07]; CONICET [PIP 11220090100533]</t>
  </si>
  <si>
    <t>Belgian Science Policy Office (BELSPO)(Belgian Federal Science Policy Office); FNRS (FRFC)(Fonds de la Recherche Scientifique - FNRS); CONICET(Consejo Nacional de Investigaciones Cientificas y Tecnicas (CONICET))</t>
  </si>
  <si>
    <t>PP is a member of the Carrera del Investigador Cientifico (CIC) from CONICET, Argentina, and was a recipient of a Postdoctoral fellowship from the Belgian Science Policy Office (BELSPO). This work was mainly supported by a grant from FNRS (FRFC, 2.4561.07) to MG, and partially by a grant from CONICET (PIP 11220090100533) to PP.</t>
  </si>
  <si>
    <t>ASOCIACION ARGENTINA MICROBIOLOGIA</t>
  </si>
  <si>
    <t>BUENOS AIRES</t>
  </si>
  <si>
    <t>BULNES 44 PB B, BUENOS AIRES, 00000, ARGENTINA</t>
  </si>
  <si>
    <t>0325-7541</t>
  </si>
  <si>
    <t>1851-7617</t>
  </si>
  <si>
    <t>REV ARGENT MICROBIOL</t>
  </si>
  <si>
    <t>Rev. Argent. Microbiol.</t>
  </si>
  <si>
    <t>APR-MAY</t>
  </si>
  <si>
    <t>787ZV</t>
  </si>
  <si>
    <t>WOS:000292416100005</t>
  </si>
  <si>
    <t>Moshonkin, SN; Alekseev, GV; Bagno, AV; Gusev, AV; Diansky, NA; Zalesny, VB</t>
  </si>
  <si>
    <t>Moshonkin, S. N.; Alekseev, G. V.; Bagno, A. V.; Gusev, A. V.; Diansky, N. A.; Zalesny, V. B.</t>
  </si>
  <si>
    <t>Numerical simulation of the North Atlantic - Arctic Ocean - Bering Sea circulation in the 20th century</t>
  </si>
  <si>
    <t>RUSSIAN JOURNAL OF NUMERICAL ANALYSIS AND MATHEMATICAL MODELLING</t>
  </si>
  <si>
    <t>A model of the joint circulation of the North Atlantic, the Arctic Ocean, and the Bering Sea is presented with the resolution of 0.25. in latitude and longitude. The numerical technique of solving this problem and the organization of numerical experiments are described. Numerical calculations have been performed using this model for the period of 1958-2006. The results are compared with observation data and with the results of simulation by other models. Model estimates of the evolution of the Atlantic water incoming into the Arctic basin through the Fram Strait and the Barents Sea are presented. A positive trend of Atlantic water incoming into the Arctic basin through the Fram Strait is revealed. The evolution of the fresh water layer thickness in the Beaufort Gyre is considered. Three periods of increased thickness correlated with increased anticyclonic vorticity are pointed out: 1960s, 1980s, and the period from 1999 until now. The evolution of the anticyclonic vorticity is ahead of the changes in the fresh water layer thickness by 1.75 years. Long-term positive trends of fresh water layer thickness and the anticyclonic field vorticity in the Beaufort Gyre have been observed from the middle of 1970s. This period is characterized by a negative model trend of the ice area in the Arctic, which corresponds to observation data.</t>
  </si>
  <si>
    <t>[Moshonkin, S. N.; Bagno, A. V.; Gusev, A. V.; Diansky, N. A.; Zalesny, V. B.] Russian Acad Sci, Inst Numer Math, Moscow 119333, Russia; [Alekseev, G. V.] Arctic &amp; Antarctic Res Inst, St Petersburg 199397, Russia</t>
  </si>
  <si>
    <t>Russian Academy of Sciences; Arctic &amp; Antarctic Research Institute</t>
  </si>
  <si>
    <t>Moshonkin, SN (corresponding author), Russian Acad Sci, Inst Numer Math, Moscow 119333, Russia.</t>
  </si>
  <si>
    <t>Diansky, Nikolay A/R-8307-2018; Gusev, Anatoly/M-4012-2019</t>
  </si>
  <si>
    <t>Gusev, Anatoly/0000-0002-6463-3179; Diansky, Nikolay/0000-0002-6785-1956</t>
  </si>
  <si>
    <t>Russian Foundation for Basic Research [09-05-00266-a, 09-05-00232, 09-05-13545-off, 09-05-01231-a]; Ministry of Science and Education of Russian Federation [GK 14.740.11.0358, 14.740.11.0408, 16.740.11.0359]</t>
  </si>
  <si>
    <t>Russian Foundation for Basic Research(Russian Foundation for Basic Research (RFBR)Spanish Government); Ministry of Science and Education of Russian Federation(Ministry of Education and Science, Russian Federation)</t>
  </si>
  <si>
    <t>The work was supported by the Russian Foundation for Basic Research (projects 09-05-00266-a, 09-05-00232, 09-05-13545-off, and 09-05-01231-a) and by the Ministry of Science and Education of Russian Federation (GK 14.740.11.0358, 14.740.11.0408, 16.740.11.0359).</t>
  </si>
  <si>
    <t>WALTER DE GRUYTER GMBH</t>
  </si>
  <si>
    <t>GENTHINER STRASSE 13, D-10785 BERLIN, GERMANY</t>
  </si>
  <si>
    <t>0927-6467</t>
  </si>
  <si>
    <t>1569-3988</t>
  </si>
  <si>
    <t>RUSS J NUMER ANAL M</t>
  </si>
  <si>
    <t>Russ. J. Numer. Anal. Math. Model</t>
  </si>
  <si>
    <t>10.1515/RJNAMM.2011.009</t>
  </si>
  <si>
    <t>Mathematics, Applied</t>
  </si>
  <si>
    <t>Mathematics</t>
  </si>
  <si>
    <t>780NE</t>
  </si>
  <si>
    <t>WOS:000291863400003</t>
  </si>
  <si>
    <t>Tafforin, C</t>
  </si>
  <si>
    <t>Tafforin, Carole</t>
  </si>
  <si>
    <t>The ethological approach as a new way of investigating behavioural health in the Arctic</t>
  </si>
  <si>
    <t>INTERNATIONAL JOURNAL OF CIRCUMPOLAR HEALTH</t>
  </si>
  <si>
    <t>methods; human ethology; social group; isolated and confined environment (ICE); polar missions; human colonization</t>
  </si>
  <si>
    <t>Objectives. From an interdisciplinary perspective, the goal of our research in human ethology is to investigate the adaptive dynamics of small groups in isolation and confinement with a particular emphasis on unexplored environments, from circumpolar missions on earth to interplanetary missions in space. Study design. The ethological observations were designed to monitor the polar teams on the Subant-arctic islands, the Antarctic continent and the Arctic Ocean. The working hypothesis viewed the periodic changes in the groups' organization as optimal behavioural strategies in extreme living and working conditions. Methods. The general methodological feature is a quantitative description of observable events based on the motor activity of individuals, interactions and communications among individuals and spatial mapping in collective areas. Results. We observed group organization, group disorganization and group reorganization over extended time periods in the polar stations. Cultural grouping and gender-based individualities were observed as well. Focusing on the Tara Expedition in the Arctic, we observed variations in spatial indicators, including inter-individual positions, and in temporal indicators, like collective times, as behavioural strategies for preventing the monotony of social life. Conclusion. The ethological approach, using non-invasive techniques of observation, description and quantification of spontaneous human behaviour, offers an innovative and complementary tool for sociocultural approaches, enhancing the knowledge of contemporary circumpolar micro-societies. With the changing of environmental context, the Arctic natives would undertake changes in their group organization for maintaining their behavioural health. Such social adaptation could be investigated with this new approach in the field. (Int J Circumpolar Health 2011; 70(2):109-112)</t>
  </si>
  <si>
    <t>ETHOSPACE, F-31000 Toulouse, France</t>
  </si>
  <si>
    <t>Tafforin, C (corresponding author), ETHOSPACE, 13 Rue Alsace Lorraine, F-31000 Toulouse, France.</t>
  </si>
  <si>
    <t>ethospace@orange.fr</t>
  </si>
  <si>
    <t>Paul Emile Victor Polar Institute (IPEV); French Space Agency (CNES); European Space Agency (ESA); Tara Expeditions</t>
  </si>
  <si>
    <t>Paul Emile Victor Polar Institute (IPEV); French Space Agency (CNES)(Centre National D'etudes Spatiales); European Space Agency (ESA)(European Space Agency); Tara Expeditions</t>
  </si>
  <si>
    <t>The Paul Emile Victor Polar Institute (IPEV), the French Space Agency (CNES), the European Space Agency (ESA) and Tara Expeditions supported this research.</t>
  </si>
  <si>
    <t>INT ASSOC CIRCUMPOLAR HEALTH PUBL</t>
  </si>
  <si>
    <t>OULU</t>
  </si>
  <si>
    <t>AAPISTIE1, OULU, FIN-90220, FINLAND</t>
  </si>
  <si>
    <t>1239-9736</t>
  </si>
  <si>
    <t>INT J CIRCUMPOL HEAL</t>
  </si>
  <si>
    <t>Int. J. Circumpolar Health</t>
  </si>
  <si>
    <t>10.3402/ijch.v70i2.17812</t>
  </si>
  <si>
    <t>Public, Environmental &amp; Occupational Health</t>
  </si>
  <si>
    <t>773VQ</t>
  </si>
  <si>
    <t>WOS:000291339800002</t>
  </si>
  <si>
    <t>Alvarez-Solas, J; Charbit, S; Ramstein, G; Paillard, D; Dumas, C; Ritz, C; Roche, DM</t>
  </si>
  <si>
    <t>Alvarez-Solas, Jorge; Charbit, Sylvie; Ramstein, Gilles; Paillard, Didier; Dumas, Christophe; Ritz, Catherine; Roche, Didier M.</t>
  </si>
  <si>
    <t>Millennial-scale oscillations in the Southern Ocean in response to atmospheric CO2 increase</t>
  </si>
  <si>
    <t>millennial oscillations; climate variability; abrupt change; global warming; ice sheets; ocean behaviour; Southern Ocean</t>
  </si>
  <si>
    <t>ANTARCTIC ICE-SHEET; COUPLED CLIMATE; THERMOHALINE CIRCULATION; INTERMEDIATE COMPLEXITY; MULTIPLE EQUILIBRIA; RAPID TRANSITIONS; SYSTEM MODEL; NORTH; VARIABILITY; EVOLUTION</t>
  </si>
  <si>
    <t>A coupled climate-ice-sheet model is used to investigate the response of climate at the millennial time scale under several global warming long-term scenarios, stabilized at different levels ranging from 2 to 7 times the pre-industrial CO2 level. The climate response is mainly analyzed in terms of changes in temperature, oceanic circulation, and ice-sheet behaviour. For the 4 x CO2 scenario, the climate response appears to be highly non-linear: abrupt transitions occur in the Southern Ocean deep water formation strength with a period of about 1200 yr. These millennial oscillations do not occur for both lower and larger CO2 levels. We show that these transitions are associated with internal oscillations of the Southern Ocean, triggered by the Antarctic freshwater budget. We first analyse the oscillatory mechanism. Secondly, through a series of 420 sensitivity experiments we also explore the range of temperature and freshwater flux for which such oscillations can be triggered. (C) 2010 Elsevier B.V. All rights reserved.</t>
  </si>
  <si>
    <t>[Alvarez-Solas, Jorge; Charbit, Sylvie; Ramstein, Gilles; Paillard, Didier; Dumas, Christophe; Roche, Didier M.] CEA Saclay, Lab Sci Climat &amp; Environm, F-91191 Gif Sur Yvette, France; [Ritz, Catherine] UJF Grenoble 1, CNRS, LGGE UMR 5183, Lab Glaciol &amp; Geophys Environm, F-38041 Grenoble, France</t>
  </si>
  <si>
    <t>CEA; Centre National de la Recherche Scientifique (CNRS); Universite Paris Saclay; Communaute Universite Grenoble Alpes; Universite Grenoble Alpes (UGA); Centre National de la Recherche Scientifique (CNRS)</t>
  </si>
  <si>
    <t>Alvarez-Solas, J (corresponding author), CEA Saclay, Lab Sci Climat &amp; Environm, F-91191 Gif Sur Yvette, France.</t>
  </si>
  <si>
    <t>jorge.alvarez-solas@lsce.ipsl.fr</t>
  </si>
  <si>
    <t>Charbit, Sylvie/X-5466-2019; Ramstein, Gilles/L-3328-2014; Roche, Didier M./C-9875-2010; Paillard, Didier/G-4776-2012</t>
  </si>
  <si>
    <t>Ramstein, Gilles/0000-0002-1522-917X; Roche, Didier M./0000-0001-6272-9428; Paillard, Didier/0000-0002-9995-2794; Ritz, Catherine/0000-0003-0785-8571</t>
  </si>
  <si>
    <t>LEFE/CASTOR; ANR/IDEGLACE; Research Training Network NICE; INSU/CNRS</t>
  </si>
  <si>
    <t>LEFE/CASTOR; ANR/IDEGLACE(Agence Nationale de la Recherche (ANR)); Research Training Network NICE; INSU/CNRS(Centre National de la Recherche Scientifique (CNRS))</t>
  </si>
  <si>
    <t>We are very grateful to the editor and to three anonymous referees who helped us to improve the manuscript. We also thank Masa Kageyama, Yannick Donnadieu, Marisa Montoya and Frank Pattyn for the many stimulating and fruitful discussions in the field. This work is supported by the French nationals LEFE/CASTOR and ANR/IDEGLACE projects and by the Research Training Network NICE. Didier M. Roche and Catherine Ritz are supported by INSU/CNRS.</t>
  </si>
  <si>
    <t>10.1016/j.gloplacha.2010.12.004</t>
  </si>
  <si>
    <t>770FE</t>
  </si>
  <si>
    <t>WOS:000291071600003</t>
  </si>
  <si>
    <t>Bruns, T; Lehner, S; Li, XM; Hessner, K; Rosenthal, W</t>
  </si>
  <si>
    <t>Bruns, Thomas; Lehner, Susanne; Li, Xiao-Ming; Hessner, Katrin; Rosenthal, Wolfgang</t>
  </si>
  <si>
    <t>Analysis of an Event of Parametric Rolling Onboard RV Polarstern Based on Shipborne Wave Radar and Satellite Data</t>
  </si>
  <si>
    <t>IEEE JOURNAL OF OCEANIC ENGINEERING</t>
  </si>
  <si>
    <t>Ocean surface waves; parametric rolling; shipborne wave radar; synthetic aperture radar</t>
  </si>
  <si>
    <t>During the Antarctic summer season 2008/2009 the wave radar system WaMoS II was installed onboard of the German research vessel Polarstern. The purpose was to collect quasi-in situ data for the comparison with satellite-borne SAR and altimeter instruments (Envisat, TerraSAR-X, Jason). The experiment was part of the German research project DeMarine-Security. On 7 March 2009 in the central South Atlantic Ocean, Polarstern was heading towards Punta Arenas against a rough cross sea. In the night, a sudden event of heavy rolling, i.e., an oscillation about its length axis, hit the vessel and lasted for a few minutes. Using WaMoS II data, as well as ENVISAT and wave model data, we investigate the conditions under which the event occurred. It is shown that the rolling was caused by a parametric resonance when the period of encounter came close to one half of the vessels's natural rolling period. We conclude that an onboard wave radar can be helpful in diagnosing and forecasting critical conditions.</t>
  </si>
  <si>
    <t>[Bruns, Thomas] Deutsch Wetterdienst DWD, D-20359 Hamburg, Germany; [Lehner, Susanne; Li, Xiao-Ming] Deutsch Zentrum Luft &amp; Raumfahrt DLR, Inst Method Fernerkundung, D-82230 Wessling, Germany; [Hessner, Katrin] OceanWaveS GmbH, D-21339 Luneburg, Germany; [Rosenthal, Wolfgang] GAUSS mbH, D-28199 Bremen, Germany</t>
  </si>
  <si>
    <t>Deutscher Wetterdienst; Helmholtz Association; German Aerospace Centre (DLR)</t>
  </si>
  <si>
    <t>Bruns, T (corresponding author), Deutsch Wetterdienst DWD, Bernhard Nocht Str 76, D-20359 Hamburg, Germany.</t>
  </si>
  <si>
    <t>thomas.bruns@dwd.de; susanne.lehner@dlr.de; xiao.li@dlr.de; hessner@oceanwaves.de; wolfgang.rosenthal@gkss.de</t>
  </si>
  <si>
    <t>LI, XIAOMING/AAD-8683-2020</t>
  </si>
  <si>
    <t>LI, XIAOMING/0000-0001-5009-5413</t>
  </si>
  <si>
    <t>German Ministry of Economy</t>
  </si>
  <si>
    <t>The Project DeMarine-Security was financed by the German Ministry of Economy and supervised by DLR-Agency.</t>
  </si>
  <si>
    <t>IEEE-INST ELECTRICAL ELECTRONICS ENGINEERS INC</t>
  </si>
  <si>
    <t>PISCATAWAY</t>
  </si>
  <si>
    <t>445 HOES LANE, PISCATAWAY, NJ 08855-4141 USA</t>
  </si>
  <si>
    <t>0364-9059</t>
  </si>
  <si>
    <t>IEEE J OCEANIC ENG</t>
  </si>
  <si>
    <t>IEEE J. Ocean. Eng.</t>
  </si>
  <si>
    <t>10.1109/JOE.2011.2129630</t>
  </si>
  <si>
    <t>Engineering, Civil; Engineering, Ocean; Engineering, Electrical &amp; Electronic; Oceanography</t>
  </si>
  <si>
    <t>769US</t>
  </si>
  <si>
    <t>WOS:000291044400017</t>
  </si>
  <si>
    <t>Povinec, PP; Aoyama, M; Fukasawa, M; Hirose, K; Komura, K; Sanchez-Cabeza, JA; Gastaud, J; Jeskovsky, M; Levy, I; Sykora, I</t>
  </si>
  <si>
    <t>Povinec, P. P.; Aoyama, M.; Fukasawa, M.; Hirose, K.; Komura, K.; Sanchez-Cabeza, J. -A.; Gastaud, J.; Jeskovsky, M.; Levy, I.; Sykora, I.</t>
  </si>
  <si>
    <t>137Cs water profiles in the South Indian Ocean - An evidence for accumulation of pollutants in the subtropical gyre</t>
  </si>
  <si>
    <t>PROGRESS IN OCEANOGRAPHY</t>
  </si>
  <si>
    <t>GENERAL-CIRCULATION MODEL; ANTARCTIC BOTTOM WATER; WESTERN NORTH PACIFIC; SEAWATER SAMPLES; SURFACE WATERS; UNDERGROUND FACILITY; FANGATAUFA ATOLLS; ARABIAN SEA; RADIONUCLIDES; SR-90</t>
  </si>
  <si>
    <t>The Cs-137 seawater transect along the 20 degrees S latitude in the Indian Ocean, sampled during the round the globe BEAGLE2003 (Blue Ocean Global Expedition) clearly shows a presence of two cores of higher Cs-137 concentrations at 100 degrees E and 55 degrees E in water column depths between 100 and 200 m. The subsurface maximum of Cs-137 activity concentration (2.1 mBq/L) observed near 100 degrees E is the highest level found in southern hemisphere seawater, which is comparable to the maximum Cs-137 concentration observed in North Pacific surface water. This transect represents the first high density sight of Cs-137 distribution in South Indian Ocean waters. The estimated Cs-137 water column inventories (up to 1240 Bq/m(2)), normalized for the 1000 m water depth along the 20 degrees S latitude are by a factor of three higher than would be expected from global fallout in the South Indian Ocean. The estimated residence time of Cs-137 in surface waters of the South Indian Ocean (similar to 30 years) is by about a factor of two higher than for the North Pacific. The Cs-137 data confirm a transport of surface waters from the North Pacific via Indonesian seas to the South Indian Ocean, and to the subtropical gyre. The subtropical gyre is an important reservoir of anthropogenic pollutants that have been transported from the North Pacific and Indian Oceans to the south on a time-scale of several decades. (C) 2010 Elsevier Ltd. All rights reserved.</t>
  </si>
  <si>
    <t>[Povinec, P. P.; Jeskovsky, M.; Sykora, I.] Comenius Univ, Fac Math Phys &amp; Informat, SK-84248 Bratislava, Slovakia; [Aoyama, M.; Hirose, K.] Meteorol Res Inst, Dept Geochem, Tsukuba, Ibaraki 3050052, Japan; [Fukasawa, M.] Japan Agcy Marine Earth Sci &amp; Technol, Inst Observat Res Global Change, Yokosuka, Kanagawa 2370061, Japan; [Komura, K.] Kanazawa Univ, Low Level Radioact Lab, Nomi, Ishikawa 9231224, Japan; [Sanchez-Cabeza, J. -A.; Gastaud, J.; Levy, I.] IAEA, Marine Environm Labs, MC-98000 Monaco, Monaco; [Hirose, K.] Sophia Univ, Fac Sci &amp; Technol, Chiyoda Ku, Tokyo 1028554, Japan</t>
  </si>
  <si>
    <t>Comenius University Bratislava; Meteorological Research Institute - Japan; Japan Agency for Marine-Earth Science &amp; Technology (JAMSTEC); Kanazawa University; Sophia University</t>
  </si>
  <si>
    <t>Povinec, PP (corresponding author), Comenius Univ, Fac Math Phys &amp; Informat, Mlynska Dolina F-1, SK-84248 Bratislava, Slovakia.</t>
  </si>
  <si>
    <t>povinec@fmph.uniba.sk</t>
  </si>
  <si>
    <t>Ješkovský, Miroslav/AAZ-7169-2021; Aoyama, Michio/G-6169-2010; Povinec, Pavel P/R-4682-2018; Sanchez-Cabeza, Joan-Albert/Q-2394-2016</t>
  </si>
  <si>
    <t>Ješkovský, Miroslav/0000-0001-6722-4955; Sanchez-Cabeza, Joan-Albert/0000-0002-3540-1168; Aoyama, Michio/0000-0003-0362-7602; Povinec, Pavel/0000-0003-0275-794X</t>
  </si>
  <si>
    <t>Ministry of Education, Culture, Sports, Science and Technology (MEXT) of Japan; MEXT [18310017]; Government of the Principality of Monaco; Grants-in-Aid for Scientific Research [18310017] Funding Source: KAKEN</t>
  </si>
  <si>
    <t>Ministry of Education, Culture, Sports, Science and Technology (MEXT) of Japan(Ministry of Education, Culture, Sports, Science and Technology, Japan (MEXT)); MEXT(Ministry of Education, Culture, Sports, Science and Technology, Japan (MEXT)); Government of the Principality of Monaco; Grants-in-Aid for Scientific Research(Ministry of Education, Culture, Sports, Science and Technology, Japan (MEXT)Japan Society for the Promotion of ScienceGrants-in-Aid for Scientific Research (KAKENHI))</t>
  </si>
  <si>
    <t>The authors are grateful to Dr. B. Oregioni for assistance during water sampling. The Captain and the crew of the R/V Mirai and staffs of Marine Works Japan, Ltd. are acknowledged for their assistance during the BEAGLE2003 cruise. This work was supported by a grant from Ministry of Education, Culture, Sports, Science and Technology (MEXT) of Japan (to MA and KH), and by a Grant-in-Aid for Science Research (KAKENHI 18310017) of the MEXT (to KH, MA, JASC and PPP). We also thank MRI, LLRL, UNIBA and IAEA-MEL for support during sampling, preparation of samples and sample analyses. The International Atomic Energy Agency is grateful to the Government of the Principality of Monaco for support provided to its Marine Environment Laboratories. Three anonymous reviewers are acknowledged for stimulating comments which help to improve the manuscript.</t>
  </si>
  <si>
    <t>0079-6611</t>
  </si>
  <si>
    <t>PROG OCEANOGR</t>
  </si>
  <si>
    <t>Prog. Oceanogr.</t>
  </si>
  <si>
    <t>APR-JUN</t>
  </si>
  <si>
    <t>10.1016/j.pocean.2010.12.004</t>
  </si>
  <si>
    <t>768IY</t>
  </si>
  <si>
    <t>WOS:000290928800003</t>
  </si>
  <si>
    <t>Katsumata, K; Fukasawa, M</t>
  </si>
  <si>
    <t>Katsumata, K.; Fukasawa, M.</t>
  </si>
  <si>
    <t>Changes in meridional fluxes and water properties in the Southern Hemisphere subtropical oceans between 1992/1995 and 2003/2004</t>
  </si>
  <si>
    <t>TRANSPACIFIC HYDROGRAPHIC SECTIONS; WOCE-I10/IR6 THROUGHFLOW SECTIONS; TOTAL GEOSTROPHIC CIRCULATION; 43 DEGREES S; INDIAN-OCEAN; OVERTURNING CIRCULATION; INDONESIAN THROUGHFLOW; PACIFIC-OCEAN; BOTTOM WATER; FRESH-WATER</t>
  </si>
  <si>
    <t>As part of the WOCE (World Ocean Circulation Experiment) Hydrographic Programme (WHP), nominally zonal lines across the subtropical gyres in the Southern Hemisphere oceans were occupied from 1992 to 1995: line P06 (nominally along 32.5 degrees S in the Pacific Ocean), A10 (along 30 degrees S in the Atlantic Ocean), and I03 and I04 (along 20 degrees S in the Indian Ocean). These lines were revisited from 2003 to 2004 to examine changes in circulation and water properties over the 8- to 12-year interval between visits. A simple comparison of the two hydrographic sections would be affected by variations with time scales shorter than the interval between visits even in the deep ocean, so two ocean global circulation models, OFES and SODA, were employed to study meridional flux changes. A time series of the heat flux across the latitude circle 32.5 degrees S from 1980 to 2005 shows moderate negative correlations (with the correlation coefficient r = -0.5 to -0.6) with the Southern Oscillation Index. A composite study shows that during El Nino years, the westerly jet just south of 32.5 degrees S in the Pacific shifts northward, resulting in a northward Ekman temperature transport anomaly, and thus weaker southward temperature transport. The transport variations also show moderate negative correlations (r = -0.4 to -0.6) with the Southern Annular Mode Index. A similar composite study shows that during positive Southern Annular Mode Index years, the Ekman pumping anomaly around 32.5 degrees S spins down the wind-driven gyre over the South Indian and South Pacific oceans, causing a southward transport anomaly. The Atlantic transport is not sensitive to either index. An Ekman transport anomaly in the South Indian Ocean also contributes to the southward transport anomaly. The salt transports are correlated negatively with the Southern Oscillation Index which is similarly explained by the Ekman transport, but the relationship between the salt transport and the Southern Annular Mode Index remains unknown. The substantial seasonal or higher-frequency variations are filtered out by comparing the water properties on neutral density surfaces. Along the South Pacific P06 line, Subantarctic Mode Water on gamma = 26.8 (the neutral density surface of 1026.8 kg m(-3)) becomes cooler and fresher by up to 0.2 degrees C and 0.04 psu (practical salinity unit). The property changes are largest in the Chile Basin and smallest in the Tasman Sea. In the deep Southwest Pacific Basin, a small but statistically significant freshening of 0.002 psu was found in the Circumpolar Deep Water (gamma = 28.11). Along the South Atlantic A10 line, Subantarctic Mode Water and Antarctic Intermediate Water were found warmer and saltier to the east of the Mid-Atlantic Ridge (e.g. by 0.2 degrees C and 0.05 psu on gamma = 26.8; 0.1 degrees C and 0.02 psu on gamma = 27.4). North Atlantic Deep Water and Antarctic Bottom Water were found warmer and saltier particularly in the Argentine Basin (e.g. by 0.02 degrees C and 0.004 psu on gamma = 28.0; 0.01 degrees C and 0.002 psu on gamma = 28.2). Along the south Indian I03/I04 lines, Subantarctic Mode Water was found warmer and saltier to the west of 95 degrees E (e.g. by 0.2 degrees C and 0.05 psu on gamma = 26.8) and cooler and fresher to the east (e.g. a difference of -0.2 degrees C and -0.05 psu on gamma = 26.8). (C) 2010 Elsevier Ltd. All rights reserved.</t>
  </si>
  <si>
    <t>[Katsumata, K.; Fukasawa, M.] JAMSTEC, Res Inst Global Change, Yokosuka, Kanagawa 2370061, Japan</t>
  </si>
  <si>
    <t>Japan Agency for Marine-Earth Science &amp; Technology (JAMSTEC)</t>
  </si>
  <si>
    <t>Katsumata, K (corresponding author), JAMSTEC, Res Inst Global Change, Yokosuka, Kanagawa 2370061, Japan.</t>
  </si>
  <si>
    <t>k.katsumata@jamstec.go.jp</t>
  </si>
  <si>
    <t>Katsumata, Katsuro/AAR-5034-2020</t>
  </si>
  <si>
    <t>Katsumata, Katsuro/0000-0002-4683-7610</t>
  </si>
  <si>
    <t>10.1016/j.pocean.2010.12.008</t>
  </si>
  <si>
    <t>WOS:000290928800007</t>
  </si>
  <si>
    <t>Papetti, C; Marino, IAM; Agostini, C; Bisol, PM; Patarnello, T; Zane, L</t>
  </si>
  <si>
    <t>Papetti, Chiara; Marino, Ilaria Anna Maria; Agostini, Cecilia; Bisol, Paolo Maria; Patarnello, Tomaso; Zane, Lorenzo</t>
  </si>
  <si>
    <t>Characterization of novel microsatellite markers in the Antarctic silverfish Pleuragramma antarcticum and cross species amplification in other Notothenioidei</t>
  </si>
  <si>
    <t>CONSERVATION GENETICS RESOURCES</t>
  </si>
  <si>
    <t>Pleuragramma antarcticum; Antarctic silverfish; Notothenioidei; Southern Ocean; Microsatellite; FIASCO protocol</t>
  </si>
  <si>
    <t>EARLY-LIFE STAGES; DNA MARKERS; ROSS SEA; ALLELES</t>
  </si>
  <si>
    <t>We characterized nine polymorphic microsatellites by an enriched library from the Antarctic silverfish Pleuragramma antarcticum, a key species in the high Antarctic zone of the Southern Ocean. The number of alleles scored ranged from 7 to 39, whereas the observed and expected heterozygosity ranged from 0.4000 to 0.9750 and from 0.3943 to 0.9782, respectively. Cross-amplification was tested in the 3 species of the genus Chionodraco (Channichthyidae). These new microsatellites could potentially be useful in further investigations on P. antarcticum for which many questions on population structure and exposition to global environment change are still open to debate.</t>
  </si>
  <si>
    <t>[Papetti, Chiara; Marino, Ilaria Anna Maria; Agostini, Cecilia; Bisol, Paolo Maria; Zane, Lorenzo] Univ Padua, Dept Biol, I-35121 Padua, Italy; [Patarnello, Tomaso] Univ Padua, Dept Publ Hlth Comparat Pathol &amp; Vet Hygene, I-35020 Legnaro, Pd, Italy</t>
  </si>
  <si>
    <t>University of Padua; University of Padua</t>
  </si>
  <si>
    <t>Zane, L (corresponding author), Univ Padua, Dept Biol, Via U Bassi 58-B, I-35121 Padua, Italy.</t>
  </si>
  <si>
    <t>lorenz@bio.unipd.it</t>
  </si>
  <si>
    <t>Marino, Ilaria/JFK-4053-2023; Zane, Lorenzo/G-6249-2010</t>
  </si>
  <si>
    <t>Zane, Lorenzo/0000-0002-6963-2132; Papetti, Chiara/0000-0002-4567-459X; PATARNELLO, Tomaso/0000-0003-1794-5791</t>
  </si>
  <si>
    <t>Italian Antarctic Research Programme (PNRA); National Science Foundation [0741348]</t>
  </si>
  <si>
    <t>Italian Antarctic Research Programme (PNRA); National Science Foundation(National Science Foundation (NSF))</t>
  </si>
  <si>
    <t>This work was supported by the Italian Antarctic Research Programme (PNRA) and by National Science Foundation (award number 0741348). We thank Prof. S. Greco for samples collection during the 5th Italian expedition, PNRA, V. Varotto for samples collection during the 11th and 13th Italian expeditions, PNRA and Dr. K. H. Kock and AWI (Alfred-Wegener-Institute fur Polar und Meeresforschung) who collected the 1996 sample during the ANT-XIV/2 Polarstern Cruise.</t>
  </si>
  <si>
    <t>1877-7252</t>
  </si>
  <si>
    <t>1877-7260</t>
  </si>
  <si>
    <t>CONSERV GENET RESOUR</t>
  </si>
  <si>
    <t>Conserv. Genet. Resour.</t>
  </si>
  <si>
    <t>10.1007/s12686-010-9336-9</t>
  </si>
  <si>
    <t>Biodiversity Conservation; Genetics &amp; Heredity</t>
  </si>
  <si>
    <t>Biodiversity &amp; Conservation; Genetics &amp; Heredity</t>
  </si>
  <si>
    <t>761YG</t>
  </si>
  <si>
    <t>WOS:000290438700016</t>
  </si>
  <si>
    <t>Groenewald, CW; Born, C; Chown, SL; van Vuuren, BJ</t>
  </si>
  <si>
    <t>Groenewald, C. W.; Born, C.; Chown, S. L.; van Vuuren, B. Jansen</t>
  </si>
  <si>
    <t>Development of a microsatellite library for the flightless moth Pringleophaga marioni Viette (Lepidoptera: Tineidae)</t>
  </si>
  <si>
    <t>Flightless moth; Microsatellite; Fiasco method; Sub-Antarctic; Marion Island</t>
  </si>
  <si>
    <t>SUB-ANTARCTIC ISLAND; MACROINVERTEBRATES</t>
  </si>
  <si>
    <t>Fifteen microsatellite markers were isolated from an enriched microsatellite library developed specifically for Pringleophaga marioni, a flightless moth species from the sub-Antarctic Prince Edward Islands. Of these, 12 markers were polymorphic in a population of 44 individuals collected on Marion Island. Between 2 and 7 alleles were amplified per marker and the expected heterozygosities (H(E)) for these ranged from 0.046 to 0.753. These microsatellite markers reported here are the first for P. marioni and will be used to investigate conservation genetic aspects of this species on the Prince Edward Islands.</t>
  </si>
  <si>
    <t>[Groenewald, C. W.; Born, C.; van Vuuren, B. Jansen] Univ Stellenbosch, Dept Bot &amp; Zool, Evolutionary Genom Grp, ZA-7602 Stellenbosch, South Africa; [Groenewald, C. W.; Chown, S. L.; van Vuuren, B. Jansen] Univ Stellenbosch, Dept Bot &amp; Zool, Ctr Invas Biol, ZA-7602 Stellenbosch, South Africa</t>
  </si>
  <si>
    <t>van Vuuren, BJ (corresponding author), Univ Stellenbosch, Dept Bot &amp; Zool, Evolutionary Genom Grp, Private Bag X1, ZA-7602 Stellenbosch, South Africa.</t>
  </si>
  <si>
    <t>Born, Céline/F-8385-2011; Chown, Steven/ABD-7646-2021; Jansen van Vuuren, Bettine/E-6227-2013; Chown, Steven/H-3347-2011</t>
  </si>
  <si>
    <t>Jansen van Vuuren, Bettine/0000-0002-5334-5358; Chown, Steven/0000-0001-6069-5105</t>
  </si>
  <si>
    <t>NRF/SANAP [Gun 206954]</t>
  </si>
  <si>
    <t>NRF/SANAP</t>
  </si>
  <si>
    <t>The work was supported by a NRF/SANAP grant to BvV (Gun 206954). The Central Analytical Facility at Stellenbosch University is acknowledged for genotyping work.</t>
  </si>
  <si>
    <t>10.1007/s12686-010-9344-9</t>
  </si>
  <si>
    <t>WOS:000290438700024</t>
  </si>
  <si>
    <t>Jana, PK; Saha, I; Mukhopadhyay, S</t>
  </si>
  <si>
    <t>Jana, P. K.; Saha, I.; Mukhopadhyay, S.</t>
  </si>
  <si>
    <t>Long-term ozone decline and its effect on night airglow intensity of Li 6708 Å at Varanasi (25°N, 83°E) and Halley Bay (76°S, 27°W)</t>
  </si>
  <si>
    <t>Ozone depletion; airglow emission; excitation mechanism; intensity</t>
  </si>
  <si>
    <t>GALACTIC COSMIC-RAYS; BERYLLIUM; DEPLETION; EMISSION</t>
  </si>
  <si>
    <t>A critical analysis has been made on the long-term yearly and seasonal variations of ozone concentration at Varanasi (25 degrees N, 83 degrees E), India and Halley Bay (76 degrees S, 27 degrees W), a British Antarctic Service Station. The effect of O-3 depletion on night airglow emission of Li 6708 angstrom line at Varanasi and Halley Bay has been studied. Calculations based on chemical kinetics show that the airglow intensity of Li 6708 angstrom line has also been affected due to the depletion of O-3 concentration. The yearly variations and seasonal variations of intensities of Li 6708 angstrom line for the above two stations are shown and compared. It has been shown that the rate of decrease of intensity of Li 6708 angstrom line was comparatively more at Halley Bay due to dramatic decrease of Antarctic O-3 concentration.</t>
  </si>
  <si>
    <t>[Jana, P. K.] Govt Coll Educ, Dept Chem, Banipur 743233, Parganas, India; [Saha, I.] Metia High Sch HS, Dept Chem, Basirhat 743437, Parganas, India; [Mukhopadhyay, S.] Jadavpur Univ, Dept Chem, Kolkata 700032, India</t>
  </si>
  <si>
    <t>Jadavpur University</t>
  </si>
  <si>
    <t>Jana, PK (corresponding author), Govt Coll Educ, Dept Chem, North 24, Banipur 743233, Parganas, India.</t>
  </si>
  <si>
    <t>pkjjngl@yahoo.co.in</t>
  </si>
  <si>
    <t>2347-4327</t>
  </si>
  <si>
    <t>0973-774X</t>
  </si>
  <si>
    <t>10.1007/s12040-011-0047-8</t>
  </si>
  <si>
    <t>766TW</t>
  </si>
  <si>
    <t>WOS:000290810400010</t>
  </si>
  <si>
    <t>Oza, SR; Singh, RKK; Vyas, NK; Sarkar, A</t>
  </si>
  <si>
    <t>Oza, S. R.; Singh, R. K. K.; Vyas, N. K.; Sarkar, Abhijit</t>
  </si>
  <si>
    <t>Study of inter-annual variations in surface melting over Amery Ice Shelf, East Antarctica, using space-borne scatterometer data</t>
  </si>
  <si>
    <t>Amery Ice Shelf; Ku-band scatterometer; melting index; climate change</t>
  </si>
  <si>
    <t>MASS-BALANCE; DURATION; SNOWMELT; VARIABILITY; GREENLAND; CAPS</t>
  </si>
  <si>
    <t>The widespread retreat of glaciers can be considered as a response to the climate change. Being the largest retreating glacier-ice shelf system in East Antarctica, the Amery Ice Shelf-Lambert Glacier system plays an important role in contributing to sea level rise as well as the surrounding environment and climate. The present study is focused on the investigation of surface melting over the ice shelf using QuikSCAT Ku-band scatterometer data for more than 100 months covering the period from January 2000 to July 2009. The corresponding weather data of Davis Station was obtained from the website of Australian Antarctic Division. Very prominent dips in the backscatter observed in the month of January form a distinct signature caused by physical process of significant melting of the ice/snow surface. The steep increase again in February is attributed to the initiation of the freezing phenomenon. The derived melting index compared well with the passive microwave-based melting index derived by other researchers. A strong relationship was found between the scatterometer-derived melting index and the cumulative monthly mean air temperature. The highest melting was observed in the summer (January) of 2004, and thereafter gradual cooling appeared to take place in the subsequent years. The snow pack thickness, inferred from the backscatter variations, was found to be higher during winters (June) of 2004 and 2005, compared with other years.</t>
  </si>
  <si>
    <t>[Oza, S. R.; Singh, R. K. K.; Vyas, N. K.; Sarkar, Abhijit] Indian Space Res Org, Ctr Space Applicat, Ahmadabad 380015, Gujarat, India</t>
  </si>
  <si>
    <t>Oza, SR (corresponding author), Indian Space Res Org, Ctr Space Applicat, Ahmadabad 380015, Gujarat, India.</t>
  </si>
  <si>
    <t>MOSDAC/SAC</t>
  </si>
  <si>
    <t>The authors are grateful to Dr R R Navalgund, SAC/ISRO, for his constant encouragement and guidance to carry out the activities in the field of polar science. The suggestions and critical review provided by Dr J S Parihar, Dr P K Pal and Dr M Chakraborty (SAC) are gratefully acknowledged. The support provided by the MOSDAC/SAC team in the compilation of required data is highly acknowledged. The authors, especially, S R Oza and R K K Singh, would like to gratefully acknowledge the Director, NCAOR, for providing opportunity to study the polar ice dynamics in Indian Scientific Expedition to Antarctica. The guidance on ice processes provided by Dr A Ganju, SASE, during the 28th expedition is deeply acknowledged. The valuable comments and suggestions provided by the Editor, JESS, and the anonymous reviewers are thankfully acknowledged.</t>
  </si>
  <si>
    <t>10.1007/s12040-011-0055-8</t>
  </si>
  <si>
    <t>WOS:000290810400014</t>
  </si>
  <si>
    <t>Antarctic ice sheet grows from below</t>
  </si>
  <si>
    <t>767GH</t>
  </si>
  <si>
    <t>WOS:000290842800009</t>
  </si>
  <si>
    <t>Guidetti, R; Altiero, T; Bertolani, R; Grazioso, P; Rebecchi, L</t>
  </si>
  <si>
    <t>Guidetti, Roberto; Altiero, Tiziana; Bertolani, Roberto; Grazioso, Pasqualina; Rebecchi, Lorena</t>
  </si>
  <si>
    <t>Survival of freezing by hydrated tardigrades inhabiting terrestrial and freshwater habitats</t>
  </si>
  <si>
    <t>Adaptive strategy; Anhydrobiosis; Cryobiosis; Cooling rate; Tardigrada</t>
  </si>
  <si>
    <t>TERM ANHYDROBIOTIC SURVIVAL; DRONNING-MAUD-LAND; ADORYBIOTUS-CORONIFER; DESICCATION TOLERANCE; COLD TOLERANCE; ANTARCTIC NEMATODE; EMBRYONIC STAGES; ICE FORMATION; CRYPTOBIOSIS; CYCLOMORPHOSIS</t>
  </si>
  <si>
    <t>The seasonality and unpredictability of environmental conditions at high altitudes and latitudes govern the life cycle patterns of organisms, giving rise to stresses that cause death or development of specific adaptations. Ice formation is a major variable affecting the survival of both freshwater fauna and fauna inhabiting lichens, mosses and leaf litter. Tardigrades occupy a wide range of niches in marine, freshwater and terrestrial environments. The highest number of species is found in terrestrial habitats thanks to their ability to enter anhydrobiosis and cryobiosis. The cryobiotic ability of tardigrade species from polar regions is well known. Consequently, we focused our research on the ability to survive freezing in the active hydrated state using seven tardigrade species differing in phylogenetic position and collected at various altitudes and from different habitats in a temperate area. Specimens were cooled at different cooling rates (from 0.31 degrees C min(-1) to 3.26 degrees C min(-1)). Even though the final survival and the time required by animals to recover to active life were both inversely related to the cooling rate, highly significant interspecific differences were found. Species survival ability ranged from excellent to none. Species living in xeric habitats withstood freezing better than those living in hygrophilous habitats, while true limnic species did not exhibit any cryobiotic ability. The ability to withstand freezing seems linked to the anhydrobiotic ability. The differences in cryptobiotic performance among tardigrade species seem more influenced by selective pressures linked to local adaptation to habitat characteristics than by phylogenetic relationships. (c) 2011 Elsevier GmbH. All rights reserved.</t>
  </si>
  <si>
    <t>[Guidetti, Roberto; Altiero, Tiziana; Bertolani, Roberto; Grazioso, Pasqualina; Rebecchi, Lorena] Univ Modena &amp; Reggio Emilia, Dept Biol, I-41125 Modena, Italy</t>
  </si>
  <si>
    <t>Universita di Modena e Reggio Emilia</t>
  </si>
  <si>
    <t>Guidetti, R (corresponding author), Univ Modena &amp; Reggio Emilia, Dept Biol, Via Campi 213-D, I-41125 Modena, Italy.</t>
  </si>
  <si>
    <t>roberto.guidetti@unimore.it</t>
  </si>
  <si>
    <t>Guidetti, Roberto/H-2855-2012; Rebecchi, Lorena/E-1653-2015</t>
  </si>
  <si>
    <t>Guidetti, Roberto/0000-0001-6079-2538; Rebecchi, Lorena/0000-0001-5610-806X</t>
  </si>
  <si>
    <t>Fondazione Cassa di Risparmio di Modena (Modena, Italy); Italian Space Agency (ASI) [WP: ASSC-TARSE: 1B1231-X4]</t>
  </si>
  <si>
    <t>Fondazione Cassa di Risparmio di Modena (Modena, Italy); Italian Space Agency (ASI)(Agenzia Spaziale Italiana (ASI))</t>
  </si>
  <si>
    <t>The authors wish to thank Paul Bartels (Department of Biology, Warren Wilson College, Asheville, NC, USA) for revising the English of the manuscript and for useful suggestions. We are also grateful to Bob Goldstein (Department of Biology, University of Chapman Hill at North Carolina, USA) for giving us specimens of H. dujardini, and Federico Corni (Department of Physics, University of Modena and Reggio Emilia, Modena, Italy) for helping us with the cooling rate recording. We are also grateful to two anonymous reviewers for their constructive suggestions. This research was supported by a grant from the Fondazione Cassa di Risparmio di Modena (Modena, Italy), and by a grant from the Italian Space Agency (ASI) to L.R. for the project Tardigrade Resistance to Space Effects (TARSE) (WP: ASSC-TARSE: 1B1231-X4).</t>
  </si>
  <si>
    <t>10.1016/j.zool.2010.11.005</t>
  </si>
  <si>
    <t>766JQ</t>
  </si>
  <si>
    <t>WOS:000290778800008</t>
  </si>
  <si>
    <t>Shi, HL; Lu, Y; Du, ZL; Jia, LL; Zhang, ZZ; Zhou, CX</t>
  </si>
  <si>
    <t>Shi Hong-Ling; Lu Yang; Du Zong-Liang; Jia Lu-Lu; Zhang Zi-Zhan; Zhou Chun-Xia</t>
  </si>
  <si>
    <t>Mass change detection in Antarctic ice sheet using ICESat block analysis techniques from 2003∼2008</t>
  </si>
  <si>
    <t>ICESat; Crossover; Block analysis; Antarctic ice sheet; Mass change; Least square regression</t>
  </si>
  <si>
    <t>GLACIAL ISOSTATIC-ADJUSTMENT; SEA-LEVEL RISE; ELEVATION CHANGE; SATELLITE RADAR; MODEL; SURFACE; GREENLAND; AGE</t>
  </si>
  <si>
    <t>In this paper, the ICESat laser altimetry data is used to obtain an estimate of the mass balance of Antarctic ice sheet from February 2003 to March 2008. The time series of elevation change in Antarctic ice sheet are derived by the block crossover analysis using the ICESat nadir ground track, and the calculation of the campaign basis is discussed. A least square regression of crossover difference is applied to calculate the average elevation change trend and the seasonal cycle, and then the mass changes of Antarctic ice sheet are estimated by combining the elevation change rate with the surface firn density model. The result shows that seasonal cycle signals are obvious in Antarctic ice sheet height changes, and the average annual amplitude is about 2. 21 cm. On the coast of the Antarctica continent, there are significant thinning and thickening, especially near the Amundsen Sea embayment of west Antarctic and Antarctic Peninsula. Considering the influence of GIA (three public GIA models), our best estimate of the mass change in Antarctic ice sheet is about -82 similar to -73Gt/yr. For the ICESat, the ice sheet surface urn density model and the GIA model are the main factors in the mass change estimates.</t>
  </si>
  <si>
    <t>[Shi Hong-Ling; Lu Yang; Du Zong-Liang; Jia Lu-Lu; Zhang Zi-Zhan] Chinese Acad Sci, Inst Geodesy &amp; Geophys, Wuhan 430077, Peoples R China; [Shi Hong-Ling; Lu Yang; Du Zong-Liang; Jia Lu-Lu; Zhang Zi-Zhan] Chinese Acad Sci, Key Lab Dynam Geodesy, Wuhan 430077, Peoples R China; [Zhou Chun-Xia] Wuhan Univ, Sch Geodesy &amp; Geomat, Chinese Antarct Ctr Surveying &amp; Mapping, Wuhan 430079, Peoples R China</t>
  </si>
  <si>
    <t>Chinese Academy of Sciences; Innovation Academy for Precision Measurement Science &amp; Technology, CAS; Chinese Academy of Sciences; Wuhan University</t>
  </si>
  <si>
    <t>Shi, HL (corresponding author), Chinese Acad Sci, Inst Geodesy &amp; Geophys, Wuhan 430077, Peoples R China.</t>
  </si>
  <si>
    <t>hlshi@asch.whigg.ac.cn</t>
  </si>
  <si>
    <t>Zhang, Zizhan/F-5705-2016; Wang, Jin/GYA-2019-2022; SHI, HL/HHC-5506-2022</t>
  </si>
  <si>
    <t>SHI, HL/0000-0003-2045-7115</t>
  </si>
  <si>
    <t>10.3969/j.issn.0001-5733.2011.04.010</t>
  </si>
  <si>
    <t>757DR</t>
  </si>
  <si>
    <t>WOS:000290065400010</t>
  </si>
  <si>
    <t>Yu, Y; Li, HR; Zeng, YX</t>
  </si>
  <si>
    <t>Yu, Yong; Li, Hui-Rong; Zeng, Yin-Xin</t>
  </si>
  <si>
    <t>Colwellia chukchiensis sp. nov., a psychrotolerant bacterium isolated from the Arctic Ocean</t>
  </si>
  <si>
    <t>DNA HYBRIDIZATION; ACID</t>
  </si>
  <si>
    <t>A novel psychrotolerant bacterial strain, BCw111(T), was isolated from seawater samples from the Chukchi Sea in the Arctic Ocean. Cells of strain BCw111(T) were Gram-negative, motile, facultatively anaerobic, curved rods and were able to grow at 0-30 degrees C (optimum 23-25 degrees C). Strain BCw111(T) had Q-8 as the major respiratory quinone and contained iso-C-15:0 2-OH and/or C-16:1 omega 7c (28.13%), C-16:0 (13.28%) and C-17:1 (12.90%) as the major cellular fatty acids. The genomic DNA G+C content was 41.3 mol%. Phylogenetic analysis based on 16S rRNA gene sequences indicated that strain BCw11(T) formed a distinct lineage within the genus Colwellia and exhibited the highest 16S rRNA gene sequence similarity with Colwellia polaris 537(T) (97.8%) and Colwellia aestuarii SMK-10(T) (97.1%). Based on phenotypic characteristics, phylogenetic analysis and DNA-DNA relatedness, a novel species, Colwellia chukchiensis sp. nov., is proposed. The type strain is BCw111(T) (=CGMCC 1.9127(T) =LMG 25329(T) =DSM 22576(T)).</t>
  </si>
  <si>
    <t>[Yu, Yong; Li, Hui-Rong; Zeng, Yin-Xin] Polar Res Inst China, SOA Key Lab Polar Sci, Shanghai 200136, Peoples R China</t>
  </si>
  <si>
    <t>Polar Research Institute of China</t>
  </si>
  <si>
    <t>Yu, Y (corresponding author), Polar Res Inst China, SOA Key Lab Polar Sci, Shanghai 200136, Peoples R China.</t>
  </si>
  <si>
    <t>yuyong@pric.gov.cn</t>
  </si>
  <si>
    <t>Chinese Arctic and Antarctic Administration; IPY 2007-2008 Chinese Programme; National Key Technology R&amp;D Program of China [2006BAB18B07]; National Natural Science Foundation of China [30500001]; National Infrastructure of Natural Resources for Science and Technology Program of China [2005DKA21209]</t>
  </si>
  <si>
    <t>Chinese Arctic and Antarctic Administration; IPY 2007-2008 Chinese Programme; National Key Technology R&amp;D Program of China(National Key Technology R&amp;D Program); National Natural Science Foundation of China(National Natural Science Foundation of China (NSFC)); National Infrastructure of Natural Resources for Science and Technology Program of China</t>
  </si>
  <si>
    <t>We thank the staff of the DSMZ, especially Dr Peter Schumann and Dr Susanne Verbarg, for analysis of DNA G+C content and quinones. We also thank the Chinese Arctic and Antarctic Administration, which supports the field work of this research. This work was supported by IPY 2007-2008 Chinese Programme, the National Key Technology R&amp;D Program of China (grant no. 2006BAB18B07), the National Natural Science Foundation of China (grant no. 30500001) and the National Infrastructure of Natural Resources for Science and Technology Program of China (grant no. 2005DKA21209).</t>
  </si>
  <si>
    <t>MICROBIOLOGY SOC</t>
  </si>
  <si>
    <t>14-16 MEREDITH ST, LONDON, ENGLAND</t>
  </si>
  <si>
    <t>1466-5034</t>
  </si>
  <si>
    <t>10.1099/ijs.0.022111-0</t>
  </si>
  <si>
    <t>758BP</t>
  </si>
  <si>
    <t>WOS:000290135000026</t>
  </si>
  <si>
    <t>Lovatt, FM; Hoelzel, AR</t>
  </si>
  <si>
    <t>Lovatt, Fiona M.; Hoelzel, A. Rus</t>
  </si>
  <si>
    <t>The impact of population bottlenecks on fluctuating asymmetry and morphological variance in two separate populations of reindeer on the island of South Georgia</t>
  </si>
  <si>
    <t>conservation; deer; genetic diversity; Rangifer tarandus</t>
  </si>
  <si>
    <t>NORTHERN ELEPHANT SEAL; DEVELOPMENTAL STABILITY; GENETIC-VARIATION; INBREEDING DEPRESSION; RED DEER; ENZYME HETEROZYGOSITY; NATURAL-POPULATIONS; CERVUS-ELAPHUS; LIFE-HISTORY; BODY-SIZE</t>
  </si>
  <si>
    <t>In the early part of the 20th century, whalers on South Georgia in the South Atlantic transported reindeer from Norway to establish a population from which they could cull animals for food. This happened twice, with reindeer obtained from the same source in each case, and with independent founder populations being established on separate parts of the island. As the exact number of founding males and females are known in each case, and as it was possible to obtain materials from the source population, this provided an unusually clear test of expectations about the impact of population bottlenecks on morphological and genetic diversity. In this study, we focus on the impact on morphological variation and on the relationship between genomic stress and indirect measures of fitness. We find that fluctuating asymmetry and morphological variation increased in each bottlenecked population and that the impact was somewhat stronger for the founder group that began with fewer females. Based on several skull measurements, there was also a significant trend for the reindeer in the bottlenecked populations to have smaller skulls. There were consistent correlations between individual genetic diversity and indirect measures of fitness, but these were weak and non-significant after correction for type 1 error. Taken together, these data support the expectation that genomic stress has the potential to impact the expression of morphological phenotype in a large mammal and provide an opportunity to directly compare two parallel events. (c) 2011 The Linnean Society of London, Biological Journal of the Linnean Society, 2011, 102, 798-811.</t>
  </si>
  <si>
    <t>[Lovatt, Fiona M.; Hoelzel, A. Rus] Univ Durham, Sch Biol &amp; Biomed Sci, Durham DH1 3LE, England</t>
  </si>
  <si>
    <t>Durham University</t>
  </si>
  <si>
    <t>Hoelzel, AR (corresponding author), Univ Durham, Sch Biol &amp; Biomed Sci, South Rd, Durham DH1 3LE, England.</t>
  </si>
  <si>
    <t>a.r.hoelzel@durham.ac.uk</t>
  </si>
  <si>
    <t>Lovatt, Fiona/0000-0003-2298-9174</t>
  </si>
  <si>
    <t>British Ecological Society; Shackleton Scholarship Fund; Trans-Antarctic Association</t>
  </si>
  <si>
    <t>Funds were provided by small project grants awarded by the British Ecological Society, the Shackleton Scholarship Fund and the Trans-Antarctic Association. Particular thanks to members of BSES Expeditions and the British Antarctic Survey as well as a number of individuals in South Georgia, the Falkland Islands and Norway who assisted in the collection and transportation of samples. Special thanks to Karis Baker for help with some of the analyses.</t>
  </si>
  <si>
    <t>10.1111/j.1095-8312.2011.01600.x</t>
  </si>
  <si>
    <t>734ZV</t>
  </si>
  <si>
    <t>WOS:000288383700009</t>
  </si>
  <si>
    <t>Bednarek, AT; Cooper, AB; Cresswell, KA; Mangel, M; Satterthwaite, WH; Simpfendorfer, CA; Wiedenmann, JR</t>
  </si>
  <si>
    <t>Bednarek, Angela T.; Cooper, Andrew B.; Cresswell, Katherine A.; Mangel, Marc; Satterthwaite, William H.; Simpfendorfer, Colin A.; Wiedenmann, John R.</t>
  </si>
  <si>
    <t>THE CERTAINTY OF UNCERTAINTY IN MARINE CONSERVATION AND WHAT TO DO ABOUT IT</t>
  </si>
  <si>
    <t>BULLETIN OF MARINE SCIENCE</t>
  </si>
  <si>
    <t>KRILL EUPHAUSIA-SUPERBA; SCALE MANAGEMENT UNITS; ANTARCTIC KRILL; CLIMATE-CHANGE; LIFE-HISTORY; RESOURCE EXPLOITATION; POPULATION-DYNAMICS; SEA-ICE; FISHERIES; RECRUITMENT</t>
  </si>
  <si>
    <t>The confounding effects of difficult sampling and dynamic systems make uncertainty the norm for managers of marine ecosystems. Thus managers need approaches that use relatively small amounts of information and account for a wide suite of biological and physical influences. Here we use a case study approach to review the use of several possible techniques for making decisions about marine ecosystems despite uncertainty. We describe the use of expert judgment in the rebuilding plans for data-poor US fisheries, models to manage the krill fishery in the Southern Ocean to account for both the impacts of climate change and the resource needs of krill predators, an integrated risk assessment framework to prioritize shark management in the Atlantic Ocean despite severe data limitations, and models to account for climate impacts on salmonid populations in California. Through this review, we show that with limited information, managers can use models to explore how highly variable systems might respond to management options under different scenarios. Expert judgment can help shape the assumptions that form the basis for those models and propose sensible boundaries within which management options can be developed. A weight of evidence approach can take advantage of small amounts of information from multiple sources, including models and expert judgment. Although none of these approaches is perfect, they can help provide a logical starting point for conservation and management, despite the certainty of uncertainty.</t>
  </si>
  <si>
    <t>[Bednarek, Angela T.] Pew Charitable Trusts, Pew Environm Grp, Ocean Sci Div, Washington, DC 20004 USA; [Cooper, Andrew B.] Simon Fraser Univ, Sch Resource &amp; Environm Management, Burnaby, BC V5A 1S6, Canada; [Cresswell, Katherine A.; Mangel, Marc; Satterthwaite, William H.; Wiedenmann, John R.] Univ Calif Santa Cruz, Ctr Stock Assessment Res, Santa Cruz, CA 95064 USA; [Simpfendorfer, Colin A.] James Cook Univ, Sch Earth &amp; Environm Sci, Fishing &amp; Fisheries Res Ctr, Townsville, Qld 4811, Australia</t>
  </si>
  <si>
    <t>Simon Fraser University; University of California System; University of California Santa Cruz; James Cook University</t>
  </si>
  <si>
    <t>Bednarek, AT (corresponding author), Pew Charitable Trusts, Pew Environm Grp, Ocean Sci Div, Washington, DC 20004 USA.</t>
  </si>
  <si>
    <t>abednarek@pewtrusts.org</t>
  </si>
  <si>
    <t>Cooper, Andrew/C-1655-2010; Simpfendorfer, Colin A/G-9681-2011</t>
  </si>
  <si>
    <t>Cooper, Andrew/0000-0001-6027-8272; Cresswell, Katherine/0000-0003-1692-4964; Satterthwaite, William/0000-0002-0436-7390; Wiedenmann, John/0000-0001-7622-9053</t>
  </si>
  <si>
    <t>NSF; NOAA Fisheries; Lenfest Ocean Program; California Sea Grant; CalFed Science Program</t>
  </si>
  <si>
    <t>NSF(National Science Foundation (NSF)); NOAA Fisheries(National Oceanic Atmospheric Admin (NOAA) - USA); Lenfest Ocean Program; California Sea Grant; CalFed Science Program</t>
  </si>
  <si>
    <t>This publication is from a symposium Marine Conservation in the 21st Century: the Certainty of Uncertainty and What to do about it presented at the 2009 International Marine Conservation Congress (IMCC) at George Mason University, Virginia. The panel was organized by the Lenfest Ocean Program. The krill work was supported by the NSF, NOAA Fisheries, and the Lenfest Ocean Program; the salmonid work by California Sea Grant, NOAA Fisheries, and the CalFed Science Program. The work on risk assessment for sharks was supported by the Lenfest Ocean Program. We appreciate the thoughtful comments on the manuscript by F Kearns, K Erickson, C Hudson, J Hepp, C Hanson, and three anonymous reviewers. Thanks to E Hines for organizing the IMCC and initiating this special issue.</t>
  </si>
  <si>
    <t>ROSENSTIEL SCH MAR ATMOS SCI</t>
  </si>
  <si>
    <t>MIAMI</t>
  </si>
  <si>
    <t>4600 RICKENBACKER CAUSEWAY, MIAMI, FL 33149 USA</t>
  </si>
  <si>
    <t>0007-4977</t>
  </si>
  <si>
    <t>1553-6955</t>
  </si>
  <si>
    <t>B MAR SCI</t>
  </si>
  <si>
    <t>Bull. Mar. Sci.</t>
  </si>
  <si>
    <t>10.5343/bms.2010.1060</t>
  </si>
  <si>
    <t>757AE</t>
  </si>
  <si>
    <t>WOS:000290055400004</t>
  </si>
  <si>
    <t>Meijers, AJS; Bindoff, NL; Rintoul, SR</t>
  </si>
  <si>
    <t>Meijers, A. J. S.; Bindoff, N. L.; Rintoul, S. R.</t>
  </si>
  <si>
    <t>Estimating the Four-Dimensional Structure of the Southern Ocean Using Satellite Altimetry</t>
  </si>
  <si>
    <t>ANTARCTIC CIRCUMPOLAR CURRENT; GRAVEST EMPIRICAL MODE; RESIDUAL GEM; VARIABILITY; TRANSPORT; TOPEX/POSEIDON; TEMPERATURE; CIRCULATION; FRONTS; EDDIES</t>
  </si>
  <si>
    <t>A gravest empirical mode (GEM) projection of temperature and salinity fields over the circumpolar Southern Ocean is presented and is used in combination with satellite altimetry to produce gridded, full-depth, time-evolving temperature, salinity, and velocity fields. Optimal interpolation of historical hydrography, including Argo floats, is used to produce GEM projections of the circumpolar temperature and salinity fields. Parameterizing these fields by dynamic height allows the use of altimetric SSH values from 1992-2006 to create synoptic temperature and salinity fields at weekly intervals on a 1/3 degrees grid at 36 depth levels. The satellite-derived temperature and salinity fields generally capture over 90% of the property variance below the thermocline, with RMS residuals of 1.16 degrees C and 0.132 in salinity at the surface, decreasing to less than 0.45 degrees C and 0.05 below 500 dbar. The combination of altimetry with the GEM fields allows the resolution of the subsurface structure of the filamentary fronts and eddy features. Velocity fields derived from the time-evolving temperature and salinity fields reproduce the Antarctic Circumpolar Current (ACC) velocity structure well, and are strongly correlated (r &gt; 0.7) with in situ measurements from current meters and drifters, with RMS velocity residuals of 4.8-14.8 cm(-1) in the Subantarctic Front.</t>
  </si>
  <si>
    <t>[Meijers, A. J. S.; Bindoff, N. L.; Rintoul, S. R.] Univ Tasmania, ACE CRC, CAWCR, Hobart, Tas, Australia</t>
  </si>
  <si>
    <t>Antarctic Climate &amp; Ecosystems Cooperative Research Centre (ACE CRC); University of Tasmania</t>
  </si>
  <si>
    <t>Meijers, AJS (corresponding author), CSIRO Marine &amp; Atmospher Res, Castray Esplanade, GPO Box 1538, Hobart, Tas 7001, Australia.</t>
  </si>
  <si>
    <t>andrew.meijers@csiro.au</t>
  </si>
  <si>
    <t>Bindoff, Nathaniel Lee/C-8050-2011; Meijers, Andrew/A-9903-2012; Bindoff, Nathaniel Lee/IVV-0333-2023; Rintoul, Stephen R/A-1471-2012</t>
  </si>
  <si>
    <t>Bindoff, Nathaniel Lee/0000-0001-5662-9519; Bindoff, Nathaniel Lee/0000-0001-5662-9519; Rintoul, Stephen R/0000-0002-7055-9876</t>
  </si>
  <si>
    <t>Australian Governments Cooperative Research Centers Programme, through the Antarctic Climate and Ecosystems CRC; CNES; Department of Climate Change</t>
  </si>
  <si>
    <t>Australian Governments Cooperative Research Centers Programme, through the Antarctic Climate and Ecosystems CRC(Australian GovernmentDepartment of Industry, Innovation and ScienceCooperative Research Centres (CRC) Programme); CNES(Centre National D'etudes Spatiales); Department of Climate Change</t>
  </si>
  <si>
    <t>This work is supported by the Australian Governments Cooperative Research Centers Programme, through the Antarctic Climate and Ecosystems CRC. Additionally, we thank Rosemary Morrow and Jean-Baptiste Sallee for their useful comments and critiques. The altimeter products used in this analysis were produced by SSALTO/DUACS and distributed by AVISO, with support from CNES (http://www.aviso.oceanobs.com/en/data/product-information/duacs/index.html). This work was supported in part by the Australian Climate Change Science Program of the Department of Climate Change.</t>
  </si>
  <si>
    <t>10.1175/2010JTECHO790.1</t>
  </si>
  <si>
    <t>757AZ</t>
  </si>
  <si>
    <t>WOS:000290057600008</t>
  </si>
  <si>
    <t>Wang, YT; Bian, LG; Ma, YF; Tang, J; Zhang, DQ; Zheng, XD</t>
  </si>
  <si>
    <t>Wang YuTing; Bian LinGen; Ma YongFeng; Tang Jie; Zhang DongQi; Zheng XiangDong</t>
  </si>
  <si>
    <t>Surface ozone monitoring and background characteristics at Zhongshan Station over Antarctica</t>
  </si>
  <si>
    <t>Antarctica; Zhongshan Station; surface ozone; background characteristics; ODE</t>
  </si>
  <si>
    <t>Seasonal variation in surface ozone and the relationship between the background ozone concentration and wind were evaluated at Zhongshan Station, Antarctica using 2008 data. The wind frequency from the station area was only 2%, while the prevailing wind frequency was much larger (79.2%). This indicates that the surface ozone observations were not affected by the human activities at the station, and therefore could be counted as background concentrations of surface ozone along Antarctic coast. The concentration of surface ozone shows a distinct annual variation with the yearly mean of 25.0 nmol mol(-1) and the maximum in winter, the minimum in summer. The surface ozone concentration had a strong negative correlation with ultraviolet radiation, and the mean values during polar night were one to two times higher than those in summer. These results imply that photochemical destruction of ozone dominates over Antarctica. The ozone depletion events at Zhongshan Station were obviously related to lower temperatures and higher BrO concentrations. Backward trajectory analysis reveals that the ozone depletion events are predominately caused by the high BrO concentrations.</t>
  </si>
  <si>
    <t>[Wang YuTing; Bian LinGen; Ma YongFeng; Tang Jie; Zhang DongQi; Zheng XiangDong] Chinese Acad Meteorol Sci, State Lab Severe Weather, Beijing 100081, Peoples R China; [Ma YongFeng] Chinese Acad Sci, Grad Univ, Beijing 100049, Peoples R China</t>
  </si>
  <si>
    <t>China Meteorological Administration; Chinese Academy of Meteorological Sciences (CAMS); Chinese Academy of Sciences; University of Chinese Academy of Sciences, CAS</t>
  </si>
  <si>
    <t>Bian, LG (corresponding author), Chinese Acad Meteorol Sci, State Lab Severe Weather, Beijing 100081, Peoples R China.</t>
  </si>
  <si>
    <t>blg@cams.cma.gov.cn</t>
  </si>
  <si>
    <t>MA, Yong-Feng/GQB-2138-2022; MA, Yong-Feng/JCE-0505-2023; LIU, JIALIN/JXN-8034-2024; zhou, you/KBC-3567-2024; MA, Yong-Feng/AAL-2017-2020</t>
  </si>
  <si>
    <t>MA, Yong-Feng/0000-0001-7102-2707; MA, Yong-Feng/0000-0001-7102-2707;</t>
  </si>
  <si>
    <t>National Natural Science Foundation of China [41076132]; MOST of China [2006BAB18B05]</t>
  </si>
  <si>
    <t>National Natural Science Foundation of China(National Natural Science Foundation of China (NSFC)); MOST of China(Ministry of Science and Technology, China)</t>
  </si>
  <si>
    <t>We thank the Chinese Meteorological Administration (CMA) and Chinese Arctic and Antarctic Administration under the National Oceanic Administration (CAA) who provided support for building the atmosphere monitoring site at Zhongshan Station. All the members of the 24th and 25th Chinese Antarctic Expedition are acknowledged for their help collecting the data. In addition, we are grateful to the Institute of Environmental Physics of the University of Bremen (Germany) who provided the BrO satellite-observed data. This work was supported by the National Natural Science Foundation of China (41076132) and the MOST Program of China (2006BAB18B05).</t>
  </si>
  <si>
    <t>10.1007/s11434-011-4406-2</t>
  </si>
  <si>
    <t>752XP</t>
  </si>
  <si>
    <t>WOS:000289729100010</t>
  </si>
  <si>
    <t>Troshichev, O; Sorrnakov, D; Janzhura, A</t>
  </si>
  <si>
    <t>Troshichev, O.; Sorrnakov, D.; Janzhura, A.</t>
  </si>
  <si>
    <t>Relation of PC index to the geomagnetic storm Dst variation</t>
  </si>
  <si>
    <t>Magnetic storm; PC index; Dst index; Interplanetary electric field; Threshold level</t>
  </si>
  <si>
    <t>POLAR-CAP INDEX; SOLAR-WIND; MAGNETIC ACTIVITY; MAGNETOSPHERE; PARAMETERS; FIELD; TIME; AE</t>
  </si>
  <si>
    <t>Relationships between the polar cap magnetic activity index PC and the magnetic storm Dst index have been studied for the magnetic storms with duration more 12 h and peak value Dst &lt; -30 nT and, observed in 1998-2002 and 2004-2005. Along with PC index the geoeffective interplanetary electric field Em was also examined. It has been found that all examined storms, lying in range from -30 to -373 nT, started when the PC index and, correspondingly, the Em field firmly exceeded the threshold &gt; 2 mV/m. In particular, the anomalous magnetic storm on January 21-22, 2005 occurring under conditions of northward IMF B-z (Du et al., 2008) is usual phenomena fitted well with the threshold restriction owing to the large IMF By component input. The maximal storm depression (the peak value of Dst) is linearly related to the quantities Em and PC, averaged for the time interval from the storm beginning to the storm maximum. The correlation between Dst and PC is more steady and larger than correlation between Dst and Em, the latter being dependent on Em value (effect of Dst saturation). The moment of the firm descent of the Em and PC quantities below the threshold level similar to 2 mV/m is indicative of the depression damping and transition to the recovery phase. The results are consistent with the similar peculiarities revealed for substorms development (Troshichev and Janzhura, 2009) and support the conclusion that the PC index is a reliable proxy characterizing the solar wind energy having been entered into the magnetosphere. (C) 2011 Elsevier Ltd. All rights reserved.</t>
  </si>
  <si>
    <t>[Troshichev, O.; Sorrnakov, D.; Janzhura, A.] Arctic &amp; Antarctic Res Inst, St Petersburg 199397, Russia</t>
  </si>
  <si>
    <t>Troshichev, O (corresponding author), Arctic &amp; Antarctic Res Inst, St Petersburg 199397, Russia.</t>
  </si>
  <si>
    <t>olegtro@aari.nw.ru</t>
  </si>
  <si>
    <t>Sormakov, Dmitry A/K-1695-2014</t>
  </si>
  <si>
    <t>10.1016/j.jastp.2010.12.015</t>
  </si>
  <si>
    <t>741UC</t>
  </si>
  <si>
    <t>WOS:000288889600006</t>
  </si>
  <si>
    <t>Noyon, M; Narcy, F; Gasparini, S; Mayzaud, P</t>
  </si>
  <si>
    <t>Noyon, Margaux; Narcy, Fanny; Gasparini, Stephane; Mayzaud, Patrick</t>
  </si>
  <si>
    <t>Growth and lipid class composition of the Arctic pelagic amphipod Themisto libellula</t>
  </si>
  <si>
    <t>THYSANOESSA-INERMIS KROYER; MARGINAL ICE-ZONE; NORVEGICA M-SARS; RASCHII M-SARS; BARENTS SEA; ZOOPLANKTON COMMUNITY; SEASONAL-CHANGES; ECOLOGICAL INVESTIGATIONS; ANTARCTIC ZOOPLANKTON; CALANUS-FINMARCHICUS</t>
  </si>
  <si>
    <t>Carnivorous zooplankton is a key element to the energy transfer through the arctic food web, linking lipid rich herbivores to the top predators. We investigated the growth and lipid dynamic of the Arctic pelagic amphipod Themisto libellula in Kongsfjorden (Svalbard, 79 degrees N) from May to October 2007. Additional samplings were performed in spring and summer 2006 and further north in Rijpfjorden (80 degrees N), in September 2006 and 2007. In Kongsfjorden, the first free-swimming stages (3 mm) appeared early May and reached their adult length (25 mm), in October. During their first year, they grew according to a Von Bertalanffy model and most probably constituted a single cohort. Juveniles had the highest growth rate (0.19 mm day(-1)) and revealed relatively low total lipid (TL) content (about 2.5% wet weight (WW)) with phospholipids as the major lipid class. Sub-adults showed a distinct decrease of growth rates which coincided with the increase of neutral lipid storage, reflecting a switch in energy allocation, from somatic growth to lipid storage. Indeed wax esters (WE) increased up to 48.5% TL on average in adults in 2006 while triacylglycerols (TAG) remained almost constant below 25.2% TL. The absence of lipid accumulation (in disproportion of the weight) in 2007 could be explained by a higher metabolism of T. libellula or preys of lower quality. In Rijpfjorden, adults in their second year continued accumulating lipid (up to 10% WW) with high and similar proportions of both lipid classes, WE and TAG. We highlighted that T. libellula exhibited a variable lipid metabolism along its life cycle depending on its physiological needs and environmental conditions.</t>
  </si>
  <si>
    <t>[Noyon, Margaux; Narcy, Fanny; Gasparini, Stephane; Mayzaud, Patrick] CNRS, Lab Oceanog Villefranche, UMR 7093, F-06230 Villefranche Sur Mer, France; [Narcy, Fanny] Univ Tromso, Dept Arctic &amp; Marine Biol, Fac Biosci Fisheries &amp; Econ, N-9037 Tromso, Norway; [Noyon, Margaux; Narcy, Fanny; Gasparini, Stephane; Mayzaud, Patrick] Univ Paris 06, Lab Oceanog Villefranche, UMR 7093, F-06230 Villefranche Sur Mer, France</t>
  </si>
  <si>
    <t>Centre National de la Recherche Scientifique (CNRS); CNRS - National Institute for Earth Sciences &amp; Astronomy (INSU); Sorbonne Universite; UiT The Arctic University of Tromso; Centre National de la Recherche Scientifique (CNRS); CNRS - National Institute for Earth Sciences &amp; Astronomy (INSU); Sorbonne Universite</t>
  </si>
  <si>
    <t>Noyon, M (corresponding author), Rhodes Univ, Dept Zool &amp; Entomol, So Ocean Grp, Box 94, ZA-6140 Grahamstown, South Africa.</t>
  </si>
  <si>
    <t>margauxnoyon@gmail.com</t>
  </si>
  <si>
    <t>Noyon, Margaux/AAN-9261-2021; Narcy, Fanny/A-7448-2013</t>
  </si>
  <si>
    <t>Noyon, Margaux/0000-0002-0761-4174;</t>
  </si>
  <si>
    <t>French Polar Institute Paul Emile Victor (IPEV) [455]; Research Council of Norway [165112/S30]</t>
  </si>
  <si>
    <t>French Polar Institute Paul Emile Victor (IPEV); Research Council of Norway(Research Council of Norway)</t>
  </si>
  <si>
    <t>Thanks to Stig Falk-Peterson and Haakon Hop who allowed me to join cruises, the crew of the RN Jan Mayen, R/V Lance and Kings Bay for sampling. Marc Boutoute for his help on lipid analyzes. We are also grateful to the referee for their helpful comments on the manuscript. This work is a contribution to two projects: Praceal project 455 funded by the French Polar Institute Paul Emile Victor (IPEV) and MariClim project 165112/S30 funded by the Research Council of Norway.</t>
  </si>
  <si>
    <t>10.1007/s00227-010-1615-1</t>
  </si>
  <si>
    <t>750IF</t>
  </si>
  <si>
    <t>hybrid, Green Published, Green Submitted</t>
  </si>
  <si>
    <t>WOS:000289539100016</t>
  </si>
  <si>
    <t>Nigro, MA; Cassano, JJ; Seefeldt, MW</t>
  </si>
  <si>
    <t>Nigro, Melissa A.; Cassano, John J.; Seefeldt, Mark W.</t>
  </si>
  <si>
    <t>A Weather-Pattern-Based Approach to Evaluate the Antarctic Mesoscale Prediction System (AMPS) Forecasts: Comparison to Automatic Weather Station Observations</t>
  </si>
  <si>
    <t>WEATHER AND FORECASTING</t>
  </si>
  <si>
    <t>POLAR MM5 SIMULATIONS; ATMOSPHERIC CIRCULATION; WRF MODEL; GREENLAND; REGION</t>
  </si>
  <si>
    <t>Typical model evaluation strategies evaluate models over large periods of time (months, seasons, years, etc.) or for single case studies such as severe storms or other events of interest. The weather-pattern-based model evaluation technique described in this paper uses self-organizing maps to create a synoptic climatology of the weather patterns present over a region of interest, the Ross Ice Shelf for this analysis. Using the synoptic climatology, the performance of the model, the Weather Research and Forecasting Model run within the Antarctic Mesoscale Prediction System, is evaluated for each of the objectively identified weather patterns. The evaluation process involves classifying each model forecast as matching one of the weather patterns from the climatology. Subsequently, statistics such as model bias, root-mean-square error, and correlation are calculated for each weather pattern. This allows for the determination of model errors as a function of weather pattern and can highlight if certain errors occur under some weather regimes and not others. The results presented in this paper highlight the potential benefits of this new weather-pattern-based model evaluation technique.</t>
  </si>
  <si>
    <t>[Nigro, Melissa A.; Cassano, John J.; Seefeldt, Mark W.] Univ Colorado, Dept Atmospher &amp; Ocean Sci, Cooperat Inst Res Environm Sci, Boulder, CO 80309 USA</t>
  </si>
  <si>
    <t>Nigro, MA (corresponding author), Univ Colorado, Dept Atmospher &amp; Ocean Sci, Cooperat Inst Res Environm Sci, 216 UCB, Boulder, CO 80309 USA.</t>
  </si>
  <si>
    <t>melissa.richards@colorado.edu</t>
  </si>
  <si>
    <t>Seefeldt, Mark W/D-3121-2011; Cassano, John/HKW-8817-2023</t>
  </si>
  <si>
    <t>Seefeldt, Mark W/0000-0003-0719-2570; NIGRO, MELISSA/0000-0002-1213-3295</t>
  </si>
  <si>
    <t>NSF [ANT-0636811, ATM-0404790, ANT-0537827, ANT-0636873, ANT-0838834]</t>
  </si>
  <si>
    <t>NSF Grants ANT-0636811 and ATM-0404790 supported this work. The AMPS data were retrieved from the National Center for Atmospheric Research's Computational and Information Systems Laboratory. The AWS data were retrieved from the Automatic Weather Station Program and Antarctic Meteorological Research Center (Matthew Lazzara, Linda Keller, Jonathan Thom, and George Weidner; NSF Grants ANT-0537827, ANT-0636873, and ANT-0838834).</t>
  </si>
  <si>
    <t>0882-8156</t>
  </si>
  <si>
    <t>WEATHER FORECAST</t>
  </si>
  <si>
    <t>Weather Forecast.</t>
  </si>
  <si>
    <t>10.1175/2010WAF2222444.1</t>
  </si>
  <si>
    <t>753FU</t>
  </si>
  <si>
    <t>WOS:000289754900004</t>
  </si>
  <si>
    <t>Körner, C</t>
  </si>
  <si>
    <t>Koerner, Christian</t>
  </si>
  <si>
    <t>Coldest places on earth with angiosperm plant life</t>
  </si>
  <si>
    <t>ALPINE BOTANY</t>
  </si>
  <si>
    <t>Mountain climatology; Saxifraga; Bryophytes; Mites; Collembola; Fungi; Isotopes</t>
  </si>
  <si>
    <t>SAXIFRAGA-OPPOSITIFOLIA; SEXUAL REPRODUCTION; TEMPERATURE LIMITS; CUSHION PLANTS; ALPINE; TREELINE; GROWTH; RESISTANCE; SOILS</t>
  </si>
  <si>
    <t>The highest elevation flowering plant ever recorded in Europe, a lush moss flora, one of the coldest places of permanent animal life (collembola, mites) and indications of mycorrhizal fungi were evidenced for the Dom summit (4,545 m, central Swiss Alps) between solid siliceous rock at 4,505-4,543 m, 46 degrees N. Cushions of Saxifraga oppositifolia were found at 4,505 to 4,507 m a.s.l. A large individual (possibly &gt;30 years old) was in full bloom on 12 August 2009. The 14 C-dated oldest debris of the biggest moss, Tortula ruralis, suggests a 13 year litter turnover. The thermal conditions at this outpost of plant life were assessed with a miniature data logger. The 2008/09 growing season had 66 days with a daily mean rooting zone temperature &gt;0 degrees C in this high elevation micro-habitat (2-3 cm below ground). The degree hours &gt;0 degrees C during this period summed up to 4,277 degrees h corresponding to 178 degrees d (degree days), the absolute winter minimum was -20.9 degrees C and the absolute summer maximum 18.1 degrees C. The mean temperature for the growing period was +2.6 degrees C. All plant parts, including roots, experience temperatures below 0 degrees C every night, even during the warmest part of the year. On clear summer days, plants may be physiologically active for several hours, and minimum night temperatures are clearly above the freezing tolerance of Saxifraga oppositifolia in the active state. In comparison with climate data for other extreme plant habitats in the Alps, Himalayas, in the Arctic and Antarctic, these data illustrate the life conditions at what is possibly the coldest place for angiosperm plant life on earth.</t>
  </si>
  <si>
    <t>Univ Basel, Inst Bot, CH-4056 Basel, Switzerland</t>
  </si>
  <si>
    <t>University of Basel</t>
  </si>
  <si>
    <t>Körner, C (corresponding author), Univ Basel, Inst Bot, Hebelstr 1, CH-4056 Basel, Switzerland.</t>
  </si>
  <si>
    <t>ch.koerner@unibas.ch</t>
  </si>
  <si>
    <t>Körner, Christian/B-6592-2014</t>
  </si>
  <si>
    <t>Körner, Christian/0000-0001-7768-7638</t>
  </si>
  <si>
    <t>SPRINGER BASEL AG</t>
  </si>
  <si>
    <t>PICASSOPLATZ 4, BASEL, 4052, SWITZERLAND</t>
  </si>
  <si>
    <t>1664-2201</t>
  </si>
  <si>
    <t>1664-221X</t>
  </si>
  <si>
    <t>ALPINE BOT</t>
  </si>
  <si>
    <t>Alp. Bot.</t>
  </si>
  <si>
    <t>10.1007/s00035-011-0089-1</t>
  </si>
  <si>
    <t>748TF</t>
  </si>
  <si>
    <t>WOS:000289414200003</t>
  </si>
  <si>
    <t>Romero, OE</t>
  </si>
  <si>
    <t>Romero, Oscar E.</t>
  </si>
  <si>
    <t>Morphological study of the genus Cocconeis Ehrenberg (Bacillariophyceae) collected during the 1897-1899 Belgian Antarctic Expedition</t>
  </si>
  <si>
    <t>BOTANICA MARINA</t>
  </si>
  <si>
    <t>Antarctic; Cocconeis; diatom; herbarium collection</t>
  </si>
  <si>
    <t>Henri Van Heurck examined a sample collection of sea ice and underlying sea floor sediment material during the Belgian Antarctic Expedition (1897-1899). He described eight new taxa of the monoraphid diatom genus Cocconeis from this collection including: C. antiqua var. tenuistriata, C. gautierii var. gautierii and var. inornata, C. heydrichii, C. japonica var. antarctica, C. litigiosa, C. schuettii var. schuettii and var. minor. All these Cocconeis taxa share well-silicified sternum valves with wide, apical hyaline areas, more or less lenticular in shape, and narrow hyaline bands at mid-distance between the apical axis and the margin, while the more delicate raphe-sternum valves bear uniseriate striae, a hemistauros associated with the central raphe area, and crescent-shaped terminal hyaline areas. Since their original description in the early 20th century, these Cocconeis taxa have been rarely reported. I studied newly described Cocconeis taxa from Van Heurck's type material by light microscopy. The main valve features of C. gautierii var. gautierii and var. inornata, C. litigiosa, and C. schuettii var. schuettii and var. minor agree well with those of Cocconeis antiqua; I propose these five taxa be reduced to synonymy of C. antiqua.</t>
  </si>
  <si>
    <t>Univ Granada, Fac Ciencias, Inst Andaluz Ciencias Tierra CSIC UGR, Granada 18002, Spain</t>
  </si>
  <si>
    <t>Consejo Superior de Investigaciones Cientificas (CSIC); CSIC - Instituto Andaluz de Ciencias de la Tierra (IACT); University of Granada</t>
  </si>
  <si>
    <t>Romero, OE (corresponding author), Univ Granada, Fac Ciencias, Inst Andaluz Ciencias Tierra CSIC UGR, Campus Fuentenueva, Granada 18002, Spain.</t>
  </si>
  <si>
    <t>oromero@ugr.es</t>
  </si>
  <si>
    <t>European Community [BE-TAF-5583]</t>
  </si>
  <si>
    <t>European Community</t>
  </si>
  <si>
    <t>This research received financial support from the SYNTHESYS Project (BE-TAF-5583) which is funded by the European Community Research Infrastructure Action under the FP6 Structuring the European Research Area Programme. I am deeply indebted to Dr. Christine Cocquyt and Dr. Bart Van de Vijver for their hospitality and assistance during my stay at the Van Heurck Diatom Collection (BR, Meise, Belgium). Dr. Philip Clerc (Conservatoire et Jardin Botaniques, Geneva, Switzerland) is acknowledged for the loan of the type material of Cocconeis antiqua. Comments and suggestions by Dr. Regine Jahn greatly improved a first version of this manuscript. Thorough reviews by Dr. Michel Poulin, Associate Editor of Botanica Marina, and two anonymous reviewers greatly improved this work.</t>
  </si>
  <si>
    <t>WALTER DE GRUYTER &amp; CO</t>
  </si>
  <si>
    <t>0006-8055</t>
  </si>
  <si>
    <t>BOT MAR</t>
  </si>
  <si>
    <t>Bot. Marina</t>
  </si>
  <si>
    <t>10.1515/BOT.2011.020</t>
  </si>
  <si>
    <t>747TY</t>
  </si>
  <si>
    <t>WOS:000289343800007</t>
  </si>
  <si>
    <t>Guerra, A; Portela, JM; del Río, JL</t>
  </si>
  <si>
    <t>Guerra, Angel; Portela, Julio M.; Luis del Rio, Jose</t>
  </si>
  <si>
    <t>Cephalopods caught in the outer Patagonian shelf and its upper and medium slope in relation to the main oceanographic features</t>
  </si>
  <si>
    <t>Cephalopods; Biogeography; Patagonian slope; Southwest Atlantic</t>
  </si>
  <si>
    <t>SOUTHWEST ATLANTIC; SOUTHERN-OCEAN; LOLIGO-GAHI; OCTOPODIDAE; MANAGEMENT; FRONTS; MASSES; STOCKS</t>
  </si>
  <si>
    <t>Ninety cephalopod specimens were collected in 71 of the 132 hauls (54%) during the bottom trawl survey ATLANTIS 2009 undertaken between 24 February and 1 April 2009. The surveyed area was the zone between parallels 44 and 48 South, east of the Argentinean Exclusive Economic Zone down to the 1500m depth contour on the high seas of the Southwest Atlantic. The collection was composed of 16 species of squids and 5 of octopods. The best represented groups were Histioteuthidae (5 species) and Octopodidae (5). The most abundant species were Gonatus antarcticus (25.5%). Histioteuthis atlantica (11.1%), and Muusoctopus eureka (8.9%), which were also the most widely encountered. The geographic and/or bathymetric distribution ranges of 9 species are extended, and this is the first record of Galiteuthis glacialis outside circumpolar Antarctic waters. Our data show that several species, mainly of octopuses, penetrate the area studied as the plume of cold sub-Antarctic waters is pushed far into the Southwestern Atlantic by the Falkland (Malvinas) Current. Published by Elsevier B.V.</t>
  </si>
  <si>
    <t>[Guerra, Angel] CSIC, Inst Invest Marinas, Vigo 36208, Spain; [Portela, Julio M.; Luis del Rio, Jose] CO Vigo, IEO, Inst Espanol Oceanog, Vigo 36200, Spain</t>
  </si>
  <si>
    <t>Consejo Superior de Investigaciones Cientificas (CSIC); CSIC - Instituto de Investigaciones Marinas (IIM); Spanish Institute of Oceanography</t>
  </si>
  <si>
    <t>Guerra, A (corresponding author), CSIC, Inst Invest Marinas, Eduardo Cabello 6, Vigo 36208, Spain.</t>
  </si>
  <si>
    <t>angelguerra@iim.csic.es</t>
  </si>
  <si>
    <t>10.1016/j.fishres.2011.02.003</t>
  </si>
  <si>
    <t>748OQ</t>
  </si>
  <si>
    <t>WOS:000289400300021</t>
  </si>
  <si>
    <t>Hayashi, M; Wharton, DA</t>
  </si>
  <si>
    <t>Hayashi, Masakazu; Wharton, David A.</t>
  </si>
  <si>
    <t>The oatmeal nematode Panagrellus redivivus survives moderately low temperatures by freezing tolerance and cryoprotective dehydration</t>
  </si>
  <si>
    <t>Freezing tolerance; Cryoprotective dehydration; Acclimation; Cold shock; Rapid cold hardening; Selection</t>
  </si>
  <si>
    <t>HAPLA 2ND-STAGE JUVENILES; ANTARCTIC NEMATODE; DROSOPHILA-MELANOGASTER; PANAGROLAIMUS-DAVIDI; COLD TOLERANCE; ENTOMOPATHOGENIC NEMATODES; PHYSIOLOGY; SELECTION; METABOLISM; RESISTANCE</t>
  </si>
  <si>
    <t>The cold tolerance abilities of only a few nematode species have been determined. This study shows that the oatmeal nematode, Panagrellus redivivus, has modest cold tolerance with a 50% survival temperature (S-50) of -2.5 degrees C after cooling at 0.5 degrees C min(-1) and freezing for 1 h. It can survive low temperatures by freezing tolerance and cryoprotective dehydration; although freezing tolerance appears to be the dominant strategy. Freezing survival is enhanced by low temperature acclimation (7 days at 5 degrees C), with the S-50 being lowered by a small but significant amount (0.42 degrees C). There is no cold shock or rapid cold hardening response under the conditions tested. Cryoprotective dehydration enhances the ability to survive freezing (the S-50 is lowered by 0.55 degrees C, compared to the control, after 4 h freezing at -1 degrees C) and this effect is in addition to that produced by acclimation. Breeding from survivors of a freezing stress did not enhance the ability to survive freezing. The cold tolerance abilities of this nematode are modest, but sufficient to enable it to survive in the cold temperate environments it inhabits.</t>
  </si>
  <si>
    <t>[Hayashi, Masakazu; Wharton, David A.] Univ Otago, Dept Zool, Dunedin, New Zealand</t>
  </si>
  <si>
    <t>Wharton, DA (corresponding author), Univ Otago, Dept Zool, POB 56, Dunedin, New Zealand.</t>
  </si>
  <si>
    <t>Tokyo Denki University</t>
  </si>
  <si>
    <t>We would like to thank Karen Judge for technical assistance and Tokyo Denki University for the award of a Niwa Yasujiro Scholarship to Masakazu Hayashi.</t>
  </si>
  <si>
    <t>10.1007/s00360-010-0541-3</t>
  </si>
  <si>
    <t>749ED</t>
  </si>
  <si>
    <t>WOS:000289444800002</t>
  </si>
  <si>
    <t>Ryan, KG; Tay, ML; Martin, A; McMinn, A; Davy, SK</t>
  </si>
  <si>
    <t>Ryan, K. G.; Tay, M. L.; Martin, A.; McMinn, A.; Davy, S. K.</t>
  </si>
  <si>
    <t>Chlorophyll fluorescence imaging analysis of the responses of Antarctic bottom-ice algae to light and salinity during melting</t>
  </si>
  <si>
    <t>Algae; Antarctic; Chlorophyll fluorescence; Imaging PAM; Salinity; Sea ice</t>
  </si>
  <si>
    <t>SEA-ICE; MCMURDO-SOUND; MICROBIAL COMMUNITIES; PRIMARY PRODUCTIVITY; PHOTOSYNTHESIS; MICROALGAE; TEMPERATURE; RADIATION</t>
  </si>
  <si>
    <t>Bottom-ice algae within Antarctic sea ice were examined using chlorophyll fluorescence imaging. The detailed structure of the bottom-ice algal community growing in the platelet and congelation layers of solid pieces of sea ice was evident for the first time in chlorophyll imaging mode. Strands of fluorescence representing algal cells were clearly visible growing upward into brine channels in a fine network. Images of effective quantum yield (Phi(PSII)) revealed that the Phi(PSII) of algae embedded in the sea ice was approximately 0.5. Furthermore, Phi(PSII) decreased slightly with distance from the ice-water interface. The response of Antarctic sea ice algae to changes in irradiance and salinity, and the effects of slowly warming and melting the ice block sample were examined using this system. The Phi(PSII) of bottom-ice algae decreased as irradiance increased and salinities decreased. Bottom-ice algae appear to be most vulnerable to changes in their environment during the melting process of the ice, and this suggests that algae from this region of the ice may not be able to cope with the stress of melting during summer. Chlorophyll fluorescence imaging provides unprecedented imagery of chlorophyll distribution in sea ice and allows measurement of the responses of sea ice algae to environmental stresses with minimal disruption to their physical habitat. The results obtained with this method are comparable to those obtained with algae that have been melted into liquid culture and this indicates that previous melting protocols reveal meaningful data. In this chlorophyll imaging study, rapid light curves did not saturate and this may prevent further use of this configuration. (C) 2011 Elsevier B.V. All rights reserved.</t>
  </si>
  <si>
    <t>[Ryan, K. G.; Tay, M. L.; Martin, A.; Davy, S. K.] Victoria Univ Wellington, Sch Biol Sci, Wellington, New Zealand; [Martin, A.; McMinn, A.] Univ Tasmania, Inst Marine &amp; Antarctic Studies, Hobart, Tas, Australia</t>
  </si>
  <si>
    <t>Victoria University Wellington; University of Tasmania</t>
  </si>
  <si>
    <t>Ryan, KG (corresponding author), Victoria Univ Wellington, Sch Biol Sci, POB 600, Wellington, New Zealand.</t>
  </si>
  <si>
    <t>ken.ryan@vuw.ac.nz</t>
  </si>
  <si>
    <t>Ryan, Ken/F-5652-2013; McMinn, Andrew/A-9910-2008; Martin, Andrew/F-5688-2013; Tay, Mei/AAH-7288-2021</t>
  </si>
  <si>
    <t>Tay, Mei Lin/0000-0002-1704-120X; Martin, Andrew/0000-0001-8260-5529; Davy, Simon/0000-0003-3584-5356; Ryan, Ken/0000-0001-7075-0112</t>
  </si>
  <si>
    <t>New Zealand Foundation for Research Science and Technology [VICX0219, VICX0706]; Victoria University of Wellington</t>
  </si>
  <si>
    <t>New Zealand Foundation for Research Science and Technology(New Zealand Foundation for Research, Science and Technology); Victoria University of Wellington</t>
  </si>
  <si>
    <t>We are grateful to the Latitudinal Gradient Project and Antarctica NZ for logistic support especially Brian Staite, Rob Teesdale and Shulamit Gordon. For assistance at Gondwana Station we thank Daniel McNaughtan and Libby Liggins. The authors acknowledge the New Zealand Foundation for Research Science and Technology contracts VICX0219 and VICX0706, for funding for this work, and Victoria University of Wellington for a URF grant. [ST]</t>
  </si>
  <si>
    <t>APR 1</t>
  </si>
  <si>
    <t>10.1016/j.jembe.2011.01.006</t>
  </si>
  <si>
    <t>748KC</t>
  </si>
  <si>
    <t>WOS:000289388500008</t>
  </si>
  <si>
    <t>Hurwitz, MM; Newman, PA; Oman, LD; Molod, AM</t>
  </si>
  <si>
    <t>Hurwitz, M. M.; Newman, P. A.; Oman, L. D.; Molod, A. M.</t>
  </si>
  <si>
    <t>Response of the Antarctic Stratosphere to Two Types of El Nino Events</t>
  </si>
  <si>
    <t>JOURNAL OF THE ATMOSPHERIC SCIENCES</t>
  </si>
  <si>
    <t>CLIMATE; TEMPERATURE; OSCILLATION; ENSEMBLE</t>
  </si>
  <si>
    <t>This study is the first to identify a robust El Nino-Southern Oscillation (ENSO) signal in the Antarctic stratosphere. El Nino events between 1979 and 2009 are classified as either conventional cold tongue events (positive SST anomalies in the Nino-3 region) or warm pool events (positive SST anomalies in the Nino-4 region). The 40-yr ECMWF Re-Analysis (ERA-40), NCEP, and Modern Era Retrospective-Analysis for Research and Applications (MERRA) meteorological reanalyses are used to show that the Southern Hemisphere stratosphere responds differently to these two types of El Nino events. Consistent with previous studies, cold tongue events do not impact temperatures in the Antarctic stratosphere. During warm pool El Nino events, the poleward extension and increased strength of the South Pacific convergence zone favor an enhancement of planetary wave activity during September-November. On average, these conditions lead to higher polar stratospheric temperatures and a weakening of the Antarctic polar jet in November and December, as compared with neutral ENSO years. The phase of the quasi-biennial oscillation (QBO) modulates the stratospheric response to warm pool El Nino events; the strongest planetary wave driving events are coincident with the easterly phase of the QBO.</t>
  </si>
  <si>
    <t>[Hurwitz, M. M.] NASA, NASA Postdoctoral Program, Goddard Space Flight Ctr, Greenbelt, MD 20771 USA; [Molod, A. M.] Univ Maryland, Goddard Earth Sci &amp; Technol Ctr, Baltimore, MD 21201 USA</t>
  </si>
  <si>
    <t>National Aeronautics &amp; Space Administration (NASA); NASA Goddard Space Flight Center; National Aeronautics &amp; Space Administration (NASA); NASA Goddard Space Flight Center; University System of Maryland; University of Maryland Baltimore</t>
  </si>
  <si>
    <t>Hurwitz, MM (corresponding author), NASA, NASA Postdoctoral Program, Goddard Space Flight Ctr, Code 613-3, Greenbelt, MD 20771 USA.</t>
  </si>
  <si>
    <t>margaret.m.hurwitz@nasa.gov</t>
  </si>
  <si>
    <t>Molod, Andrea/J-8929-2018; Oman, Luke/C-2778-2009; Newman, Paul A./D-6208-2012</t>
  </si>
  <si>
    <t>Oman, Luke/0000-0002-5487-2598; Newman, Paul A./0000-0003-1139-2508</t>
  </si>
  <si>
    <t>MMH is supported by an appointment to the NASA Postdoctoral Program at Goddard Space Flight Center, administered by Oak Ridge Associated Universities through a contract with NASA. The authors thank NASA's MAP program for funding.</t>
  </si>
  <si>
    <t>0022-4928</t>
  </si>
  <si>
    <t>1520-0469</t>
  </si>
  <si>
    <t>J ATMOS SCI</t>
  </si>
  <si>
    <t>J. Atmos. Sci.</t>
  </si>
  <si>
    <t>10.1175/2011JAS3606.1</t>
  </si>
  <si>
    <t>749TC</t>
  </si>
  <si>
    <t>WOS:000289491800010</t>
  </si>
  <si>
    <t>Mueller, B; Pörschmann, U; Wolf, JBW; Trillmich, F</t>
  </si>
  <si>
    <t>Mueller, Birte; Poerschmann, Ulrich; Wolf, Jochen B. W.; Trillmich, Fritz</t>
  </si>
  <si>
    <t>Growth under uncertainty: The influence of marine variability on early development of Galapagos sea lions</t>
  </si>
  <si>
    <t>Galapagos sea lion; Zalophus wollebaeki; life history; growth; El Nino; sexual dimorphism</t>
  </si>
  <si>
    <t>SEXUAL-SIZE DIMORPHISM; ANTARCTIC FUR SEALS; MATERNAL INVESTMENT; ARCTOCEPHALUS-TROPICALIS; INTERANNUAL VARIATION; REPRODUCTIVE SUCCESS; LACTATION STRATEGIES; MILK CONSUMPTION; BODY-COMPOSITION; ELEPHANT SEALS</t>
  </si>
  <si>
    <t>P&gt;Development implies a change in allocation of resources from somatic growth to reproduction. In a highly variable environment, growth can vary from year to year thereby influencing the long-term life history perspective. The Galapagos sea lion (Zalophus wollebaeki) lives in a highly unpredictable marine environment in which food abundance varies not only seasonally, but also annually due to El Nino. Galapagos sea lions are restricted to a patch of cold upwelling waters surrounding the archipelago and are closely tied to land as nursing females alternate between foraging at sea and nursing ashore. Therefore, their offspring are especially vulnerable to ocean warming causing reduced food abundance. We found a significant correlation between sea surface temperature (SST) and early growth: Both mass at birth and linear growth within the first 2 mo of life correlated negatively with SST. Absolute mass gain was higher for males, but both sexes gained equally 1.9% of birth mass per day. Until the age of 3 yr male and female juveniles showed similar growth to an asymptotic mass of 40 and 35 kg, respectively. As a consequence of the highly variable environment, the plasticity in growth strategy of Galapagos sea lion juveniles appears wider than that of all other sea lions allowing them to cope with poor conditions.</t>
  </si>
  <si>
    <t>[Mueller, Birte; Poerschmann, Ulrich; Trillmich, Fritz] Univ Bielefeld, Dept Behav Biol, D-33615 Bielefeld, Germany; [Wolf, Jochen B. W.] Uppsala Univ, Dept Evolutionary Biol, Evolutionary Biol Ctr, SE-75236 Uppsala, Sweden</t>
  </si>
  <si>
    <t>University of Bielefeld; Uppsala University</t>
  </si>
  <si>
    <t>Mueller, B (corresponding author), Univ Bielefeld, Dept Behav Biol, Morgenbreede 45, D-33615 Bielefeld, Germany.</t>
  </si>
  <si>
    <t>birte.mueller@uni-bielefeld.de</t>
  </si>
  <si>
    <t>Wolf, Jochen B. W./U-2243-2017</t>
  </si>
  <si>
    <t>Wolf, Jochen B. W./0000-0002-2958-5183</t>
  </si>
  <si>
    <t>VW-Stiftung; Friends of the Galapagos Switzerland; German Research Foundation [TR 105/18]</t>
  </si>
  <si>
    <t>VW-Stiftung; Friends of the Galapagos Switzerland; German Research Foundation(German Research Foundation (DFG))</t>
  </si>
  <si>
    <t>This study was funded by VW-Stiftung, Friends of the Galapagos Switzerland, and the German Research Foundation under grant No. TR 105/18. We honor the permission and close collaboration of the Galapagos National Park Service and are very grateful for the support of the Charles Darwin Research Station and especially for the permission to use their SST data. This study could not have been done without the enduring field assistance by many helpers particularly of J. Jeglinski, K. Torres, M. Fowler, K. Martin, D. Serrano, J. P. Munoz, C. Suarez, and C. Youngflesh. We would also thank G. Kauermann and T. Krause for statistical advice, C. Schultz for his support with the database as well as B. Caspers, J. Jeglinksi, and T. Krause for helpful comments on this manuscript.</t>
  </si>
  <si>
    <t>10.1111/j.1748-7692.2010.00404.x</t>
  </si>
  <si>
    <t>749KU</t>
  </si>
  <si>
    <t>WOS:000289465900014</t>
  </si>
  <si>
    <t>Tastula, EM; Vihma, T</t>
  </si>
  <si>
    <t>Tastula, Esa-Matti; Vihma, Timo</t>
  </si>
  <si>
    <t>WRF Model Experiments on the Antarctic Atmosphere in Winter</t>
  </si>
  <si>
    <t>MONTHLY WEATHER REVIEW</t>
  </si>
  <si>
    <t>NONLOCAL CLOSURE-MODEL; STABLE BOUNDARY-LAYER; PART I; WEATHER RESEARCH; LAND-SURFACE; SOUTH-POLE; SEA-ICE; PREDICTION; SIMULATIONS; SENSITIVITY</t>
  </si>
  <si>
    <t>The standard and polar versions 3.1.1 of the Weather Research and Forecasting (WRF) model, both initialized by the 40-yr ECMWF Re-Analysis (ERA-40), were run in Antarctica for July 1998. Four different boundary layer surface layer radiation scheme combinations were used in the standard WRF. The model results were validated against observations of the 2-m temperature, surface pressure, and 10-m wind speed at 9 coastal and 2 inland stations. The best choice for boundary layer and radiation parameterizations of the standard WRF turned out to be the Yonsei University boundary layer scheme in conjunction with the fifth-generation Pennsylvania State University National Center for Atmospheric Research Mesoscale Model (MM5) surface layer scheme and the Rapid Radiative Transfer Model for longwave radiation. The respective temperature bias was on the order of 3 degrees C less than the biases obtained with the other combinations. Increasing the minimum value for eddy diffusivity did, however, improve the performance of the asymmetric convective scheme by 0.8 degrees C. Averaged over the 11 stations, the error growths in 24-h forecasts were almost identical for the standard and Polar WRF, but in 9-day forecasts Polar WRF gave a smaller 2-m temperature bias. For the Vostok station, however, the standard WRF gave a less positively biased 24-h temperature forecast. On average, the polar version gave the least biased surface pressure simulation. The wind speed simulation was characterized by low correlation values, especially under weak winds and for stations surrounded by complex topography.</t>
  </si>
  <si>
    <t>[Tastula, Esa-Matti] Univ Helsinki, Dept Phys, FIN-00014 Helsinki, Finland; [Vihma, Timo] Finnish Meteorol Inst, FIN-00101 Helsinki, Finland</t>
  </si>
  <si>
    <t>University of Helsinki; Finnish Meteorological Institute</t>
  </si>
  <si>
    <t>Tastula, EM (corresponding author), Univ Helsinki, Dept Phys, PL 64,Gustaf Hallstromin Katu 2A, FIN-00014 Helsinki, Finland.</t>
  </si>
  <si>
    <t>esa-matti.tastula@helsinki.fi</t>
  </si>
  <si>
    <t>Vihma, Timo/ABC-9771-2020</t>
  </si>
  <si>
    <t>Academy of Finland [128533, 128799]; Academy of Finland (AKA) [128799, 128533] Funding Source: Academy of Finland (AKA)</t>
  </si>
  <si>
    <t>Academy of Finland(Research Council of Finland); Academy of Finland (AKA)(Research Council of Finland)</t>
  </si>
  <si>
    <t>We thank David Bromwich for providing us with the Polar WRF model code and Hannu Savijarvi for fruitful discussions. The study was supported by the Academy of Finland (Contracts 128533 and 128799). The computing resources were provided by CSC-IT Center for Science, Espoo, Finland.</t>
  </si>
  <si>
    <t>0027-0644</t>
  </si>
  <si>
    <t>1520-0493</t>
  </si>
  <si>
    <t>MON WEATHER REV</t>
  </si>
  <si>
    <t>Mon. Weather Rev.</t>
  </si>
  <si>
    <t>10.1175/2010MWR3478.1</t>
  </si>
  <si>
    <t>751DH</t>
  </si>
  <si>
    <t>WOS:000289597200014</t>
  </si>
  <si>
    <t>Xu, C; Shang, XD; Huang, RX</t>
  </si>
  <si>
    <t>Xu, Chi; Shang, Xiao-Dong; Huang, Rui Xin</t>
  </si>
  <si>
    <t>Estimate of eddy energy generation/dissipation rate in the world ocean from altimetry data</t>
  </si>
  <si>
    <t>Mesoscale eddies; Altimetry data; Generation/dissipation rate; Two-layer model</t>
  </si>
  <si>
    <t>MESOSCALE VARIABILITY; POTENTIAL-ENERGY; NORTH-ATLANTIC; KINETIC-ENERGY; CIRCULATION; WIND; TOPEX/POSEIDON; INSTABILITY; PARTITION</t>
  </si>
  <si>
    <t>Assuming eddy kinetic energy is equally partitioned between the barotropic mode and the first baroclinic mode and using the weekly TOPEX/ERS merged data for the period of 1993 similar to 2007, the mean eddy kinetic energy and eddy available gravitational potential energy in the world oceans are estimated at 0.157 and 0.224 EJ; the annual mean generation/dissipation rate of eddy kinetic energy and available gravitational potential energy in the world oceans is estimated at 0.203 TW. Scaling and data analysis indicate that eddy available gravitational potential energy and its generation/dissipation rate are larger than those of eddy kinetic energy. High rate of eddy energy generation/dissipation is primarily concentrated in eddy-rich regions, such as the Antarctic Circumpolar Current and the western boundary current extensions. Outside of these regimes of intense current, the energy generation/dissipation rate is two to four orders of magnitude lower than the peak values; however, along the eastern boundaries and in the region where complicated topography and current interact the eddy energy generation/dissipation rate is several times larger than those in background.</t>
  </si>
  <si>
    <t>[Xu, Chi; Shang, Xiao-Dong] Chinese Acad Sci, S China Sea Inst Oceanol, Key Lab Trop Marine Environm Dynam, Guangzhou 510301, Guangdong, Peoples R China; [Huang, Rui Xin] Woods Hole Oceanog Inst, Woods Hole, MA 02543 USA; [Xu, Chi] Chinese Acad Sci, Grad Univ, Beijing 100049, Peoples R China</t>
  </si>
  <si>
    <t>Chinese Academy of Sciences; South China Sea Institute of Oceanology, CAS; Woods Hole Oceanographic Institution; Chinese Academy of Sciences; University of Chinese Academy of Sciences, CAS</t>
  </si>
  <si>
    <t>Shang, XD (corresponding author), Chinese Acad Sci, S China Sea Inst Oceanol, Key Lab Trop Marine Environm Dynam, Guangzhou 510301, Guangdong, Peoples R China.</t>
  </si>
  <si>
    <t>xdshang@scsio.ac.cn</t>
  </si>
  <si>
    <t>huang, rui/JYP-3898-2024</t>
  </si>
  <si>
    <t>Xu, Chi/0000-0002-6117-3509</t>
  </si>
  <si>
    <t>[KZCX1-YW-12-02]; [40976010]; [40776008]; [U1033002]</t>
  </si>
  <si>
    <t>; ; ;</t>
  </si>
  <si>
    <t>This study used altimeter data available by the AVISO Altimetry Operations Center, plus hydrographic data World Ocean Atlas 2001 provided by the US National Oceanographic Data Center. Reviewers' critical comments helped us improving the presentation of this paper. This study is supported by grants KZCX1-YW-12-02, 40976010, 40776008, and U1033002.</t>
  </si>
  <si>
    <t>10.1007/s10236-011-0377-8</t>
  </si>
  <si>
    <t>750ES</t>
  </si>
  <si>
    <t>WOS:000289528400009</t>
  </si>
  <si>
    <t>Hörandl, E; Emadzade, K</t>
  </si>
  <si>
    <t>Hoerandl, Elvira; Emadzade, Khatere</t>
  </si>
  <si>
    <t>The evolution and biogeography of alpine species in Ranunculus (Ranunculaceae): A global comparison</t>
  </si>
  <si>
    <t>TAXON</t>
  </si>
  <si>
    <t>alpine biota; adaptive radiations; biogeographical history; ecology; molecular phylogenetics; Ranunculus; speciation</t>
  </si>
  <si>
    <t>ALPESTRIS-GROUP RANUNCULACEAE; PHYLOGENETIC-RELATIONSHIPS; MOLECULAR PHYLOGENY; TRANSOCEANIC DISPERSAL; EUROPEAN ALPS; ARCTIC FLORA; DIVERSIFICATION; HISTORY; PLANTS; DNA</t>
  </si>
  <si>
    <t>The origin and evolution of alpine floras potentially can be shaped by immigration via long-distance dispersal or migration over mountain chains. Alternatively, origins of alpine species may be referred to regional speciation via origins from lowland ancestors and adaptation to high altitudes. Moreover, evolutionary histories of alpine species have also been influenced by Quaternary glaciations. Range fluctuations due to climatic oscillations have caused vicariant speciation and secondary contact hybridization. However, comparative phylogenetic studies on alpine floras from mountain systems of different continents are scarce. Here we review the phylogenetic relationships of alpine species of Ranunculus, an almost cosmopolitan genus with alpine representatives in all major mountain systems of the world. Based on molecular phylogenetic analysis of 245 alpine and lowland species (based on a combined dataset of ITS, matK, trnK and psbJ-petA sequences), we try to elucidate origins of alpine buttercups. Results suggest that most major mountain systems (European Alpine System, Irano-Turanian mountains, Himalayas, Central Asian mountains, African mountains, and Andes) have been colonized multiple times independently; only the North American alpine species fall all into one clade. In the European and Irano-Turanian mountains, recruitment of alpine species from lower altitudes of the same area, and migration within the Tethyan area might have played a major role. The alpine species of the Himalayas, the Central Asian mountains, the North American alpine species and the Arctic species fall into another, distinct clade, which may suggest a northern migration route. The North American alpine clade comprises many lowland species and might have diversified via adaptive radiation. In contrast, the Himalayan species have no lowland source flora and might have originated from immigrants of the Central Asian mountains. Tropical alpine Ranunculi in the mountains of Eastern Africa and in Taiwan have originated after long-distance dispersal from other continents. The origin of the New Zealand alpines could have been referred to long-distance dispersal, probably following southern migration routes via the Antarctic and South America. The Andes have been colonized multiple times by related genera of Ranunculus. We conclude that autochthonous origins and regional diversification of buttercups play a major role in northern hemispheric mountain systems, where alpine species could have evolved from rich lowland source floras. In subtropical to tropical mountain systems, and in the Southern Hemisphere, alpine species have been rather recruited via immigration, including long-distance dispersal from other continents. A high adaptive potential of Ranunculus to alpine habitats might have helped to evolve alpine species all over the world.</t>
  </si>
  <si>
    <t>[Hoerandl, Elvira; Emadzade, Khatere] Univ Vienna, Dept Systemat &amp; Evolutionary Bot, Fac Life Sci, A-1030 Vienna, Austria</t>
  </si>
  <si>
    <t>University of Vienna</t>
  </si>
  <si>
    <t>Hörandl, E (corresponding author), Univ Vienna, Dept Systemat &amp; Evolutionary Bot, Fac Life Sci, Rennweg 14, A-1030 Vienna, Austria.</t>
  </si>
  <si>
    <t>elvira.hoerandl@univie.ac.at</t>
  </si>
  <si>
    <t>Horandl, Elvira/AAQ-9588-2021</t>
  </si>
  <si>
    <t>Commission for Interdisciplinary Ecological Studies (KIOS) of the Austrian Academy of Sciences (OAW); National Geographic Society [8773-08]; Austrian Exchange Service (OAD)</t>
  </si>
  <si>
    <t>Commission for Interdisciplinary Ecological Studies (KIOS) of the Austrian Academy of Sciences (OAW); National Geographic Society(National Geographic Society); Austrian Exchange Service (OAD)</t>
  </si>
  <si>
    <t>We thank many colleagues for help with material collections. The authors are grateful to the Commission for Interdisciplinary Ecological Studies (KIOS) of the Austrian Academy of Sciences (OAW), the National Geographic Society (project 8773-08) for grants to E.H., and the Austrian Exchange Service (OAD) for a Ph.D. student grant to K.E.</t>
  </si>
  <si>
    <t>0040-0262</t>
  </si>
  <si>
    <t>1996-8175</t>
  </si>
  <si>
    <t>Taxon</t>
  </si>
  <si>
    <t>10.1002/tax.602011</t>
  </si>
  <si>
    <t>Plant Sciences; Evolutionary Biology</t>
  </si>
  <si>
    <t>750ZN</t>
  </si>
  <si>
    <t>WOS:000289587100011</t>
  </si>
  <si>
    <t>Marsaglia, KM; Martin, CE; Kautz, CQ; Shapiro, SA; Carter, L</t>
  </si>
  <si>
    <t>Marsaglia, Kathleen M.; Martin, Candace E.; Kautz, Christopher Q.; Shapiro, Shawn A.; Carter, Lionel</t>
  </si>
  <si>
    <t>Linking a late Miocene-Pliocene hiatus in the deep-sea Bounty Fan off South Island, New Zealand, to onshore tectonism and lacustrine sediment storage</t>
  </si>
  <si>
    <t>EASTERN NEW-ZEALAND; ALPINE FAULT; CONTINENTAL-SHELF; PLATE MOTIONS; PACIFIC-OCEAN; CENTRAL OTAGO; SW PACIFIC; EVOLUTION; SYSTEM; STRATIGRAPHY</t>
  </si>
  <si>
    <t>The cored record at Ocean Drilling Program Site 1122, located on the levee of the Bounty Fan off southeastern New Zealand, shows a major late Miocene to Pliocene (11.0-3.5 Ma) hiatus in sedimentation. This hiatus straddles a period of major uplift in the Southern Alps where the rivers that feed sediment to the Bounty Fan are ultimately sourced. There are no significant changes in sediment provenance across this interval. We link this hiatus to a combination of decreased sediment supply owing to tectonic disruption of fluvial drainage and a roughly simultaneous increase in bottom-current strength. Evidence for this scenario includes the distribution of current-generated structures in the core, the relative timing of an onshore transition from fluvial to lacustrine sedimentation, and a potential post-hiatus pulse of more weathered sediment into the Bounty Fan. This sediment pulse was possibly associated with the reestablishment of throughgoing drainage and the erosion and flushing of stored alluvial to lacustrine sediments through the system. Thus the Bounty Fan provides an excellent example of how the complex interplay between tectonic and paleoceanographic forces can affect the sedimentary record in deep-marine systems.</t>
  </si>
  <si>
    <t>[Marsaglia, Kathleen M.; Shapiro, Shawn A.] Calif State Univ Northridge, Dept Geol Sci, Northridge, CA 91330 USA; [Martin, Candace E.; Kautz, Christopher Q.] Univ Otago, Dept Geol, Dunedin 9054, New Zealand; [Carter, Lionel] Victoria Univ Wellington, Antarctic Res Ctr, Wellington 6140, New Zealand</t>
  </si>
  <si>
    <t>California State University System; California State University Northridge; University of Otago; Victoria University Wellington</t>
  </si>
  <si>
    <t>Marsaglia, KM (corresponding author), Calif State Univ Northridge, Dept Geol Sci, 18111 Nordhoff St, Northridge, CA 91330 USA.</t>
  </si>
  <si>
    <t>10.1130/GES00621.1</t>
  </si>
  <si>
    <t>743CH</t>
  </si>
  <si>
    <t>WOS:000288993400003</t>
  </si>
  <si>
    <t>Cayley, RA</t>
  </si>
  <si>
    <t>Cayley, R. A.</t>
  </si>
  <si>
    <t>Exotic crustal block accretion to the eastern Gondwanaland margin in the Late Cambrian-Tasmania, the Selwyn Block, and implications for the Cambrian-Silurian evolution of the Ross, Delamerian, and Lachlan orogens</t>
  </si>
  <si>
    <t>GONDWANA RESEARCH</t>
  </si>
  <si>
    <t>Northern Victoria Land; East Gondwanaland; Tectonic escape; Trapped plate segment; Geological evolution</t>
  </si>
  <si>
    <t>NORTHERN VICTORIA LAND; NEW-SOUTH-WALES; WESTERN UNITED-STATES; SOUTHEASTERN AUSTRALIA; TECTONIC EVOLUTION; TRANSANTARCTIC MOUNTAINS; ANTARCTIC MARGIN; NEW-ZEALAND; FOLD BELT; KINEMATIC EVOLUTION</t>
  </si>
  <si>
    <t>Reconstructions of the Cambrian-Silurian tectonic evolution of eastern Gondwanaland, when the Australian Tasmanides and Antarctic Ross Orogen developed, rely on correlation between structural elements in SE Australia and Northern Victoria Land (NVL), Antarctica. A variety of published models exist but none completely solve the tectonic puzzle that is the Delamerian-Lachlan transition in the Tasmanides. This paper summarizes the understanding of Cambrian (Delamerian) to Silurian (Lachlan) geological evolution of the eastern Tasmanides, taking into account new deep seismic data that clarifies the geological connection between Victoria and Tasmania the 'Selwyn Block' model. It evaluates previous attempts at correlation between NVL, Tasmania and Victoria, and presents a new scenario that encompasses the most robust correlations. Tasmania together with the Selwyn Block is reinterpreted as an exotic Proterozoic microcontinental block - 'VanDieland' - that collided into the east Gondwanaland margin south of western Victoria, and north of NVL in the Late Cambrian, perhaps terminating the Delamerian Orogeny in SE Australia. Subsequent north-east 'tectonic escape' of VanDieland in the Early Ordovician explains the present-day outboard position of Tasmania with respect to the rest of the Delamerian orogen, the origin of the hiatus that separates the Delamerian and Lachlan orogenic cycles in Australia, and how western Lachlan oceanic crust developed as a 'trapped plate-segment'. The model establishes a new structural template for subsequent Lachlan Orogen development and Mesozoic Australia-Antarctica separation. Crown Copyright (C) 2010 Published by Elsevier B.V. on behalf of International Association for Gondwana Research. All rights reserved.</t>
  </si>
  <si>
    <t>Geol Survey Victoria, Dept Primary Ind, Melbourne, Vic 3001, Australia</t>
  </si>
  <si>
    <t>Victorian Department of Environment &amp; Primary Industries</t>
  </si>
  <si>
    <t>Cayley, RA (corresponding author), Geol Survey Victoria, Dept Primary Ind, GPO Box 4440, Melbourne, Vic 3001, Australia.</t>
  </si>
  <si>
    <t>Ross.Cayley@dpi.vic.gov.au</t>
  </si>
  <si>
    <t>1342-937X</t>
  </si>
  <si>
    <t>GONDWANA RES</t>
  </si>
  <si>
    <t>Gondwana Res.</t>
  </si>
  <si>
    <t>10.1016/j.gr.2010.11.013</t>
  </si>
  <si>
    <t>743VO</t>
  </si>
  <si>
    <t>WOS:000289047000006</t>
  </si>
  <si>
    <t>Moeller, HV; Johnson, MD; Falkowski, PG</t>
  </si>
  <si>
    <t>Moeller, Holly V.; Johnson, Matthew D.; Falkowski, Paul G.</t>
  </si>
  <si>
    <t>PHOTOACCLIMATION IN THE PHOTOTROPHIC MARINE CILIATE MESODINIUM RUBRUM (CILIOPHORA)</t>
  </si>
  <si>
    <t>ciliate; Geminigera cryophila; karyoklepty; light limitation; Mesodinium rubrum; Myrionecta rubra; photoacclimation; quantum yield for growth</t>
  </si>
  <si>
    <t>MYRIONECTA-RUBRA; GROWTH-IRRADIANCE; RED WATER; ANTARCTIC PHYTOPLANKTON; DUNALIELLA-TERTIOLECTA; PHOTOSYNTHESIS; TEMPERATURE; ALGAE; LIGHT; SEA</t>
  </si>
  <si>
    <t>Mesodinium rubrum (=Myrionecta rubra), a marine ciliate, acquires plastids, mitochondria, and nuclei from cryptophyte algae. Using a strain of M. rubrum isolated from McMurdo Sound, Antarctica, we investigated the photoacclimation potential of this trophically unique organism at a range of low irradiance levels. The compensation growth irradiance for M. rubrum was 0.5 mu mol quanta center dot m-2 center dot s-1, and growth rate saturated at similar to 20 mu mol quanta center dot m-2 center dot s-1. The strain displayed trends in photosynthetic efficiency and pigment content characteristic of marine phototrophs. Maximum chl a-specific photosynthetic rates were an order of magnitude slower than temperate strains, while growth rates were half as large, suggesting that a thermal limit to enzyme kinetics produces a fundamental limit to cell function. M. rubrum acclimates to light- and temperature-limited polar conditions and closely regulates photosynthesis in its cryptophyte organelles. By acquiring and maintaining physiologically viable, plastic plastids, M. rubrum establishes a selective advantage over purely heterotrophic ciliates but reduces competition with other phototrophs by exploiting a very low-light niche.</t>
  </si>
  <si>
    <t>[Moeller, Holly V.; Johnson, Matthew D.; Falkowski, Paul G.] Rutgers State Univ, Inst Marine &amp; Coastal Sci, Environm Biophys &amp; Mol Ecol Program, New Brunswick, NJ 08901 USA; [Falkowski, Paul G.] Rutgers State Univ, Dept Earth &amp; Planetary Sci, Piscataway, NJ 08854 USA</t>
  </si>
  <si>
    <t>Rutgers University System; Rutgers University New Brunswick; Rutgers University System; Rutgers University New Brunswick</t>
  </si>
  <si>
    <t>Falkowski, PG (corresponding author), Rutgers State Univ, Inst Marine &amp; Coastal Sci, Environm Biophys &amp; Mol Ecol Program, 71 Dudley Rd, New Brunswick, NJ 08901 USA.</t>
  </si>
  <si>
    <t>falko@marine.rutgers.edu</t>
  </si>
  <si>
    <t>Johnson, Matthew/B-4344-2012</t>
  </si>
  <si>
    <t>Johnson, Matthew/0000-0003-4853-2674</t>
  </si>
  <si>
    <t>Barry M. Goldwater Foundation; Henry Rutgers Scholars Program; Rutgers University; National Science Foundation [0851982]; Division Of Ocean Sciences; Directorate For Geosciences [0851982] Funding Source: National Science Foundation</t>
  </si>
  <si>
    <t>Barry M. Goldwater Foundation; Henry Rutgers Scholars Program; Rutgers University; National Science Foundation(National Science Foundation (NSF)); Division Of Ocean Sciences; Directorate For Geosciences(National Science Foundation (NSF)NSF - Directorate for Geosciences (GEO))</t>
  </si>
  <si>
    <t>We thank Charlotte Fuller for analysis of sample carbon and nitrogen content, Kevin Wyman for laboratory support, and two anonymous reviewers for helpful comments. This research was supported in part by a Barry M. Goldwater Foundation Scholarship and through the Henry Rutgers Scholars Program (H. V. M.), by a Rutgers University institutional post-doctoral fellowship (M. D. J.), and by the National Science Foundation (Grant #0851982 to P. G. F. and M. D. J.).</t>
  </si>
  <si>
    <t>10.1111/j.1529-8817.2010.00954.x</t>
  </si>
  <si>
    <t>745JW</t>
  </si>
  <si>
    <t>WOS:000289162700011</t>
  </si>
  <si>
    <t>Raphael, MN; Hobbs, W; Wainer, I</t>
  </si>
  <si>
    <t>Raphael, M. N.; Hobbs, W.; Wainer, I.</t>
  </si>
  <si>
    <t>The effect of Antarctic sea ice on the Southern Hemisphere atmosphere during the southern summer</t>
  </si>
  <si>
    <t>ANNULAR MODE; CLIMATE; CIRCULATION; VARIABILITY; OSCILLATION; SURFACE; DIPOLE; SYSTEM; WINTER</t>
  </si>
  <si>
    <t>This study examines the influence of Antarctic sea ice distribution on the large scale circulation of the Southern Hemisphere using a fully coupled GCM where the sea ice submodel is replaced by a climatology of observed extremes in sea ice concentration. Three 150-year simulations were completed for maximum, minimum and average sea ice concentrations and the results for the austral summer (January-March) were compared using the surface temperatures forced by the sea ice distributions as a filter for creating the composite differences. The results indicate that in the austral summer the polar cell expands (contracts) under minimum (maximum) sea ice conditions with corresponding shifts in the midlatitude Ferrell cell. We suggest that this response occurs because sea ice lies in the margin between the polar and midlatitude cells. The polarity of the Southern Hemisphere Annular (SAM) mode is also influenced such that when sea ice is at a minimum (maximum) the polarity of the SAM tends to be negative (positive).</t>
  </si>
  <si>
    <t>[Raphael, M. N.; Hobbs, W.] Univ Calif Los Angeles, Dept Geog, Los Angeles, CA 90024 USA; [Wainer, I.] Univ Sao Paulo, Sao Paulo, Brazil</t>
  </si>
  <si>
    <t>University of California System; University of California Los Angeles; Universidade de Sao Paulo</t>
  </si>
  <si>
    <t>Raphael, MN (corresponding author), Univ Calif Los Angeles, Dept Geog, Los Angeles, CA 90024 USA.</t>
  </si>
  <si>
    <t>raphael@geog.ucla.edu</t>
  </si>
  <si>
    <t>Criosfera, Inct/J-8639-2013; Hobbs, Will/P-8094-2019; WAINER, ILANA/B-4540-2011</t>
  </si>
  <si>
    <t>Hobbs, Will/0000-0002-2061-0899; WAINER, ILANA/0000-0003-3784-623X</t>
  </si>
  <si>
    <t>National Science Foundation [0327268]; Directorate For Geosciences [0327268] Funding Source: National Science Foundation; Div Atmospheric &amp; Geospace Sciences [0327268] Funding Source: National Science Foundation</t>
  </si>
  <si>
    <t>National Science Foundation(National Science Foundation (NSF)); Directorate For Geosciences(National Science Foundation (NSF)NSF - Directorate for Geosciences (GEO)); Div Atmospheric &amp; Geospace Sciences(National Science Foundation (NSF)NSF - Directorate for Geosciences (GEO))</t>
  </si>
  <si>
    <t>This research is funded by the National Science Foundation ATM#0327268. Model runs were completed at the National Center for Atmospheric Research. Much of this work was undertaken whilst the authors were visiting the National Center for Atmospheric Research. We are grateful to Dr. Clara Deser for her helpful suggestions. We also thank two anonymous reviewers who made valuable comments and suggestions that improved the quality of the manuscript.</t>
  </si>
  <si>
    <t>10.1007/s00382-010-0892-1</t>
  </si>
  <si>
    <t>744PA</t>
  </si>
  <si>
    <t>WOS:000289105300012</t>
  </si>
  <si>
    <t>Christie, DA; Boninsegna, JA; Cleaveland, MK; Lara, A; Le Quesne, C; Morales, MS; Mudelsee, M; Stahle, DW; Villalba, R</t>
  </si>
  <si>
    <t>Christie, Duncan A.; Boninsegna, Jose A.; Cleaveland, Malcolm K.; Lara, Antonio; Le Quesne, Carlos; Morales, Mariano S.; Mudelsee, Manfred; Stahle, David W.; Villalba, Ricardo</t>
  </si>
  <si>
    <t>Aridity changes in the Temperate-Mediterranean transition of the Andes since ad 1346 reconstructed from tree-rings</t>
  </si>
  <si>
    <t>South-central Andes; Climatic transition; Palmer Drought Severity Index; Tree-rings; Austrocedrus chilensis; Climate change; AAO</t>
  </si>
  <si>
    <t>EQUILIBRIUM-LINE ALTITUDE; NORTHERN PATAGONIA; CENTRAL CHILE; VARIABILITY; PRECIPITATION; FOREST; CIRCULATION; ARGENTINA; DENDROCLIMATOLOGY; OSCILLATION</t>
  </si>
  <si>
    <t>The Andes Cordillera acts as regional Water Towers for several countries and encompasses a wide range of ecosystems and climates. Several hydroclimatic changes have been described for portions of the Andes during recent years, including glacier retreat, negative precipitation trends, an elevation rise in the 0A degrees isotherm, and changes in regional streamflow regimes. The Temperate-Mediterranean transition (TMT) zone of the Andes (35.5A degrees aEuro39.5A degrees S) is particularly at risk to climate change because it is a biodiversity hotspot with heavy human population pressure on water resources. In this paper we utilize a new tree-ring network of Austrocedrus chilensis to reconstruct past variations in regional moisture in the TMT of the Andes by means of the Palmer Drought Severity Index (PDSI). The reconstruction covers the past 657 years and captures interannual to decadal scales of variability in late spring-early summer PDSI. These changes are related to the north-south oscillations in moisture conditions between the Mediterranean and Temperate climates of the Andes as a consequence of the latitudinal position of the storm tracks forced by large-scale circulation modes. Kernel estimation of occurrence rates reveals an unprecedented increment of severe and extreme drought events during the last century in the context of the previous six centuries. Moisture conditions in our study region are linked to tropical and high-latitude ocean-atmospheric forcing, with PDSI positively related to Nio-3.4 SST during spring and strongly negatively correlated with the Antarctic Oscillation (AAO) during summer. Geopotential anomaly maps at 500-hPa show that extreme dry years are tightly associated with negative height anomalies in the Ross-Amundsen Seas, in concordance with the strong negative relationship between PDSI and AAO. The twentieth century increase in extreme drought events in the TMT may not be related to ENSO but to the positive AAO trend during late-spring and summer resulting from a gradual poleward shift of the mid-latitude storm tracks. This first PDSI reconstruction for South America demonstrates the highly significant hindcast skill of A. chilensis as an aridity proxy.</t>
  </si>
  <si>
    <t>[Christie, Duncan A.; Lara, Antonio; Le Quesne, Carlos] Univ Austral Chile, Lab Dendrocronol, Fac Ciencias Forestales &amp; Recursos Nat, Valdivia, Chile; [Boninsegna, Jose A.; Morales, Mariano S.; Villalba, Ricardo] IANIGLA, Dept Dendrocronol &amp; Hist Ambiental, Inst Argentino Nivol Glaciol &amp; Ciencias Ambiental, RA-5500 Mendoza, Argentina; [Cleaveland, Malcolm K.; Stahle, David W.] Univ Arkansas, Tree Ring Lab, Dept Geosci, Fayetteville, AR 72701 USA; [Lara, Antonio] Univ Austral Chile, Forest Ecosyst Serv Climat Fluctuat Forecos, Valdivia, Chile; [Mudelsee, Manfred] Climate Risk Anal, D-30167 Hannover, Germany; [Mudelsee, Manfred] Alfred Wegener Inst Polar &amp; Marine Res, D-27570 Bremerhaven, Germany</t>
  </si>
  <si>
    <t>Universidad Austral de Chile; University Nacional Cuyo Mendoza; University of Arkansas System; University of Arkansas Fayetteville; Universidad Austral de Chile; Helmholtz Association; Alfred Wegener Institute, Helmholtz Centre for Polar &amp; Marine Research</t>
  </si>
  <si>
    <t>Christie, DA (corresponding author), Univ Austral Chile, Lab Dendrocronol, Fac Ciencias Forestales &amp; Recursos Nat, Casilla 567, Valdivia, Chile.</t>
  </si>
  <si>
    <t>duncanchristieb@gmail.com</t>
  </si>
  <si>
    <t>Christie, Duncan A./Q-7114-2016; Mudelsee, Manfred/C-6063-2018</t>
  </si>
  <si>
    <t>Christie, Duncan A./0000-0003-2540-0986; Villalba, Ricardo/0000-0001-8183-0310; Mudelsee, Manfred/0000-0002-2364-9561; Lara, Antonio/0000-0003-4998-4584</t>
  </si>
  <si>
    <t>US National Science Foundation [2047, GEO-0452325]; Universidad Austral de Chile [DID-UACh D-2007-07]; Chilean Research Council (FONDECYT) [1050298, PDA-24]; Chilean Ministry of Planning (ICM) [P04-065-F]; Argentinean Agency for Promotion of Science (PICTR) [02-186]</t>
  </si>
  <si>
    <t>US National Science Foundation(National Science Foundation (NSF)); Universidad Austral de Chile; Chilean Research Council (FONDECYT)(Comision Nacional de Investigacion Cientifica y Tecnologica (CONICYT)CONICYT FONDECYT); Chilean Ministry of Planning (ICM); Argentinean Agency for Promotion of Science (PICTR)</t>
  </si>
  <si>
    <t>This work was carried out with the aid of grants from the Inter-American Institute for Global Change Research (IAI) CRN II # 2047 supported by the US National Science Foundation (GEO-0452325), Universidad Austral de Chile (DID-UACh D-2007-07), Chilean Research Council (FONDECYT 1050298 and FONDECYT PDA-24), Chilean Ministry of Planning (ICM project P04-065-F), and the Argentinean Agency for Promotion of Science (PICTR 02-186). We are grateful to D. Shea from the NCAR Climate and Global Dynamics Division for providing the Nino-3.4 region SST record extracted from Hurrell et al. (2008). The AAO data were obtained from Joint Institute for the Study of the Atmosphere and Ocean (JISAO; http://jisao.washington.edu/data/aao/). Other than the first author, order of authorship is alphabetical. D. C. is grateful to M a Paz Pena, Natalia Carrasco and Mauricio Fuentes for their great help during fieldwork and Jonathan Barichivich for helpful discussion about this research. We acknowledge Chilean Forest Service CONAF, Juan Manquepi, Lito Caceres, and Comunidad Pehuenche Ralko-Lepoy for permission to collect A. chilensis samples.</t>
  </si>
  <si>
    <t>10.1007/s00382-009-0723-4</t>
  </si>
  <si>
    <t>WOS:000289105300019</t>
  </si>
  <si>
    <t>Zwart, SR; Mehta, SK; Ploutz-Snyder, R; Liourbeau, Y; Locke, JP; Pierson, DL; Smith, SM</t>
  </si>
  <si>
    <t>Zwart, Sara R.; Mehta, Satish K.; Ploutz-Snyder, Robert; Liourbeau, YaVonne; Locke, James P.; Pierson, Duane L.; Smith, Scott M.</t>
  </si>
  <si>
    <t>Response to Vitamin D Supplementation during Antarctic Winter Is Related to BMI, and Supplementation Can Mitigate Epstein-Barr Virus Reactivation</t>
  </si>
  <si>
    <t>SPACE-FLIGHT; CALCIUM-METABOLISM; HEALTH; ASTRONAUTS; DISEASE; SPACEFLIGHT; PERSPECTIVE; IMMUNITY; STATION; CANCER</t>
  </si>
  <si>
    <t>Maintaining vitamin D status without sunlight exposure is difficult without supplementation. This study was designed to better understand interrelatiorships between periodic vitamin D supplementation and immune function n Antarctic workers. The effect of 2 oral dosing regimens of vitamin D supplementation on vitamin D status and markers of immune function was evaluated in people in Antarctica with no UV light exposure for 6 mo. Participants were given a 2000-IU (50 mu g) daily (n = 15) or 10.000 IU (250 mu g) weekly (n = 14) vitamin D supplement for 6 mo during a winter in Antarctica. Biological samples were collected at baseline and at 3 and 6 mo. Vitamin D intake, markers of vitamin D and bone metabolism. and latent virus reactivation were determined. After 6 mo, the serum 25-hydroxyvitamin D concentration (mean SD) increased from 56 +/- 17 to 79 +/- 16 mmol/L and from 52 = 10 to 60 +/- 9 nmol/1 in the 2000-IU/d and 10,000-IU/wk groups, respectively (main effect over time, P &lt; 0.001). Participants with a greater BMI (participant BMI range = 19-43 g/m(2)) had a smaller increase in 25-hyd-oxyvitamin D after 6 mo supplementation (P &lt; 0.05). Participants with high serum cortisol and higher serum 25-hydroxyvitamin D were less likely to shed Epstein Barr virus in saliva (P &lt; 0.05). The aoses given raised vitamn D status in participants not exposed to sunlight for 6 mo, and the efficacy was influenced by baseline vitamin D status and BMI. The data also provide evidence trial vitamin D, interacting with stress, can reduce risk of latent virus reactivation during the winter in Antarctica. J. Nutr, 141: 692-697, 2011.</t>
  </si>
  <si>
    <t>[Locke, James P.; Pierson, Duane L.; Smith, Scott M.] NASA, Johnson Space Ctr, Space Life Sci Directorate, Houston, TX 77058 USA; [Zwart, Sara R.; Ploutz-Snyder, Robert] Univ Space Res Assoc, Houston, TX 77058 USA; [Mehta, Satish K.; Liourbeau, YaVonne] Enterprise Advisory Serv Inc, Houston, TX 77058 USA</t>
  </si>
  <si>
    <t>National Aeronautics &amp; Space Administration (NASA); NASA Johnson Space Center; Universities Space Research Association (USRA)</t>
  </si>
  <si>
    <t>Smith, SM (corresponding author), NASA, Johnson Space Ctr, Space Life Sci Directorate, Houston, TX 77058 USA.</t>
  </si>
  <si>
    <t>NASA; National Science Foundation</t>
  </si>
  <si>
    <t>NASA(National Aeronautics &amp; Space Administration (NASA)); National Science Foundation(National Science Foundation (NSF))</t>
  </si>
  <si>
    <t>Supported by The NASA Human Research Program Human Health and Countermeasures Element and made possible by the National Science Foundation</t>
  </si>
  <si>
    <t>AMER SOC NUTRITIONAL SCIENCE</t>
  </si>
  <si>
    <t>9650 ROCKVILLE PIKE, RM L-2407A, BETHESDA, MD 20814 USA</t>
  </si>
  <si>
    <t>10.3945/jn.110.134742</t>
  </si>
  <si>
    <t>741PU</t>
  </si>
  <si>
    <t>WOS:000288876800023</t>
  </si>
  <si>
    <t>Scher, HD; Bohaty, SM; Zachos, JC; Delaney, ML</t>
  </si>
  <si>
    <t>Scher, Howie D.; Bohaty, Steven M.; Zachos, James C.; Delaney, Margaret L.</t>
  </si>
  <si>
    <t>Two-stepping into the icehouse: East Antarctic weathering during progressive ice-sheet expansion at the Eocene-Oligocene transition</t>
  </si>
  <si>
    <t>RARE-EARTH ELEMENTS; ISOTOPE SYSTEMATICS; SOUTHERN-OCEAN; SEDIMENTOLOGICAL EVIDENCE; CALCITE COMPENSATION; CENOZOIC GLACIATION; EARLIEST OLIGOCENE; KERGUELEN PLATEAU; STABLE-ISOTOPE; BOTTOM WATER</t>
  </si>
  <si>
    <t>In conjunction with increasing benthic foraminiferal delta O-18 values at the Eocene-Oligocene transition (EOT; ca. 34 Ma), coarse-grained ice-rafted debris (IRD; &gt;425 mu m) appears abruptly alongside fossil fish teeth with continentally derived neodymium (Nd) isotope ratios (epsilon(Nd)) in Kerguelen Plateau (Southern Ocean) sediments. Increased Antarctic weathering flux, as inferred from two steps to less radiogenic epsilon(Nd) values, coincides with two steps in benthic foraminiferal delta O-18 values. These results indicate that two distinct surges of weathering were generated by East Antarctic ice growth during the EOT. Weathering by ice sheets during a precursor glaciation at 33.9 Ma did not produce significant IRD accumulation during the first epsilon(Nd) shift. Glacial weathering was sustained during a terrace interval between the two steps, probably by small high-elevation ice sheets. A large increase in weathering signals the rapid coalescence of small ice sheets into an ice sheet of continental proportions ca. 33.7 Ma. Rapid ice sheet expansion resulted in a suppression of weathering due to less exposed area and colder conditions. Parallel changes in Antarctic weathering flux and deep-sea carbonate accumulation suggest that ice-sheet expansion during the EOT had a direct impact on the global carbon cycle; possible mechanisms include associated changes in silicate weathering on the East Antarctic craton and enhanced fertilization of Southern Ocean waters, both of which warrant further investigation.</t>
  </si>
  <si>
    <t>[Scher, Howie D.; Delaney, Margaret L.] Univ Calif Santa Cruz, Ocean Sci Dept, Santa Cruz, CA 95064 USA; [Scher, Howie D.; Bohaty, Steven M.; Zachos, James C.; Delaney, Margaret L.] Univ Calif Santa Cruz, Inst Marine Sci, Santa Cruz, CA 95064 USA; [Bohaty, Steven M.; Zachos, James C.] Univ Calif Santa Cruz, Earth &amp; Planetary Sci Dept, Santa Cruz, CA 95064 USA</t>
  </si>
  <si>
    <t>University of California System; University of California Santa Cruz; University of California System; University of California Santa Cruz; University of California System; University of California Santa Cruz</t>
  </si>
  <si>
    <t>Scher, HD (corresponding author), Univ S Carolina, Dept Earth &amp; Ocean Sci, Columbia, SC 29208 USA.</t>
  </si>
  <si>
    <t>hscher@geol.sc.edu</t>
  </si>
  <si>
    <t>Scher, Howie/C-4927-2013; Zachos, James/A-7674-2008</t>
  </si>
  <si>
    <t>Zachos, James/0000-0001-8439-1886</t>
  </si>
  <si>
    <t>National Science Foundation [OCE-0647876, ANT-0732940]; University of California-Santa Cruz (UCSC) Institute of Marine Sciences; Division Of Polar Programs; Directorate For Geosciences [0946339] Funding Source: National Science Foundation</t>
  </si>
  <si>
    <t>National Science Foundation(National Science Foundation (NSF)); University of California-Santa Cruz (UCSC) Institute of Marine Sciences; Division Of Polar Programs; Directorate For Geosciences(National Science Foundation (NSF)NSF - Directorate for Geosciences (GEO))</t>
  </si>
  <si>
    <t>We are grateful to Cedric John and two anonymous reviewers for careful reviews of this work. We thank Michael Lawrence for enlightening us to the nuances of Y anomalies and Clive Trueman for sharing the Lu-Hf results from bioapatites and encouraging productive discourse about rare earth elements in bioapatites. National Science Foundation awards OCE-0647876 to Delaney and ANT-0732940 to Scher, as well as a University of California-Santa Cruz (UCSC) Institute of Marine Sciences Postdoctoral fellowship awarded to Scher, supported this project. Samples and data from the Ocean Drilling Program were used in this study. Work was carried out in the UCSC Marine Analytical Labs and WM Keck Radiogenic Isotope Facility. Rob Franks, Dan Sampson, and Jugdeep Aggarwal provided analytical and technical support.</t>
  </si>
  <si>
    <t>10.1130/G31726.1</t>
  </si>
  <si>
    <t>736PT</t>
  </si>
  <si>
    <t>WOS:000288507300024</t>
  </si>
  <si>
    <t>Cande, SC; Patriat, P; Dyment, J</t>
  </si>
  <si>
    <t>Cande, S. C.; Patriat, P.; Dyment, J.</t>
  </si>
  <si>
    <t>Motion between the Indian, Antarctic and African plates in the early Cenozoic (vol 183, pg 127, 2010)</t>
  </si>
  <si>
    <t>Dyment, Jérôme/A-6788-2011</t>
  </si>
  <si>
    <t>10.1111/j.1365-246X.2011.04968.x</t>
  </si>
  <si>
    <t>735YA</t>
  </si>
  <si>
    <t>WOS:000288455500038</t>
  </si>
  <si>
    <t>Eastman, JT; Lannoo, MJ</t>
  </si>
  <si>
    <t>Eastman, Joseph T.; Lannoo, Michael J.</t>
  </si>
  <si>
    <t>Divergence of Brain and Retinal Anatomy and Histology in Pelagic Antarctic Notothenioid Fishes of the Sister Taxa Dissostichus and Pleuragramma</t>
  </si>
  <si>
    <t>JOURNAL OF MORPHOLOGY</t>
  </si>
  <si>
    <t>relative weights of brain regions; ecological diversification; photoreceptors</t>
  </si>
  <si>
    <t>SENSE ORGAN ANATOMY; JUVENILE PATAGONIAN TOOTHFISH; ROSS SEA; SOUTH GEORGIA; MCMURDO SOUND; BODY-SIZE; ELEGINOPS-MACLOVINUS; SWIMMING MUSCLES; ONTOGENIC SHIFT; WEDDELL SEALS</t>
  </si>
  <si>
    <t>The neutrally buoyant Antarctic fishes of the sister taxa Dissostichus (D. eleginoides and D. mawsoni) and Pleuragramma antarcticum diverged early in the notothenioid radiation and filled different niches in the pelagic realm of the developing Southern Ocean. To assess the influence of phylogenetic and ecological factors in shaping neural morphology in these taxa, we studied the anatomy and histology of the brains and retinae, and determined the proportional weights of brain regions. With the brain of the non-Antarctic sister taxon Eleginops maclovinus as plesiomorphic, statistically significant departures in the brains of the two Antarctic taxa include reduction of the corpus cerebelli and expansion of the mesencephalon and medulla. Compared to Eleginops, both species also have a relatively smaller telencephalon, although this is significant only in Dissostichus. There are a number of apomorphic features in the brain of Pleuragramma including reduced olfactory nerves and bulbs, an extremely small corpus cerebelli and an expanded mesencephalon. Although there is not a significant difference in the relative weights of the medulla in the two taxa, the prominence of the eminentia granularis and bulging cap-like appearance of the crista cerebellaris are distinctive in Pleuragramma. Brain histology of Dissostichus and Pleuragramma reflects typical perciform patterns and the two species of Dissostichus are histologically identical. Lateral compression in Pleuragramma and notable lobation in Dissostichus also contribute to differences between the taxa. Compression in Pleuragramma is attributable to convergence on an anchovy/herring body shape and to the relatively large brain in this small fish. The less prominent pattern of lobation of the telencephalon, inferior lobes and corpus cerebelli in Pleuragramma probably reflects underlying histology, specifically a reduction in cellularity of the neuropil in the nuclei and lobes. The retinal histology of Dissostichus and Pleuragramma encompasses the extremes seen in Antarctic notothenioids. Dissostichus has a thin scotopic retina with few cones and a high degree of summation. The retina of Pleuragramma is thick and cellular with many small single cones and rods and resembles that of Eleginops. Pedomorphy has not influenced brain morphology in these species but Pleuragramma has superficial neuromasts that are pedomorphic. Although Dissostichus and Pleuragramma are sympatric in the water column, their brains and retinae are highly divergent and reflect the influences of both phylogeny and ecological partitioning of the pelagic realm. Compared to Eleginops, the relatively smaller corpus cerebelli but relatively larger medulla probably indicates, respectively, reduced activity levels of notothenioids in subzero temperatures and expansion of the mechanosensory lateral line system as a supplement to vision under conditions of reduced light. Compared to Dissostichus, Pleuragramma has reduced olfactory bulbs and corpus cerebelli and an expanded mesencephalon. The reduction of the corpus to a small round knob is consistent with physiological parameters and video observations suggesting that, although pelagic, it is relatively inactive. Because mesencephalic weights also include the valvula cerebelli, the relatively large value for Pleuragramma may be attributable to its role in integration and sensorimotor coordination of information from the highly cellular duplex retina and to integration of signals from the well-developed octavolateralis system. The brain of Dissostichus displays considerable persisten morphology in its overall resemblance to that of Eleginops, especially the large olfactory bulbs and the relatively large caudally projecting corpus, and Dissostichus exhibits olfactory tracking ability and migratory behavior in common with Eleginops. J. Morphol. 272:419-441, 2011. (C) 2011 Wiley-Liss, Inc.</t>
  </si>
  <si>
    <t>[Eastman, Joseph T.] Ohio Univ, Coll Osteopath Med, Dept Biomed Sci, Athens, OH 45701 USA; [Lannoo, Michael J.] Indiana State Univ, Dept Anat &amp; Cell Biol, Indiana Univ Sch Med, Terre Haute, IN 47809 USA</t>
  </si>
  <si>
    <t>University System of Ohio; Ohio University; Indiana State University; Indiana University System</t>
  </si>
  <si>
    <t>Eastman, JT (corresponding author), Ohio Univ, Coll Osteopath Med, Dept Biomed Sci, Athens, OH 45701 USA.</t>
  </si>
  <si>
    <t>eastman@ohiou.edu</t>
  </si>
  <si>
    <t>Eastman, Joseph T./O-6150-2019; Eastman, Joseph T/A-9786-2008</t>
  </si>
  <si>
    <t>Eastman, Joseph T./0000-0003-3868-261X;</t>
  </si>
  <si>
    <t>National Science Foundation [ANT 04-36190]; National Institutes of Health [NS37600-01]; Indiana University School of Medicine</t>
  </si>
  <si>
    <t>National Science Foundation(National Science Foundation (NSF)); National Institutes of Health(United States Department of Health &amp; Human ServicesNational Institutes of Health (NIH) - USA); Indiana University School of Medicine</t>
  </si>
  <si>
    <t>Contract grant sponsor: National Science Foundation; Contract grant number: ANT 04-36190; Contract grant sponsor: National Institutes of Health; Contract grant number: NS37600-01; Contract grant sponsor: Indiana University School of Medicine.</t>
  </si>
  <si>
    <t>0362-2525</t>
  </si>
  <si>
    <t>1097-4687</t>
  </si>
  <si>
    <t>J MORPHOL</t>
  </si>
  <si>
    <t>J. Morphol.</t>
  </si>
  <si>
    <t>10.1002/jmor.10926</t>
  </si>
  <si>
    <t>Anatomy &amp; Morphology</t>
  </si>
  <si>
    <t>736BM</t>
  </si>
  <si>
    <t>WOS:000288464500003</t>
  </si>
  <si>
    <t>Parente, M; Makarewicz, HD; Bishop, JL</t>
  </si>
  <si>
    <t>Parente, Mario; Makarewicz, Heather D.; Bishop, Janice L.</t>
  </si>
  <si>
    <t>Decomposition of mineral absorption bands using nonlinear least squares curve fitting: Application to Martian meteorites and CRISM data</t>
  </si>
  <si>
    <t>PLANETARY AND SPACE SCIENCE</t>
  </si>
  <si>
    <t>Curve fitting; Gaussian modeling; Remote sensing; VNIR reflectance spectroscopy; Meteorites; Mars</t>
  </si>
  <si>
    <t>INFRARED SPECTRAL REFLECTANCE; MODIFIED GAUSSIAN MODEL; PYROXENE MIXTURES; QUANTITATIVE-ANALYSIS; JUVENTAE CHASMA; SPECTROSCOPY; OLIVINE; MARS; IRON; DECONVOLUTION</t>
  </si>
  <si>
    <t>This study advances curve-fitting modeling of absorption bands of reflectance spectra and applies this new model to spectra of Martian meteorites ALH 84001 and EETA 79001 and data from the Compact Reconnaissance Imaging Spectrometer for Mars (CRISM). This study also details a recently introduced automated parameter initialization technique. We assess the performance of this automated procedure by comparing it to the currently available initialization method and perform a sensitivity analysis of the fit results to variation in initial guesses. We explore the issues related to the removal of the continuum, offer guidelines for continuum removal when modeling the absorptions and explore different continuum-removal techniques. We further evaluate the suitability of curve fitting techniques using Gaussians/Modified Gaussians to decompose spectra into individual end-member bands. We show that nonlinear least squares techniques such as the Levenberg-Marquardt algorithm achieve comparable results to the MGM model (Sunshine and Pieters, 1993; Sunshine et al., 1990) for meteorite spectra. Finally we use Gaussian modeling to fit CRISM spectra of pyroxene and olivine-rich terrains on Mars. Analysis of CRISM spectra of two regions show that the pyroxene-dominated rock spectra measured at Juventae Chasma were modeled well with low Ca pyroxene, while the pyroxene-rich spectra acquired at Libya Montes required both low-Ca and high-Ca pyroxene for a good fit. (C) 2011 Elsevier Ltd. All rights reserved.</t>
  </si>
  <si>
    <t>[Parente, Mario] Brown Univ, Dept Geol Sci, Providence, RI 02912 USA; [Parente, Mario; Makarewicz, Heather D.; Bishop, Janice L.] NASA, SETI Inst, Ames Res Ctr, Mountain View, CA 94043 USA; [Makarewicz, Heather D.] Univ Kansas, Lawrence, KS 66045 USA</t>
  </si>
  <si>
    <t>Brown University; National Aeronautics &amp; Space Administration (NASA); NASA Ames Research Center; University of Kansas</t>
  </si>
  <si>
    <t>Parente, M (corresponding author), Brown Univ, Dept Geol Sci, Box 1846, Providence, RI 02912 USA.</t>
  </si>
  <si>
    <t>Mario_Parente@brown.edu; hmakarew@gmail.com; jbishop@seti.org</t>
  </si>
  <si>
    <t>Bishop, Janice/0000-0002-6681-9954</t>
  </si>
  <si>
    <t>National Science Foundation Office of Polar Programs; MRO/CRISM team; MDAP program; MFR program</t>
  </si>
  <si>
    <t>National Science Foundation Office of Polar Programs(National Science Foundation (NSF)NSF - Directorate for Geosciences (GEO)); MRO/CRISM team; MDAP program; MFR program</t>
  </si>
  <si>
    <t>We would like to express our thanks to the MRO/CRISM team for all the data collection and science. Thanks are also due to T. Hiroi of RELAB, a multi-user facility at the Brown University supported by NASA's Planetary Geology and Geophysics program for his assistance with the spectral measurements. We are grateful to J. Sunshine for helpful discussions of the MGM technique, to V. Hamilton, T. Roush, and W. Farrand for helpful editorial comments on an earlier version of this manuscript, to D. Blake for providing the olivine rock from Spitsbergen, Norway and to R. Kontak for her detailed editorial help. We thank the Antarctic Meteorite Working Group for providing the meteorite chips and the Smithsonian Museum for providing the meteorite powders, as well as the National Science Foundation Office of Polar Programs for funding the Antarctic Search for Meteorites (ANSMET) activities. Finally, we are grateful for the support of the MRO/CRISM team and the MDAP and MFR programs for the funding to make this research possible.</t>
  </si>
  <si>
    <t>0032-0633</t>
  </si>
  <si>
    <t>PLANET SPACE SCI</t>
  </si>
  <si>
    <t>Planet Space Sci.</t>
  </si>
  <si>
    <t>10.1016/j.pss.2011.01.009</t>
  </si>
  <si>
    <t>737PT</t>
  </si>
  <si>
    <t>WOS:000288581400007</t>
  </si>
  <si>
    <t>Abraham, S; Somers, MJ; Chown, SL</t>
  </si>
  <si>
    <t>Abraham, Shallin; Somers, Michael J.; Chown, Steven L.</t>
  </si>
  <si>
    <t>Seasonal, altitudinal and host plant-related variation in the abundance of aphids (Insecta, Hemiptera) on sub-Antarctic Marion Island</t>
  </si>
  <si>
    <t>Abundance; Herbivory; Microclimate; Phenology; Sap-sucking</t>
  </si>
  <si>
    <t>TERRESTRIAL ECOSYSTEM; MIDALTITUDE FELLFIELD; CURCULIONIDAE; RANGE; TEMPERATURE; VARIABILITY; TOLERANCES; COLEOPTERA; DIVERSITY; ECOLOGY</t>
  </si>
  <si>
    <t>Although aphids are the most species-rich group of invasive alien insects across the Southern Ocean Islands, their biology on the islands is poorly known. In this study, host plant-related, seasonal and altitudinal variation in the abundance of the three aphid species (Macrosiphum euphorbiae, Myzus ascalonicus, Rhopalosiphum padi) found on sub-Antarctic Marion Island is examined. Myzus ascalonicus is the most abundant of the species, reaching densities of c. 2,400 individuals per 1,200 cm(2) on the indigenous Acaena magellanica (Rosaceae) and 479 individuals per 1,200 cm(2) on the indigenous Cotula plumosa (Asteraceae), with lower numbers at elevations up to 300 m and a pronounced seasonal peak in December-February. Macrosiphum euphorbiae occurs on the same plant species in densities of between c. 11 individuals per 1,200 cm(2) on C. plumosa and c. 200 individuals per 1,200 cm(2) on A. magellanica, and with a pronounced summer peak in December. In both species, small numbers of winged forms are found (c. 1-5%), although they are permanently parthenogenetic on the island. Rhopalosiphum padi is also permanently parthenogenetic on the island and likewise shows a December peak in abundance. The current data suggest that low ambient temperatures, which are close to the lower development threshold of R. padi, and other temperate aphid species, limit development in winter, thus leading to a decline in abundance.</t>
  </si>
  <si>
    <t>[Chown, Steven L.] Univ Stellenbosch, Dept Bot &amp; Zool, Ctr Invas Biol, ZA-7602 Matieland, South Africa; [Abraham, Shallin; Somers, Michael J.] Walter Sisulu Univ, Dept Zool, ZA-5117 Umtata, South Africa; [Abraham, Shallin] Iziko S African Museum, Nat Hist Dept, ZA-8000 Cape Town, South Africa; [Somers, Michael J.] Univ Pretoria, Ctr Invas Biol, Ctr Wildlife Management, ZA-0002 Pretoria, South Africa</t>
  </si>
  <si>
    <t>Stellenbosch University; Walter Sisulu University; University of Pretoria</t>
  </si>
  <si>
    <t>Chown, SL (corresponding author), Univ Stellenbosch, Dept Bot &amp; Zool, Ctr Invas Biol, Private Bag 11, ZA-7602 Matieland, South Africa.</t>
  </si>
  <si>
    <t>Somers, Michael John/A-1523-2008; Chown, Steven/ABD-7646-2021; Chown, Steven/H-3347-2011</t>
  </si>
  <si>
    <t>/0000-0002-5836-8823; Chown, Steven/0000-0001-6069-5105</t>
  </si>
  <si>
    <t>USAID; South African Department of Environmental Affairs and Tourism; SANAP [SNA2007042400003]</t>
  </si>
  <si>
    <t>USAID(United States Agency for International Development (USAID)); South African Department of Environmental Affairs and Tourism; SANAP</t>
  </si>
  <si>
    <t>We thank M. R. Worland and an anonymous reviewer for their helpful comments on a previous version, and J.E. Lee for drawing the map. Field work by SA and MJS was supported by a USAID grant to SLC and by the South African Department of Environmental Affairs and Tourism. SLC was partly supported by SANAP Grant SNA2007042400003. The South African National Antarctic Programme provided logistic support. This work forms a contribution to the SCAR Programme Evolution and Biodiversity in Antarctica.</t>
  </si>
  <si>
    <t>10.1007/s00300-010-0905-x</t>
  </si>
  <si>
    <t>735XQ</t>
  </si>
  <si>
    <t>WOS:000288454400004</t>
  </si>
  <si>
    <t>Janosik, AM; Mahon, AR; Halanych, KM</t>
  </si>
  <si>
    <t>Janosik, Alexis M.; Mahon, Andrew R.; Halanych, Kenneth M.</t>
  </si>
  <si>
    <t>Evolutionary history of Southern Ocean Odontaster sea star species (Odontasteridae; Asteroidea)</t>
  </si>
  <si>
    <t>16S rDNA; COI mtDNA; Antarctic circumpolar current; Antarctic polar front; Odontaster; Phylogeography</t>
  </si>
  <si>
    <t>ANTARCTIC POLAR FRONT; MITOCHONDRIAL-DNA; POPULATION-STRUCTURE; BENTHIC COMMUNITY; LIFE-HISTORY; SPECIATION; LINEAGES; BARRIERS; LARVAE; PHYLOGEOGRAPHY</t>
  </si>
  <si>
    <t>We investigated the recent evolutionary history of demersal sea stars in the genus Odontaster throughout the Western Antarctic waters and on the South American shelf. The mitochondrial 16S ribosomal and cytochrome c oxidase subunit I (COI) genes were sequenced from adult and larval specimens. TCS parsimony network analysis and Bayesian inference were used to examine evolutionary history. Hierarchical AMOVA and mitochondrial DNA diversity statistics were also computed. Additionally, morphological characters were used. In assessing O. validus, we discovered morphological and range descriptions of Odontaster species to be inaccurate and include other Odontaster species in the Southern Ocean. We found O. meridionalis on both sides of the Antarctic circumpolar current (ACC) and Antarctic polar front (APF), whereas O. validus and O. penicillatus do not appear to have permeated these oceanographic features. Additionally, we discovered previously unrecognized species of Odontaster. Subsequent examination revealed diagnostic morphological differences in the number of spinelets on the abactinal and actinal plates. Mitochondrial characterization of Odontaster species suggests their recent history has been influenced by the APF and ACC in different ways. With the exception of O. meridionalis, Odontaster species are restricted to either side of the Drake Passage. O. validus shows genetic connectivity throughout sampled Antarctic waters.</t>
  </si>
  <si>
    <t>[Janosik, Alexis M.; Mahon, Andrew R.; Halanych, Kenneth M.] Auburn Univ, Dept Biol Sci, Auburn, AL 36849 USA; [Mahon, Andrew R.] Univ Notre Dame, Dept Biol Sci, Ctr Aquat Conservat, Notre Dame, IN 46556 USA</t>
  </si>
  <si>
    <t>Auburn University System; Auburn University; University of Notre Dame</t>
  </si>
  <si>
    <t>Janosik, AM (corresponding author), Auburn Univ, Dept Biol Sci, 101 Rouse Life Sci Bldg, Auburn, AL 36849 USA.</t>
  </si>
  <si>
    <t>janosam@auburn.edu; amahon@nd.edu; ken@auburn.edu</t>
  </si>
  <si>
    <t>Halanych, Kenneth/A-9480-2009</t>
  </si>
  <si>
    <t>Halanych, Kenneth/0000-0002-8658-9674; Mahon, Andrew/0000-0002-5074-8725</t>
  </si>
  <si>
    <t>National Science Foundation [OPP-9910164, OPP-0338087, OPP-0338218]</t>
  </si>
  <si>
    <t>We gratefully acknowledge the crew and participants of the 2004 and 2006 Antarctic cruises aboard the R/V Laurence M. Gould for their help and logistical support in collection of samples for this study. We are thankful to H. W. Detrich (NSF OPP-0132032) who kindly provided specimens (via S. J. Lockhart) from South Sandwich Island, South Georgia, and Bouvet Island that were collected aboard the R/V Nathaniel Palmer (NSF OPP-0132032) during the ICEFISH 2004 cruise. Thanks are also due to S. Kim and E. Sotka who provided the Ross Sea specimens (NSF OPP-0126319). Helpful discussion and comments were provided to this manuscript by R. L. Hunter, C. L. Mah, and S. R Santos. This work was supported by National Science Foundation grants (OPP-9910164, OPP-0338087 and OPP-0338218) to K. M. H. and R. S. Scheltema. This is AU Marine Biology Program contribution #74.</t>
  </si>
  <si>
    <t>10.1007/s00300-010-0916-7</t>
  </si>
  <si>
    <t>WOS:000288454400010</t>
  </si>
  <si>
    <t>Lebar, MD; Luttenton, L; McClintock, JB; Amsler, CD; Baker, BJ</t>
  </si>
  <si>
    <t>Lebar, Matthew D.; Luttenton, Lisha; McClintock, James B.; Amsler, Charles D.; Baker, Bill J.</t>
  </si>
  <si>
    <t>Accumulation of vanadium, manganese, and nickel in Antarctic tunicates</t>
  </si>
  <si>
    <t>Antarctica; Tunicate; Vanadium; Manganese; Metal concentration; Nickel</t>
  </si>
  <si>
    <t>CHEMICAL DEFENSE; ASCIDIANS; TUNICHROME; CHEMISTRY; WATER; NIGRA; IRON</t>
  </si>
  <si>
    <t>The vanadium, manganese, and nickel contents of nine species of Antarctic tunicates were determined by atomic absorption spectroscopy. The Antarctic species Distaplia cylindrica contained significantly more vanadium (1,445 ppm dry weight) than the other Antarctic tunicates investigated. Antarctic Ascidia sp. was also shown to accumulate considerable amounts of vanadium (567 ppm). Low levels of bioaccumulated manganese (&lt; 50 ppm) and nickel (&lt; 15 ppm) were observed in all tunicates examined.</t>
  </si>
  <si>
    <t>[Lebar, Matthew D.; Luttenton, Lisha; Baker, Bill J.] Univ S Florida, Dept Chem, Tampa, FL 33620 USA; [Lebar, Matthew D.; Luttenton, Lisha; Baker, Bill J.] Univ S Florida, Ctr Mol Div Drug Design Discovery &amp; Delivery, Tampa, FL 33620 USA; [McClintock, James B.; Amsler, Charles D.] Univ Alabama, Dept Biol, Birmingham, AL 35294 USA</t>
  </si>
  <si>
    <t>State University System of Florida; University of South Florida; State University System of Florida; University of South Florida; University of Alabama System; University of Alabama Birmingham</t>
  </si>
  <si>
    <t>Baker, BJ (corresponding author), Univ S Florida, Dept Chem, Tampa, FL 33620 USA.</t>
  </si>
  <si>
    <t>bjbaker@usf.edu</t>
  </si>
  <si>
    <t>Lebar, Matthew/0000-0003-4910-1438; Amsler, Charles/0000-0002-4843-3759</t>
  </si>
  <si>
    <t>Office of Polar Programs of the National Science Foundation [OPP-0442769, ANT-0838773, OPP-0442857, ANT-0838776]; Office of Polar Programs (OPP); Directorate For Geosciences [0838773, 0838776] Funding Source: National Science Foundation</t>
  </si>
  <si>
    <t>Office of Polar Programs of the National Science Foundation; Office of Polar Programs (OPP); Directorate For Geosciences(National Science Foundation (NSF)NSF - Directorate for Geosciences (GEO))</t>
  </si>
  <si>
    <t>We are indebted to a number of colleagues for collecting specimens including K. Koplovitz, M. Amsler, A. Maschek, C. Aumack, P. Bucolo, and J. Zamzow. We would like to acknowledge the staff of Raytheon Polar Services Company and the Antarctic Support Services of the National Science Foundation for their logistical support. This research was facilitated by funding from the Office of Polar Programs of the National Science Foundation (OPP-0442769 and ANT-0838773 to CDA and JBM, OPP-0442857 and ANT-0838776 to B.J.B).</t>
  </si>
  <si>
    <t>10.1007/s00300-010-0902-0</t>
  </si>
  <si>
    <t>WOS:000288454400011</t>
  </si>
  <si>
    <t>Johnston, BM; Gabric, AJ</t>
  </si>
  <si>
    <t>Johnston, Barbara M.; Gabric, Albert J.</t>
  </si>
  <si>
    <t>Interannual variability in estimated biological productivity in the Australian sector of the Southern Ocean in 1997-2007</t>
  </si>
  <si>
    <t>TELLUS SERIES B-CHEMICAL AND PHYSICAL METEOROLOGY</t>
  </si>
  <si>
    <t>ANTARCTIC PHYTOPLANKTON; TREND ANALYSIS; ANNULAR MODE; ROSS SEA; CLIMATE; IRON; CHLOROPHYLL; TEMPERATURE; LAYER; CIRCULATION</t>
  </si>
  <si>
    <t>Changes in biological productivity in the Southern Ocean have the potential to have a significant effect on world climate. Here we use a combination of satellite, model and model reanalysis data to examine climate variability in the Australian sector of the Southern Ocean (110-160 degrees E, 40-70 degrees S) to identify the controls on chlorophyll-a (a proxy for phytoplankton biomass) and primary productivity and evaluate trends in these controls over the period 1997-2007. In summer, in the 65-70 degrees S zone, sea-ice concentration together with the Southern Annular Mode explains 51% of the variance in chlorophyll-a, while mean wind stress and sea-surface temperature explains 55% of the variance in the 60-65 degrees S zone. Further north, key controls are photosynthetically active radiation, sea-surface temperature, mixed layer depth and stratification. Trends in hydrodynamic variables are found to often be opposite in sign and up to an order of magnitude larger than those previously identified in the same sector for 1958-2005. Allowing for the effect of shorter time series on the magnitude of the trends, many recent trends seem to be outside the range of previous variability. These results are consistent with a shift in the ocean state in the past 10-15 yr, in response to a shift in climate.</t>
  </si>
  <si>
    <t>[Johnston, Barbara M.; Gabric, Albert J.] Griffith Univ, Australian Rivers Inst, Nathan, Qld 4111, Australia</t>
  </si>
  <si>
    <t>Griffith University</t>
  </si>
  <si>
    <t>Johnston, BM (corresponding author), Griffith Univ, Australian Rivers Inst, Nathan, Qld 4111, Australia.</t>
  </si>
  <si>
    <t>Barbara.Johnston@griffith.edu.au</t>
  </si>
  <si>
    <t>Gabric, Albert J/S-1551-2017; Johnston, Peter/B-7025-2008; Johnston, Barbara/A-5574-2009</t>
  </si>
  <si>
    <t>Johnston, Barbara/0000-0001-5889-8501</t>
  </si>
  <si>
    <t>Australian Antarctic Division; AAS [2784]; Australian Research Network for Earth System Science (ARCNESS)</t>
  </si>
  <si>
    <t>Australian Antarctic Division; AAS; Australian Research Network for Earth System Science (ARCNESS)</t>
  </si>
  <si>
    <t>Support from Australian Antarctic Division grant, AAS Project 2784 and the Australian Research Network for Earth System Science (ARCNESS) is gratefully acknowledged. The authors would like to thank Benjamin Giese for providing SODA 5-d data sets. Some data used in this paper were produced with the Giovanni on-line data system, developed and maintained by the NASA GES DISC. We acknowledge the mission scientists and associated NASA personnel for the productivity of the SeaWiFS data. The authors also wish to acknowledge the use of the Ferret program (a product of NOAA's Pacific Marine Environmental Laboratory) for analysis and graphics in this study. MEI data was obtained from http://www.esrl.noaa.gov/psd/people/klaus.wolter/MEI/table.htm, SODA data was obtained from http://dsrs.atmos.umd.edu/DATA, SAM data from www.nerc-bas.ac.uk/icd/gjma/sam.html, PDO data from http://jisao.washington.edu/pdo/PDO. latest, VGPM data from http://www.science.oregonstate.edu/ocean.productivity/, sea-ice concentration data from http://nsidc.org/data/docs/daac/nsidc0079_bootstrap_seaice.gd.html and chlorophyll-a and PAR data from http://oceancolor.gsfc.nasa.gov/cgi/l3.</t>
  </si>
  <si>
    <t>1600-0889</t>
  </si>
  <si>
    <t>TELLUS B</t>
  </si>
  <si>
    <t>Tellus Ser. B-Chem. Phys. Meteorol.</t>
  </si>
  <si>
    <t>10.1111/j.1600-0889.2011.00526.x</t>
  </si>
  <si>
    <t>736TG</t>
  </si>
  <si>
    <t>WOS:000288516400009</t>
  </si>
  <si>
    <t>Smith, RIL</t>
  </si>
  <si>
    <t>Smith, R. I. Lewis</t>
  </si>
  <si>
    <t>Alien introductions - why are the Treaty Parties and COMNAP sitting on their hands?</t>
  </si>
  <si>
    <t>10.1017/S0954102011000149</t>
  </si>
  <si>
    <t>731BF</t>
  </si>
  <si>
    <t>WOS:000288080600001</t>
  </si>
  <si>
    <t>Thiebot, JB; Lescroël, A; Pinaud, D; Trathan, PN; Bost, CA</t>
  </si>
  <si>
    <t>Thiebot, Jean-Baptiste; Lescroel, Amelie; Pinaud, David; Trathan, Philip N.; Bost, Charles-Andre</t>
  </si>
  <si>
    <t>Larger foraging range but similar habitat selection in non-breeding versus breeding sub-Antarctic penguins</t>
  </si>
  <si>
    <t>central place foragers; ecological niche; Iles Kerguelen; juvenile; winter</t>
  </si>
  <si>
    <t>PYGOSCELIS-PAPUA; SOUTH GEORGIA; GENTOO PENGUIN; OCEANOGRAPHIC CONDITIONS; NONBREEDING ALBATROSSES; EUDYPTES-CHRYSOLOPHUS; ROCKHOPPER PENGUINS; KERGUELEN-ISLANDS; MACARONI; MOVEMENTS</t>
  </si>
  <si>
    <t>For land-breeding marine organisms such as seabirds, knowledge about their habitat use has mainly been gained through studies of breeding individuals that are constrained to return frequently to their breeding grounds. In this study we set out to measure whether: a) habitat selection in the non-breeding period predicts habitat selection in the breeding period, and b) whether breeding individuals concentrated their activity on the closest suitable habitats. Macaroni Eudyptes chrysolophus and gentoo Pygoscelis papua penguins, two marine predators with contrasting foraging strategies, were tracked from the Iles Kerguelen and their habitat selection investigated through Mahalanobis distances factorial analysis. This study presents the first data about gentoo penguins' juvenile dispersal. For both species, results showed 6.9 times larger maximum ranges and up to 12.2 times greater distances travelled during the non-breeding period. Habitat suitability maps suggested both species made similar environmental selections whatever the period. Macaroni penguins targeted pelagic areas beyond the shelf break while gentoo penguins always remained over the shelf. We consider the ecological significance of larger scale movements made outside the breeding period and suggest that this non-breeding period is of particular interest when attempting to understand an animal's habitat selection.</t>
  </si>
  <si>
    <t>[Thiebot, Jean-Baptiste; Lescroel, Amelie; Pinaud, David; Bost, Charles-Andre] CNRS, UPR 1934, Ctr Etud Biol Chize, F-79360 Villiers En Bois, France; [Trathan, Philip N.] British Antarctic Survey, NERC, Cambridge CB3 0ET, England</t>
  </si>
  <si>
    <t>Centre National de la Recherche Scientifique (CNRS); UK Research &amp; Innovation (UKRI); Natural Environment Research Council (NERC); NERC British Antarctic Survey</t>
  </si>
  <si>
    <t>Thiebot, JB (corresponding author), CNRS, UPR 1934, Ctr Etud Biol Chize, F-79360 Villiers En Bois, France.</t>
  </si>
  <si>
    <t>thiebot@cebc.cnrs.fr</t>
  </si>
  <si>
    <t>Pinaud, David/B-6326-2008</t>
  </si>
  <si>
    <t>Pinaud, David/0000-0003-0815-9668</t>
  </si>
  <si>
    <t>ANR; Zone Atelier Antarctique (INSU-CNRS); Institut Polaire Francais Paul-Emile Victor (IPEV) [394, 109]; Terres Australes et Antarctiques Francaises administration; Natural Environment Research Council [bas0100025] Funding Source: researchfish; NERC [bas0100025] Funding Source: UKRI</t>
  </si>
  <si>
    <t>ANR(Agence Nationale de la Recherche (ANR)); Zone Atelier Antarctique (INSU-CNRS); Institut Polaire Francais Paul-Emile Victor (IPEV); Terres Australes et Antarctiques Francaises administration; Natural Environment Research Council(UK Research &amp; Innovation (UKRI)Natural Environment Research Council (NERC)); NERC(UK Research &amp; Innovation (UKRI)Natural Environment Research Council (NERC))</t>
  </si>
  <si>
    <t>The Ethics Committee of Institut Polaire Francais Paul-Emile Victor approved all field procedures. The authors thank Y. Charbonnier, S. Mortreux, R. Perdriat, J. Nezan, V. Chartendraux, E. Pettex, C. Marteau, J.-L. Chill and F. Le Bouard for their help in the field, and A. Goarant, A. Villers, C. Peron, and A. Pinot for their help and advice with analyses. The present work was supported financially and logistically by the ANR 07 Biodiv 'GLIDES', the Zone Atelier Antarctique (INSU-CNRS), the Institut Polaire Francais Paul-Emile Victor (IPEV, programmes no. 394 and 109) and the Terres Australes et Antarctiques Francaises administration. We also thank the reviewers for their very helpful and constructive comments.</t>
  </si>
  <si>
    <t>10.1017/S0954102010000957</t>
  </si>
  <si>
    <t>WOS:000288080600003</t>
  </si>
  <si>
    <t>Borchers, A; Voigt, I; Kuhn, G; Diekmann, B</t>
  </si>
  <si>
    <t>Borchers, Andreas; Voigt, Ines; Kuhn, Gerhard; Diekmann, Bernhard</t>
  </si>
  <si>
    <t>Mineralogy of glaciomarine sediments from the Prydz Bay-Kerguelen region: relation to modern depositional environments</t>
  </si>
  <si>
    <t>bottom water; clay minerals; East Antarctic Ice Sheet; heavy minerals; ice rafting; Mac. Robertson Land</t>
  </si>
  <si>
    <t>EAST-ANTARCTICA; SURFACE SEDIMENTS; ROBERTSON SHELF; LAMBERT GRABEN; WATER MASSES; CLAY; TRANSPORT; ASSEMBLAGES; CIRCULATION; ATLANTIC</t>
  </si>
  <si>
    <t>Surface mineralogical compositions and their association to modern processes are well known from the east Atlantic and south-west Indian sectors of the Southern Ocean, but data from the interface of these areas - the Prydz Bay-Kerguelen region - is still missing. The objective of our study was to provide mineralogical data of reference samples from this region and to relate these mineralogical assemblages to hinterland geology, weathering, transport and depositional processes. Clay mineral assemblages were analysed by means of X-ray diffraction technique. Heavy mineral assemblages were determined by counting of gravity-separated grains under a polarizing microscope. Results show that by use of clay mineral assemblages four mineralogical provinces can be subdivided: i) continental shelf, ii) continental slope, iii) deep sea, iv) Kerguelen Plateau. Heavy mineral assemblages in the fine sand fraction are relatively uniform except for samples taken from the East Antarctic shelf. Our findings show that mineralogical studies on sediment cores from the study area have the potential to provide insights into past shifts in ice-supported transport and activity and provenance of different water masses (e.g. Antarctic slope current and deep western boundary current) in the Prydz Bay-Kerguelen region.</t>
  </si>
  <si>
    <t>[Borchers, Andreas; Diekmann, Bernhard] Alfred Wegener Inst Polar &amp; Marine Res, Res Unit Potsdam Telegrafenberg A43, D-14473 Potsdam, Germany; [Voigt, Ines] Univ Bremen, D-28334 Bremen, Germany; [Kuhn, Gerhard] Alfred Wegener Inst Polar &amp; Marine Res, Res Unit, D-27568 Bremerhaven, Germany</t>
  </si>
  <si>
    <t>Helmholtz Association; Alfred Wegener Institute, Helmholtz Centre for Polar &amp; Marine Research; University of Bremen; Helmholtz Association; Alfred Wegener Institute, Helmholtz Centre for Polar &amp; Marine Research</t>
  </si>
  <si>
    <t>Borchers, A (corresponding author), Alfred Wegener Inst Polar &amp; Marine Res, Res Unit Potsdam Telegrafenberg A43, D-14473 Potsdam, Germany.</t>
  </si>
  <si>
    <t>Andreas.Borchers@awi.de</t>
  </si>
  <si>
    <t>Diekmann, Bernhard/0000-0001-5129-3649; Kuhn, Gerhard/0000-0001-6069-7485</t>
  </si>
  <si>
    <t>Deutsche Forschungsgemeinschaft [DI 655/3-1]</t>
  </si>
  <si>
    <t>Deutsche Forschungsgemeinschaft(German Research Foundation (DFG))</t>
  </si>
  <si>
    <t>This investigation was funded by Deutsche Forschungsgemeinschaft priority program SPP 1158 through grant DI 655/3-1. We kindly thank the master of RV Polarstern, Captain Schwarze, the ship's crew and the chief scientist of expedition ANT-XXIII/9, H. W. Hubberten, for their assistance and support. For sample preparation and technical support we are indebted to Ute Bastian, Rita Frohlking, Norbert Lensch and interns onboard RV Polarstern. Map courtesy of Australian Geological Survey Organisation (c) Commonwealth Australia 1998. Constructive reviews by Gavin Dunbar, Rob McKay and Alan P. M. Vaughan significantly improved the quality of the manuscript.</t>
  </si>
  <si>
    <t>10.1017/S0954102010000830</t>
  </si>
  <si>
    <t>WOS:000288080600009</t>
  </si>
  <si>
    <t>Pirrie, D; Jonkers, HA; Smellie, JL; Crame, JA; McArthur, JM</t>
  </si>
  <si>
    <t>Pirrie, D.; Jonkers, H. A.; Smellie, J. L.; Crame, J. A.; McArthur, J. M.</t>
  </si>
  <si>
    <t>Reworked late Neogene Austrochlamys anderssoni (Mollusca: Bivalvia) from northern James Ross Island, Antarctica</t>
  </si>
  <si>
    <t>Cockburn Island Formation; fossil reworking; Hobbs Glacier Formation; late Miocene-Pliocene; permafrost</t>
  </si>
  <si>
    <t>STRONTIUM ISOTOPE STRATIGRAPHY; INTERGLACIAL EVENTS; PENINSULA; PLIOCENE; DEPOSITS; AGE; OLIGOCENE; REGION; BASIN; MA</t>
  </si>
  <si>
    <t>We report on the discovery of a new outcrop of fossiliferous Neogene sediments on northern James Ross Island, northern Antarctic Peninsula. Approximately 100 specimens of the pectinid bivalve Austrochlamys anderssoni (Hennig, 1911) were collected from the permafrost active layer. This bivalve species has a late Miocene to late Pliocene range and has previously been reported from both the glaciomarine Hobbs Glacier Formation and the interglacial Cockburn Island Formation in the James Ross Island area. The localized presence of abundant A. anderssoni within the permafrost suggests that the fossils have been frost heaved from an outcrop of either the Cockburn Island or the Hobbs Glacier formations, originally deposited on northern James Ross Island. The overall shell form, general absence of associated Antarctic Peninsula-derived clasts in the host sediment, and the measured Sr-87/(86) Sr isotope ratio of the shells (0.709050) which is indistinguishable from that for pectinid bivalves from the Cockburn Island Formation on Cockburn Island (0.709047) suggest that the shells were derived from a unit similar in age to the Cockburn Island Formation. This suggests that the Cockburn Island Formation was originally more laterally extensive than was previously known.</t>
  </si>
  <si>
    <t>[Pirrie, D.] Helford Geosci LLP, Menallack Farm, Penryn TR10 9BP, Cornwall, England; [Smellie, J. L.] Univ Leicester, Dept Geol, Leicester LE1 7RH, Leics, England; [Crame, J. A.] British Antarctic Survey, NERC, Cambridge CB3 0ET, England; [McArthur, J. M.] UCL, Dept Geol Sci, London WC1E 6BT, England</t>
  </si>
  <si>
    <t>University of Leicester; UK Research &amp; Innovation (UKRI); Natural Environment Research Council (NERC); NERC British Antarctic Survey; University of London; University College London</t>
  </si>
  <si>
    <t>Pirrie, D (corresponding author), Helford Geosci LLP, Menallack Farm, Penryn TR10 9BP, Cornwall, England.</t>
  </si>
  <si>
    <t>dpirrie@helfordgeoscience.co.uk</t>
  </si>
  <si>
    <t>McArthur, John/C-2705-2008; McArthur, John/AAL-6354-2020</t>
  </si>
  <si>
    <t>McArthur, John/0000-0003-1461-7805; McArthur, John/0000-0003-1461-7805; Pirrie, Duncan/0000-0002-4954-5920</t>
  </si>
  <si>
    <t>NERC-AFI [GR3/AFI2/38]; NERC [bas0100026] Funding Source: UKRI; Natural Environment Research Council [bas0100026] Funding Source: researchfish</t>
  </si>
  <si>
    <t>NERC-AFI(UK Research &amp; Innovation (UKRI)Natural Environment Research Council (NERC)); NERC(UK Research &amp; Innovation (UKRI)Natural Environment Research Council (NERC)); Natural Environment Research Council(UK Research &amp; Innovation (UKRI)Natural Environment Research Council (NERC))</t>
  </si>
  <si>
    <t>Fieldwork and Sr isotope analysis were funded through NERC-AFI research grant GR3/AFI2/38. Fieldwork would not have been possible without logistic support from HMS Endurance and Crispin Day. M.F. Thirlwall is thanked for access to mass spectrometric facilities at UCL for Sr isotopic analysis. We are grateful to A.G. Beu and T.R. Waller for their reviews; Alan Vaughan for his</t>
  </si>
  <si>
    <t>10.1017/S0954102010000842</t>
  </si>
  <si>
    <t>WOS:000288080600010</t>
  </si>
  <si>
    <t>Soyol-Erdene, TO; Han, Y; Lee, B; Huh, Y</t>
  </si>
  <si>
    <t>Soyol-Erdene, Tseren-Ochir; Han, Yeongcheol; Lee, Borom; Huh, Youngsook</t>
  </si>
  <si>
    <t>Sources and fluxes of Pt, Ir and REE in the Seoul metropolitan area through wet scavenging processes</t>
  </si>
  <si>
    <t>Rainwater; Platinum group elements; Wet-deposition flux; Enrichment factor</t>
  </si>
  <si>
    <t>RARE-EARTH-ELEMENTS; PLATINUM-GROUP ELEMENTS; ANTARCTIC ICE; GRAM LEVEL; PARTICLES; BEHAVIOR; IRIDIUM; PRECIPITATION; GEOCHEMISTRY; SUBPICOGRAM</t>
  </si>
  <si>
    <t>Platinum group elements (PGEs: Pt and Ir) and rare earth elements (REEs) were analyzed in rainwater samples collected in Seoul during the summer of 2008 to identify their sources and quantify their wet-deposition fluxes to the Earth's surface environment. Major (Na, K, Mg, Ca, NH4+, SO42-, NO3-, Cl- and F-) and minor (Fe, Ba, Y and Hf) elements were also measured to facilitate interpretation. Evaluation of elemental correlations, crustal enrichment factors, Ir/Pt ratios and REE patterns indicated meteoric/volcanic sources for Pt and Ir and additional anthropogenic sources for Pt. REEs were predominantly of crustal origin. The relationship between concentrations and rainfall indicated that below-cloud scavenging (wash-out) was the main scavenging mechanism for most elements. The wet-deposition fluxes in Seoul were higher than those recorded in polar ice cores for Pt and Ir and were comparable to those from other rainwater studies of REEs in East Asia. (C) 2011 Elsevier Ltd. All rights reserved.</t>
  </si>
  <si>
    <t>[Soyol-Erdene, Tseren-Ochir; Han, Yeongcheol; Lee, Borom; Huh, Youngsook] Seoul Natl Univ, Sch Earth &amp; Environm Sci, Seoul 151747, South Korea; [Huh, Youngsook] Seoul Natl Univ, Res Inst Oceanog, Seoul 151747, South Korea</t>
  </si>
  <si>
    <t>Seoul National University (SNU); Seoul National University (SNU)</t>
  </si>
  <si>
    <t>Huh, Y (corresponding author), Seoul Natl Univ, Sch Earth &amp; Environm Sci, Seoul 151747, South Korea.</t>
  </si>
  <si>
    <t>MEST [2009-0083899, R33-100001]; Brain Korea 21 Graduate Student Fellowship; University Research Fellowship; Lotte Scholarship</t>
  </si>
  <si>
    <t>MEST(Ministry of Education, Science &amp; Technology (MEST), Republic of Korea); Brain Korea 21 Graduate Student Fellowship(Ministry of Education &amp; Human Resources Development (MOEHRD), Republic of Korea); University Research Fellowship; Lotte Scholarship</t>
  </si>
  <si>
    <t>This research was supported by the Mid-Career Researcher Program (grant No. 2009-0083899) and the World Class University Program (grant No. R33-100001) through the NRF of Korea and was funded by the MEST. A Brain Korea 21 Graduate Student Fellowship supported T.-O. Soyol-Erdene and B. Lee, and the University Research Fellowship and Lotte Scholarship were granted to Y. Han.</t>
  </si>
  <si>
    <t>10.1016/j.atmosenv.2011.01.023</t>
  </si>
  <si>
    <t>744XC</t>
  </si>
  <si>
    <t>WOS:000289127500008</t>
  </si>
  <si>
    <t>Conklin, JR; Battley, PF; Potter, MA; Ruthrauff, DR</t>
  </si>
  <si>
    <t>Conklin, Jesse R.; Battley, Phil F.; Potter, Murray A.; Ruthrauff, Dan R.</t>
  </si>
  <si>
    <t>GEOGRAPHIC VARIATION IN MORPHOLOGY OF ALASKA-BREEDING BAR-TAILED GODWITS (LIMOSA LAPPONICA) IS NOT MAINTAINED ON THEIR NONBREEDING GROUNDS IN NEW ZEALAND</t>
  </si>
  <si>
    <t>Alaska; Bar-tailed Godwit; geographic variation; Limosa lapponica baueri; morphometrics; New Zealand; plumage</t>
  </si>
  <si>
    <t>MIGRATION; SHOREBIRDS; SCHEDULES; SIGNALS; SIZE; RULE</t>
  </si>
  <si>
    <t>Among scolopacid shorebirds, Bar-tailed Godwits (Limosa lapponica) have unusually high intra- and intersexual differences in size and breeding plumage. Despite historical evidence for population structure among Alaska-breeding Bar-tailed Godwits (L. l. baueri), no thorough analysis, or comparison with the population's nonbreeding distribution, has been undertaken. We used live captures, field photography, museum specimens, and individuals tracked from New Zealand to describe geographic variation in size and plumage within the Alaska breeding range. We found a north-south cline in body size in Alaska, in which the smallest individuals of each sex occurred at the highest latitudes. Extent of male breeding plumage (proportion of nonbreeding contour feathers replaced) also increased with latitude, but female breeding plumage was most extensive at mid-latitudes. This population structure was not maintained in the nonbreeding season: morphometrics of captured birds and timing of migratory departures indicated that individuals from a wide range of breeding latitudes occur in each region and site in New Zealand. Links among morphology, phenology, and breeding location suggest the possibility of distinct Alaska breeding populations that mix freely in the nonbreeding season, and also imply that the strongest selection for size occurs in the breeding season. Received 7 October 2010, accepted 7 February 2011.</t>
  </si>
  <si>
    <t>[Conklin, Jesse R.; Battley, Phil F.; Potter, Murray A.] Massey Univ, Inst Nat Resources, Ecol Grp, Palmerston North 4442, New Zealand; [Ruthrauff, Dan R.] US Geol Survey, Alaska Sci Ctr, Anchorage, AK 99508 USA</t>
  </si>
  <si>
    <t>Massey University; United States Department of the Interior; United States Geological Survey</t>
  </si>
  <si>
    <t>Conklin, JR (corresponding author), Massey Univ, Inst Nat Resources, Ecol Grp, Private Bag 11-222, Palmerston North 4442, New Zealand.</t>
  </si>
  <si>
    <t>conklin.jesse@gmail.com</t>
  </si>
  <si>
    <t>Battley, Philip/AAI-1443-2021; Conklin, Jesse/ISA-4017-2023; Potter, Murray A/E-5816-2011</t>
  </si>
  <si>
    <t>Battley, Philip/0000-0002-8590-8098; Potter, Murray/0000-0002-0246-8294</t>
  </si>
  <si>
    <t>Department of Conservation Research and Development [3739-01, 3599]; David and Lucille Packard Foundation; Marsden Fund</t>
  </si>
  <si>
    <t>Department of Conservation Research and Development; David and Lucille Packard Foundation(The David &amp; Lucile Packard Foundation); Marsden Fund(Royal Society of New ZealandMarsden Fund (NZ))</t>
  </si>
  <si>
    <t>This project is indebted to many individuals studying godwits in Alaska and Australasia over more than two decades. We owe special thanks to B. McCaffery and R. Gill for planting the seeds of this research with many hours of thoughtful discussion. We thank R. Gill, D. Melville, and C. Steed for field assistance in Alaska, and D. Melville, A. Riegen, and R. Schuckard for capture assistance in New Zealand. We thank T. Buckley, R. Hill, S. Lovibond, J. Morse, A. Riegen, R. Schuckard, C. Steed, P. Tomkovich, K. Woodley, and S. Zack for photographs of Alaska godwits. We thank C. Cicero (Museum of Vertebrate Zoology at the University of California at Berkeley), R. Gill (U.S. Geological Survey's Alaska Science Center in Anchorage), and K. Winker (University of Alaska at Fairbanks) for access to museum specimens. J. Fox at the British Antarctic Survey provided technical assistance regarding geolocators. A. Riegen provided New Zealand Wader Study Group capture data. The Ornithological Society of New Zealand provided capture data partly obtained under Department of Conservation Research and Development contracts 3739-01 and 3599. This project was supported by the David and Lucille Packard Foundation through the Pacific Shorebird Migration Project, and by a Marsden Fund grant administered by The Royal Society of New Zealand to P.F.B.</t>
  </si>
  <si>
    <t>10.1525/auk.2011.10231</t>
  </si>
  <si>
    <t>767VV</t>
  </si>
  <si>
    <t>WOS:000290887600017</t>
  </si>
  <si>
    <t>Patarnello, T; Verde, C; Di Prisco, G; Bargelloni, L; Zane, L</t>
  </si>
  <si>
    <t>Patarnello, Tomaso; Verde, Cinzia; Di Prisco, Guido; Bargelloni, Luca; Zane, Lorenzo</t>
  </si>
  <si>
    <t>How will fish that evolved at constant sub-zero temperatures cope with global warming? Notothenioids as a case study</t>
  </si>
  <si>
    <t>BIOESSAYS</t>
  </si>
  <si>
    <t>adaptation; Antarctic fish; evolution; global warming; notothenioids</t>
  </si>
  <si>
    <t>ANTARCTIC POLAR FRONT; CLIMATE-CHANGE; TREMATOMUS-BERNACCHII; POPULATION-STRUCTURE; LARVAL DISPERSAL; CDNA MICROARRAY; HEAT-STRESS; EVOLUTION; OCEAN; EXPRESSION</t>
  </si>
  <si>
    <t>Current climate change has raised concerns over the fate of the stenothermal Antarctic marine fauna (animals that evolved to live in narrow ranges of cold temperatures). The present paper focuses on Notothenioidei, a taxonomic group that dominates Antarctic fish. Notothenioids evolved in the Southern Ocean over the last 20 million years, providing an example of a marine species flock with unique adaptations to the cold at morphological, physiological and biochemical levels. Their phenotypic modifications are often accompanied by 'irreversible' genomic losses or gene amplifications. On a micro-evolutionary scale, relatively 'shallow' genetic variation is observed, on account of past fluctuations in population size, and a significant genetic structure is evident, suggesting low population connectivity. These features suggest that Antarctic fish might have relatively little potential to adapt to global warming, at least at a genetic level. The extent of their phenotypic plasticity, which is evident to some degree, awaits further research.</t>
  </si>
  <si>
    <t>[Patarnello, Tomaso; Bargelloni, Luca] Comparat Pathol &amp; Vet Hyg AGRIPOLIS, Dept Publ Hlth, Legnaro, PD, Italy; [Verde, Cinzia; Di Prisco, Guido] CNR, Inst Prot Biochem, I-80125 Naples, Italy; [Zane, Lorenzo] Univ Padua, Dept Biol, Padua, Italy</t>
  </si>
  <si>
    <t>Consiglio Nazionale delle Ricerche (CNR); Istituto di Biochimica delle Proteine (IBP-CNR); University of Padua</t>
  </si>
  <si>
    <t>Patarnello, T (corresponding author), Comparat Pathol &amp; Vet Hyg AGRIPOLIS, Dept Publ Hlth, Legnaro, PD, Italy.</t>
  </si>
  <si>
    <t>tomaso.patarnello@unipd.it</t>
  </si>
  <si>
    <t>Zane, Lorenzo/G-6249-2010</t>
  </si>
  <si>
    <t>Zane, Lorenzo/0000-0002-6963-2132; VERDE, Cinzia/0000-0001-6185-282X; PATARNELLO, Tomaso/0000-0003-1794-5791</t>
  </si>
  <si>
    <t>Italian National Program for Antarctic Research (PNRA)</t>
  </si>
  <si>
    <t>This study was supported by the Italian National Program for Antarctic Research (PNRA). The authors acknowledge the SCAR program Evolution and Biodiversity in the Antarctic (EBA), and the project CAREX (Coordination Action for Research Activities on Life in Extreme Environments), European Commission FP7 call ENV. 2007.2.2.1.6. We thank the two anonymous referees who helped to significantly improve the paper.</t>
  </si>
  <si>
    <t>0265-9247</t>
  </si>
  <si>
    <t>1521-1878</t>
  </si>
  <si>
    <t>Bioessays</t>
  </si>
  <si>
    <t>10.1002/bies.201000124</t>
  </si>
  <si>
    <t>Biochemistry &amp; Molecular Biology; Biology</t>
  </si>
  <si>
    <t>Biochemistry &amp; Molecular Biology; Life Sciences &amp; Biomedicine - Other Topics</t>
  </si>
  <si>
    <t>734JT</t>
  </si>
  <si>
    <t>WOS:000288331100006</t>
  </si>
  <si>
    <t>Wang, GH; Yu, ZH; Liu, JJ; Jin, JA; Liu, XB; Kimura, M</t>
  </si>
  <si>
    <t>Wang, Guanghua; Yu, Zhenhua; Liu, Junjie; Jin, Jian; Liu, Xiaobing; Kimura, Makoto</t>
  </si>
  <si>
    <t>Molecular analysis of the major capsid genes (g23) of T4-type bacteriophages in an upland black soil in Northeast China</t>
  </si>
  <si>
    <t>BIOLOGY AND FERTILITY OF SOILS</t>
  </si>
  <si>
    <t>g23; Major capsid gene; Mollisol; T4-type phage; Upland soil; Virus community</t>
  </si>
  <si>
    <t>VIRUSES; MARINE; FLOODWATER; COMMUNITIES; DIVERSITY; PHAGES</t>
  </si>
  <si>
    <t>Bacteriophages (phages) are the most abundant biological entities on the planet and are important as the greatest genomic reservoirs in both marine and terrestrial environments. In this study, we analysed T4-type phage communities in an upland black soil by monitoring g23 clones in DNA extracted from seasonal soil samples with no fertilizer, chemical fertilizers, chemical fertilizers plus manure, and natural restoration treatments. PCR products with degenerate primers MZIA1bis and MZIA6 were subjected to denaturing gradient gel electrophoresis. In total, 46 clones with different g23 sequences were obtained. Phylogenetic analyses indicated that T4-type phage communities in the upland black soil were distinctly different from those in marine environments and in an Antarctic lake, which strongly suggested that T4-type phage communities in soil differed from those in aquatic environments. Among 46 clones, 18 clones formed clusters with the clones from rice field soils, 14 clones formed three new clusters, and 13 clones were left as ungrouped, which indicated that T4-type phage communities in the upland black soil were relatively similar to those in rice field soils but that specific communities also inhabit in the upland black soil exclusively.</t>
  </si>
  <si>
    <t>[Wang, Guanghua; Yu, Zhenhua; Liu, Junjie; Jin, Jian; Liu, Xiaobing] Chinese Acad Sci, NE Inst Geog &amp; Agroecol, Key Lab Mollisols Agroecol, Harbin 150081, Peoples R China; [Yu, Zhenhua; Liu, Junjie] Chinese Acad Sci, Grad Sch, Beijing 100039, Peoples R China; [Kimura, Makoto] Nagoya Univ, Grad Sch Bioagr Sci, Chikusa Ku, Nagoya, Aichi 4648601, Japan</t>
  </si>
  <si>
    <t>Chinese Academy of Sciences; Northeast Institute of Geography &amp; Agroecology, CAS; Chinese Academy of Sciences; University of Chinese Academy of Sciences, CAS; Nagoya University</t>
  </si>
  <si>
    <t>Wang, GH (corresponding author), Chinese Acad Sci, NE Inst Geog &amp; Agroecol, Key Lab Mollisols Agroecol, Harbin 150081, Peoples R China.</t>
  </si>
  <si>
    <t>guanghuawang@hotmail.com</t>
  </si>
  <si>
    <t>Liu, Xiaobing/AAQ-3881-2020; 于, 镇华/AAR-6878-2021; Wang, Guanghua/ADE-3570-2022</t>
  </si>
  <si>
    <t>Wang, Guanghua/0000-0003-4737-8126</t>
  </si>
  <si>
    <t>Chinese Academy of Sciences; National Natural Science Foundation of China [41071172]</t>
  </si>
  <si>
    <t>Chinese Academy of Sciences(Chinese Academy of Sciences); National Natural Science Foundation of China(National Natural Science Foundation of China (NSFC))</t>
  </si>
  <si>
    <t>The authors are grateful to Dr. Susumu Asakawa and Dr. Jun Murase of Nagoya University, Japan, for their valuable comments and suggestions. This work was supported in part by a grant from the Chinese Academy of Sciences for the Hundred Talents Program and by the National Natural Science Foundation of China (41071172).</t>
  </si>
  <si>
    <t>0178-2762</t>
  </si>
  <si>
    <t>1432-0789</t>
  </si>
  <si>
    <t>BIOL FERT SOILS</t>
  </si>
  <si>
    <t>Biol. Fertil. Soils</t>
  </si>
  <si>
    <t>10.1007/s00374-010-0533-1</t>
  </si>
  <si>
    <t>Soil Science</t>
  </si>
  <si>
    <t>Agriculture</t>
  </si>
  <si>
    <t>733GR</t>
  </si>
  <si>
    <t>WOS:000288251700004</t>
  </si>
  <si>
    <t>Hill, NA; Johnston, EL; King, CK; Simpson, SL</t>
  </si>
  <si>
    <t>Hill, Nicole A.; Johnston, Emma L.; King, Catherine K.; Simpson, Stuart L.</t>
  </si>
  <si>
    <t>Physico-chemical changes in metal-spiked sediments deployed in the field: Implications for the interpretation of in situ studies</t>
  </si>
  <si>
    <t>In situ; Manipulative studies; Sediment; Metals; Fauna; Hydrodynamics</t>
  </si>
  <si>
    <t>CONTAMINATED SEDIMENTS; BENTHIC INVERTEBRATES; CADMIUM ACCUMULATION; TOXICITY; WATER; ZINC; COPPER; BIOAVAILABILITY; RECOLONIZATION; OXYGEN</t>
  </si>
  <si>
    <t>Manipulative field studies are useful for investigating cause-effect relationships between contamination and benthic community health. However, there are many challenges for creating environmentally relevant exposures and determining what measurements are necessary to correctly interpret the results. This study describes the physical and chemical changes in the properties of metal-spiked marine sediments deployed in four different locations for up to 11 months. The test sediments lost between 20% and 75% of their volume during the deployment period, with the greatest losses occurring at sites affected by strong hydrodynamic activity. More sediment was lost from clean treatments than those spiked with high metal concentrations and corresponded with differential recruitment of infauna to these treatments. In general, a greater proportion of spiked-metals remained at lower energy sites (48-85%) than at higher energy sites (15-48%). The decreased metal concentrations were attributed mostly to the loss of the metal-spiked sediments (through resuspension) and their dilution with sediments depositing from the surrounding environment. A range of recommendations are made for optimising the information gained from field-based studies using metal-spiked sediments. These include the careful documentation of physico-chemical sediment properties pre- and post-deployment, the use of co-located sediment traps and knowledge of site-specific hydrodynamic processes. (C) 2011 Elsevier Ltd. All rights reserved.</t>
  </si>
  <si>
    <t>[Hill, Nicole A.; Johnston, Emma L.] Univ New S Wales, Sch Biol Earth &amp; Environm Sci, Evolut &amp; Ecol Res Ctr, Sydney, NSW 2052, Australia; [King, Catherine K.] Australian Antarctic Div, Kingston, Tas 7050, Australia</t>
  </si>
  <si>
    <t>University of New South Wales Sydney; Australian Antarctic Division</t>
  </si>
  <si>
    <t>Hill, NA (corresponding author), Univ Tasmania, Inst Marine &amp; Antarctic Studies, Private Bag 49, Hobart, Tas 7001, Australia.</t>
  </si>
  <si>
    <t>Nicole.Hill@utas.edu.au</t>
  </si>
  <si>
    <t>King, Catherine K/G-7059-2017; Hill, Nicole/AAI-7323-2021; Simpson, Stuart L/JCE-1589-2023; Johnston, Emma/AAC-2878-2022; Simpson, Stuart L/A-6044-2011</t>
  </si>
  <si>
    <t>King, Catherine K/0000-0003-3356-0381; Hill, Nicole/0000-0001-9329-6717; Johnston, Emma/0000-0002-2117-366X; Simpson, Stuart L/0000-0003-1759-0564</t>
  </si>
  <si>
    <t>Australian Antarctic Science [AAS2691]; Australian Research Council; Australian Postgraduate Award</t>
  </si>
  <si>
    <t>Australian Antarctic Science; Australian Research Council(Australian Research Council); Australian Postgraduate Award(Australian Government)</t>
  </si>
  <si>
    <t>The authors would like to thank C. Jarolimek for assistance with metals analyses, D. Roberts, K. Lee, K. Stuart and the 2005/2006 and 2006/2007 Australian Antarctic Division dive teams for invaluable field support, A. Palmer for comments on an early draft, and anonymous reviewers. This work was supported by an Australian Antarctic Science Grant (AAS2691) and an Australian Research Council Grant awarded to E. Johnston, and Australian Postgraduate Award to N. Hill.</t>
  </si>
  <si>
    <t>10.1016/j.chemosphere.2010.12.089</t>
  </si>
  <si>
    <t>754TG</t>
  </si>
  <si>
    <t>WOS:000289879500002</t>
  </si>
  <si>
    <t>Zhu, YL; Wang, HJ; Zhou, W; Ma, JH</t>
  </si>
  <si>
    <t>Zhu, Yali; Wang, Huijun; Zhou, Wen; Ma, Jiehua</t>
  </si>
  <si>
    <t>Recent changes in the summer precipitation pattern in East China and the background circulation</t>
  </si>
  <si>
    <t>East China; Precipitation; Interdecadal variability; Climate change</t>
  </si>
  <si>
    <t>SEA-SURFACE TEMPERATURE; YANGTZE-RIVER VALLEY; NORTH CHINA; INTERDECADAL VARIABILITY; ANTARCTIC OSCILLATION; DECADAL SHIFT; PACIFIC; MONSOON; CLIMATE; MECHANISM</t>
  </si>
  <si>
    <t>This study documents the decadal changes of the summer precipitation in East China, with increased rainfall in the Huang-Huai River region (HR) and decreased in the Yangtze River region (YR) during 2000-2008 in comparison to 1979-1999. The main features of the atmospheric circulation related to the increased precipitation in the HR are the strengthened ascending motion and slightly increased air humidity, which is partly due to the weakened moisture transport out of the HR to the western tropical Pacific (associated with the weakened westerly over East Asia and the warming center over the Lake Baikal). The rainfall decrease in the YR is related to the weakened ascending motion and reduced water vapor content, which is mainly related to the weakened southwesterly moisture flux into the YR (associated with the eastward recession of the Western Pacific Subtropical High). The global sea surface temperature (SST) also shows significant changes during 2000-2008 relative to 1979-1999. The shift of the Pacific decadal oscillation (PDO) to a negative phase probably induces the warming over the Lake Baikal and the weakened westerly jet through the air-sea interaction in the Pacific, and thus changes the summer precipitation pattern in East China. Numerical experiments using an atmospheric general circulation model, with prescribed all-Pacific SST anomalies of 2000-2008 relative to 1979-1999, also lend support to the PDO's contribution to the warming over the Lake Baikal and the weakened westerlies over East China.</t>
  </si>
  <si>
    <t>[Zhu, Yali; Wang, Huijun] Chinese Acad Sci, Climate Change Res Ctr, Beijing 100029, Peoples R China; [Zhu, Yali; Wang, Huijun; Ma, Jiehua] Chinese Acad Sci, Nansen Zhu Int Res Ctr, Inst Atmospher Phys, Beijing 100029, Peoples R China; [Zhou, Wen] City Univ Hong Kong, Sch Energy &amp; Environm, Hong Kong, Hong Kong, Peoples R China; [Ma, Jiehua] Chinese Acad Sci, Grad Sch, Beijing 100029, Peoples R China</t>
  </si>
  <si>
    <t>Chinese Academy of Sciences; Chinese Academy of Sciences; Institute of Atmospheric Physics, CAS; City University of Hong Kong; Chinese Academy of Sciences; University of Chinese Academy of Sciences, CAS</t>
  </si>
  <si>
    <t>Zhu, YL (corresponding author), Chinese Acad Sci, Climate Change Res Ctr, Beijing 100029, Peoples R China.</t>
  </si>
  <si>
    <t>zhuyl@mail.iap.ac.cn</t>
  </si>
  <si>
    <t>ZHOU, Wen/C-3750-2012</t>
  </si>
  <si>
    <t>ZHOU, Wen/0000-0002-3297-4841</t>
  </si>
  <si>
    <t>National Key Project for Basic Research [2009CB421406]; National Natural Science Foundation of China [40875048]; Chinese Academy of Sciences [KZCX2-YW-Q1-02, KZCX2-YW-Q11-00]</t>
  </si>
  <si>
    <t>National Key Project for Basic Research(National Basic Research Program of China); National Natural Science Foundation of China(National Natural Science Foundation of China (NSFC)); Chinese Academy of Sciences(Chinese Academy of Sciences)</t>
  </si>
  <si>
    <t>We wish to acknowledge Prof. Shuanglin Li, Dr. Jianqi Sun, and Dr. Jianjian Fu for helpful discussions with them. Comments and helpful suggestions from the editor and two anonymous reviewers helped us to improve the presentation of our results. This research was jointly supported by the National Key Project for Basic Research under Grant No. 2009CB421406, National Natural Science Foundation of China under Grant 40875048, and the Chinese Academy of Sciences under Grants No. KZCX2-YW-Q1-02 and KZCX2-YW-Q11-00.</t>
  </si>
  <si>
    <t>10.1007/s00382-010-0852-9</t>
  </si>
  <si>
    <t>WOS:000289105300016</t>
  </si>
  <si>
    <t>Fogt, RL; Bromwich, DH; Hines, KM</t>
  </si>
  <si>
    <t>Fogt, Ryan L.; Bromwich, David H.; Hines, Keith M.</t>
  </si>
  <si>
    <t>Understanding the SAM influence on the South Pacific ENSO teleconnection</t>
  </si>
  <si>
    <t>ANTARCTIC SEA-ICE; CLIMATE VARIABILITY; ANNULAR MODE; OSCILLATION; SURFACE; OCEAN; CIRCULATION; HEMISPHERE; TRENDS; PRECIPITATION</t>
  </si>
  <si>
    <t>The relationship between the El Nio Southern Oscillation (ENSO) and the Southern Hemisphere Annular Mode (SAM) is examined, with the goal of understanding how various strong SAM events modulate the ENSO teleconnection to the South Pacific (45A degrees-70A degrees S, 150A degrees-70A degrees W). The focus is on multi-month, multi-event variations during the last 50 years. A significant (p &lt; 0.10) relationship is observed, most marked during the austral summer and in the 1970s and 1990s. In most cases, the significant relationship is brought about by La Nia (El Nio) events occurring with positive (negative) phases of the SAM more often than expected by chance. The South Pacific teleconnection magnitude is found to be strongly dependent on the SAM phase. Only when ENSO events occur with a weak SAM or when a La Nia (El Nio) occurs with a positive (negative) SAM phase are significant South Pacific teleconnections found. This modulation in the South Pacific ENSO teleconnection is directly tied to the interaction of the anomalous ENSO and SAM transient eddy momentum fluxes. During La Nia/SAM+ and El Nio/SAM- combinations, the anomalous transient momentum fluxes in the Pacific act to reinforce the circulation anomalies in the midlatitudes, altering the circulation in such a way to maintain the ENSO teleconnections. In La Nia/SAM- and El Nio/SAM+ cases, the anomalous transient eddies oppose each other in the midlatitudes, overall acting to reduce the magnitude of the high latitude ENSO teleconnection.</t>
  </si>
  <si>
    <t>[Fogt, Ryan L.] Ohio Univ, Dept Geog, Clippinger Labs 122, Athens, OH 45701 USA; [Bromwich, David H.; Hines, Keith M.] Ohio State Univ, Byrd Polar Res Ctr, Polar Meteorol Grp, Columbus, OH 43210 USA; [Bromwich, David H.] Ohio State Univ, Dept Geog, Atmospher Sci Program, Columbus, OH 43210 USA</t>
  </si>
  <si>
    <t>University System of Ohio; Ohio University; University System of Ohio; Ohio State University; University System of Ohio; Ohio State University</t>
  </si>
  <si>
    <t>Fogt, RL (corresponding author), Ohio Univ, Dept Geog, Clippinger Labs 122, Athens, OH 45701 USA.</t>
  </si>
  <si>
    <t>fogtr@ohio.edu</t>
  </si>
  <si>
    <t>Fogt, Ryan L/B-6989-2008; Bromwich, David H/C-9225-2016</t>
  </si>
  <si>
    <t>Fogt, Ryan L/0000-0002-5398-3990;</t>
  </si>
  <si>
    <t>National Research Council; NSF [0751291, ANT-0944168]; Directorate For Geosciences; Office of Polar Programs (OPP) [0944168] Funding Source: National Science Foundation; Div Atmospheric &amp; Geospace Sciences; Directorate For Geosciences [0751291] Funding Source: National Science Foundation</t>
  </si>
  <si>
    <t>National Research Council(Consiglio Nazionale delle Ricerche (CNR)); NSF(National Science Foundation (NSF)); Directorate For Geosciences; Office of Polar Programs (OPP)(National Science Foundation (NSF)NSF - Directorate for Geosciences (GEO)); Div Atmospheric &amp; Geospace Sciences; Directorate For Geosciences(National Science Foundation (NSF)NSF - Directorate for Geosciences (GEO))</t>
  </si>
  <si>
    <t>A portion of this work was conducted while RLF held a National Research Council Research Associateship Award at NOAA. All authors acknowledge support from NSF ATM grant #0751291. RLF also acknowledges support from NSF OPP grant #ANT-0944168. Two anonymous reviewers are thanked for their comments which helped to improve the manuscript and clarify our main points.</t>
  </si>
  <si>
    <t>10.1007/s00382-010-0905-0</t>
  </si>
  <si>
    <t>WOS:000289105300022</t>
  </si>
  <si>
    <t>Arora, M; Snape, I; Stevens, GW</t>
  </si>
  <si>
    <t>Arora, Meenakshi; Snape, Ian; Stevens, Geoff W.</t>
  </si>
  <si>
    <t>The effect of temperature on toluene sorption by granular activated carbon and its use in permeable reactive barriers in cold regions</t>
  </si>
  <si>
    <t>Permeable reactive barrier; Granular activated carbon; Sorption; Toluene; Cold regions; Antarctica</t>
  </si>
  <si>
    <t>ION-EXCHANGE REACTIONS; NATURAL ZEOLITE; ADSORPTION; ANTARCTICA; CLINOPTILOLITE; KINETICS; REMOVAL; WATER; CONTAMINANTS; DESORPTION</t>
  </si>
  <si>
    <t>Granular activated carbon (GAC) has been used as an adsorbent for hydrocarbons in a range of permeable reactive barriers. This work investigates the influence of temperature on adsorption performance. In particular, the influence of temperature in the range of 20 degrees C to 4 degrees C on the sorption equilibrium and kinetics of toluene on GAC surface were investigated. The results show that low temperature leads to decreased toluene sorption by GAC and slower reaction kinetics. Sorption kinetics studies show that diffusion coefficients are also lower at 4 degrees C (3.65 x 10(-13) m(2) s(-1)) than 20 degrees C (5.112 x 10-13 m2 s-1). (C) 2010 Elsevier B.V. All rights reserved.</t>
  </si>
  <si>
    <t>[Arora, Meenakshi; Stevens, Geoff W.] Univ Melbourne, Dept Chem &amp; Biomol Engn, Particulate Fluids Proc Ctr, Melbourne, Vic 3010, Australia; [Snape, Ian] Australian Antarctic Div, Human Impacts Res Grp, Kingston, Tas 7050, Australia</t>
  </si>
  <si>
    <t>University of Melbourne; Melbourne Bioinformatics; Australian Antarctic Division</t>
  </si>
  <si>
    <t>Arora, M (corresponding author), Univ Melbourne, Dept Infrastruct Engn, Melbourne, Vic 3010, Australia.</t>
  </si>
  <si>
    <t>marora@unimelb.edu.au</t>
  </si>
  <si>
    <t>; Arora, Meenakshi/E-1473-2011</t>
  </si>
  <si>
    <t>Stevens, Geoffrey/0000-0002-5788-4682; Arora, Meenakshi/0000-0002-6988-2844</t>
  </si>
  <si>
    <t>Particulate Fluids Processing Centre; special Research Centre of Australian Research Council; Australian Antarctic Division</t>
  </si>
  <si>
    <t>This study was supported by the Particulate Fluids Processing Centre, a special Research Centre of Australian Research Council and Australian Antarctic Division.</t>
  </si>
  <si>
    <t>10.1016/j.coldregions.2010.12.007</t>
  </si>
  <si>
    <t>742DP</t>
  </si>
  <si>
    <t>WOS:000288920800002</t>
  </si>
  <si>
    <t>Bilyk, KT; DeVries, AL</t>
  </si>
  <si>
    <t>Bilyk, Kevin T.; DeVries, Arthur L.</t>
  </si>
  <si>
    <t>Heat tolerance and its plasticity in Antarctic fishes</t>
  </si>
  <si>
    <t>COMPARATIVE BIOCHEMISTRY AND PHYSIOLOGY A-MOLECULAR &amp; INTEGRATIVE PHYSIOLOGY</t>
  </si>
  <si>
    <t>Antarctica; Critical thermal maximum; Notothenioid; Heat tolerance; Phenotypic plasticity</t>
  </si>
  <si>
    <t>CRITICAL THERMAL MAXIMUM; TEMPERATURE TOLERANCE; SEAWATER TEMPERATURES; TREMATOMUS-BERNACCHII; NOTOTHENIOID FISHES; GENE-EXPRESSION; NERVOUS SYSTEM; ACCLIMATION; ADAPTATION; LIMITS</t>
  </si>
  <si>
    <t>The adaptive radiation of the Antarctic notothenioid ancestral benthic fish stock within the chronic freezing waters of the Southern Ocean gave rise to five highly cold adapted families. Their stenothermy, first observed from several high-latitude McMurdo Sound species, has been of increasing recent interest given the threat of rising polar water temperatures from global climate change. In this study we determined the heat tolerance in a geographically diverse group of 11 Antarctic species as their critical thermal maximum (CTMax). When acclimatized to their natural freezing water temperatures, environmental CTMaxs ranged from 11.95 to 16.17 degrees C, well below those of fishes endemic to warmer waters. There was a significant regional split, with higher CTMaxs in species from the more northerly and thermally variable Seasonal Pack-ice Zone. When eight of the Antarctic species were warm acclimated to 4 degrees C all showed a significant increase over their environmental CTMaxs, with several showing plasticity comparable in magnitude to some far more eurythermal fishes. When the accrual of heat tolerance during acclimation was followed in three high-latitude McMurdo Sound species, it was found to develop slowly in two of them, which was correlated with their low metabolic rates. (C) 2010 Elsevier Inc. All rights reserved.</t>
  </si>
  <si>
    <t>[Bilyk, Kevin T.; DeVries, Arthur L.] Univ Illinois, Dept Anim Biol, Urbana, IL 61801 USA</t>
  </si>
  <si>
    <t>University of Illinois System; University of Illinois Urbana-Champaign</t>
  </si>
  <si>
    <t>Bilyk, KT (corresponding author), Univ Illinois, Dept Anim Biol, 515 Morrill Hall,505 S Goodwin Ave, Urbana, IL 61801 USA.</t>
  </si>
  <si>
    <t>kbilyk@life.uiuc.edu; adevries@uiuc.edu</t>
  </si>
  <si>
    <t>U.S. National Science Foundation Office of Polar Programs [NSF OPP-Ant-0231006]; Department of Animal Biology at the University of Illinois Urbana-Champaign</t>
  </si>
  <si>
    <t>U.S. National Science Foundation Office of Polar Programs(National Science Foundation (NSF)); Department of Animal Biology at the University of Illinois Urbana-Champaign</t>
  </si>
  <si>
    <t>The authors would like to thank Paul Cziko and Jonathan Weissman for their assistance collecting specimens and setting up the acclimation tanks, Grace Tiao for her help in determining CTMaxs, and the employees and contractors of the Raytheon Polar Services Corporation. This research was funded by the U.S. National Science Foundation Office of Polar Programs Grant NSF OPP-Ant-0231006 to A.L. DeVries and C-H. C. Cheng. Additional funding for this research came from the Department of Animal Biology at the University of Illinois Urbana-Champaign to K.T. Bilyk.</t>
  </si>
  <si>
    <t>360 PARK AVE SOUTH, NEW YORK, NY 10010-1710 USA</t>
  </si>
  <si>
    <t>1095-6433</t>
  </si>
  <si>
    <t>COMP BIOCHEM PHYS A</t>
  </si>
  <si>
    <t>Comp. Biochem. Physiol. A-Mol. Integr. Physiol.</t>
  </si>
  <si>
    <t>10.1016/j.cbpa.2010.12.010</t>
  </si>
  <si>
    <t>Biochemistry &amp; Molecular Biology; Physiology; Zoology</t>
  </si>
  <si>
    <t>738LG</t>
  </si>
  <si>
    <t>WOS:000288640700003</t>
  </si>
  <si>
    <t>Kozlowski, WA; Deutschman, D; Garibotti, I; Trees, C; Vernet, M</t>
  </si>
  <si>
    <t>Kozlowski, Wendy A.; Deutschman, Douglas; Garibotti, Irene; Trees, Charles; Vernet, Maria</t>
  </si>
  <si>
    <t>An evaluation of the application of CHEMTAX to Antarctic coastal pigment data</t>
  </si>
  <si>
    <t>Phytoplankton; Antarctica; Pigments; CHEMTAX; Microscopy</t>
  </si>
  <si>
    <t>PHYTOPLANKTON COMMUNITY STRUCTURE; ICE-ZONE WEST; PENINSULA SOUTHERN-OCEAN; PHAEOCYSTIS-ANTARCTICA; MARINE-PHYTOPLANKTON; CLASS ABUNDANCES; EUPHOTIC ZONE; HPLC MEASUREMENTS; CHLOROPHYLL-A; MIXED-LAYER</t>
  </si>
  <si>
    <t>Presented is an evaluation of the application of CHEMTAX (CHEMical TAXonomy) to Antarctic coastal pigments collected along the western Antarctic Peninsula (wAP). Overall analytical error is &lt; 20% for all pigments involved in the analysis. CHEMTAX was stable within a range of input pigment ratios; data were analyzed in three bins based on light depths, with each year's data run independently. Results were validated by comparison to those from CHEMTAX methods that included randomized error, feedback loops and additional diagnostic pigments. Blooms during mid-summer (chlorophyll a concentrations &gt; 5 mu g L-1) were dominated primarily by either diatoms or cryptomonads. Mixed flagellates can also be abundant and Pheaocystis spp. and prasinophytes are frequently present in low concentrations. Comparison with microscopy shows CHEMTAX to give superior results in identifying Pheaocystis spp. with favorable results for other groups. This analysis shows CHEMTAX to be a reliable and stable tool for providing estimations of the main phytoplankton taxa in wAP waters based on long-term data collected during a 12-year time series. (C) 2011 Elsevier Ltd. All rights reserved.</t>
  </si>
  <si>
    <t>[Kozlowski, Wendy A.; Vernet, Maria] Univ Calif San Diego, Scripps Inst Oceanog, Integrat Oceanog Div, La Jolla, CA 92093 USA; [Deutschman, Douglas] San Diego State Univ, Dept Biol, San Diego, CA 92182 USA; [Garibotti, Irene] Inst Argentino Nivol Glaciol &amp; Ciencias Ambiental, RA-5500 Mendoza, Argentina; [Trees, Charles] NATO Undersea Res Ctr, La Spezia, Italy</t>
  </si>
  <si>
    <t>University of California System; University of California San Diego; Scripps Institution of Oceanography; California State University System; San Diego State University; NATO (North Atlantic Treaty Organisation)</t>
  </si>
  <si>
    <t>Kozlowski, WA (corresponding author), Univ Calif San Diego, Scripps Inst Oceanog, Integrat Oceanog Div, Mail Code 0218, La Jolla, CA 92093 USA.</t>
  </si>
  <si>
    <t>wkoz@ucsd.edu; ddeutschman@sciences.sdsu.edu; ireneg@lab.cricyt.edu.ar; trees@nurc.nato.int; mvernet@ucsd.edu</t>
  </si>
  <si>
    <t>Deutschman, Douglas/JGM-7545-2023</t>
  </si>
  <si>
    <t>Kozlowski, Wendy Anne/0000-0001-6539-3798; Deutschman, Douglas/0000-0003-2741-8215</t>
  </si>
  <si>
    <t>NSF/OPP [OPP-90-11927, OPP-96-32763, OPP-02-17272]; NASA; Natural Environment Research Council [bas0100026] Funding Source: researchfish; NERC [bas0100026] Funding Source: UKRI; Office of Polar Programs (OPP); Directorate For Geosciences [0823101] Funding Source: National Science Foundation</t>
  </si>
  <si>
    <t>NSF/OPP(National Science Foundation (NSF)); NASA(National Aeronautics &amp; Space Administration (NASA)); Natural Environment Research Council(UK Research &amp; Innovation (UKRI)Natural Environment Research Council (NERC)); NERC(UK Research &amp; Innovation (UKRI)Natural Environment Research Council (NERC)); Office of Polar Programs (OPP); Directorate For Geosciences(National Science Foundation (NSF)NSF - Directorate for Geosciences (GEO))</t>
  </si>
  <si>
    <t>The authors thank Stuart Lamerdin, Kane Sines, Andrew Hall, and Tristan Wohlford for HPLC sample analysis and the many other 016 volunteers who collected samples over the years. We are grateful to Antarctic Support Associates, Raytheon Polar Services Company, Rieber Shipping and Edison Chouest Offshore and their employees for logistical and scientific support while at sea. We thank Harry Higgins and Simon Wright for the copies of the CHEMTAX program, Stan Hooker for our participation in NASA's SeaHARRE-5 Round Robin, Nick Welschmeyer for pigment standards in 1995 and 1996, Rich lannuzzi for data analysis assistance, and Lynn Yarmey for help with figure preparation. Funding for this work was provided to M. Vernet through NSF/OPP grant nos. OPP-90-11927 OPP-96-32763 and OPP-02-17272 and by a NASA Graduate Student Research Program fellowship from 2005 to 2007 to W. Kozlowski. This is Palmer LTER contribution # 358.</t>
  </si>
  <si>
    <t>10.1016/j.dsr.2011.01.008</t>
  </si>
  <si>
    <t>748LB</t>
  </si>
  <si>
    <t>WOS:000289391000003</t>
  </si>
  <si>
    <t>Sangrà, P; Gordo, C; Hernandez-Arencibia, M; Marrero-Díaz, A; Rodríguez-Santana, A; Stegner, A; Martínez-Marrero, A; Pelegrí, JL; Pichon, T</t>
  </si>
  <si>
    <t>Sangra, Pablo; Gordo, Carmen; Hernandez-Arencibia, Monica; Marrero-Diaz, Angeles; Rodriguez-Santana, Angel; Stegner, Alexander; Martinez-Marrero, Antonio; Pelegri, Josep L.; Pichon, Thierry</t>
  </si>
  <si>
    <t>The Bransfield current system</t>
  </si>
  <si>
    <t>Bransfield Strait; Bransfield Current; Circumpolar Deep Water; Anticylonic eddies; Gravity current</t>
  </si>
  <si>
    <t>GRAVITY CURRENTS; WATER MASSES; PART 1; STRAIT; CIRCULATION; VARIABILITY; BOUNDARY</t>
  </si>
  <si>
    <t>We use hydrographic data collected during two interdisciplinary cruises, CIEMAR and BREDDIES, to describe the mesoscale variability observed in the Central Basin of the Bransfield Strait (Antarctica). The main mesoscale feature is the Bransfield Front and the related Bransfield Current, which flows northeastward along the South Shetland Island Slope. A laboratory model suggests that this current behaves as a gravity current driven by the local rotation rate and the density differences between the Transitional Zonal Water with Bellingshausen influence (TBW) and the Transitional Zonal Water with Weddell Sea influence (TWW). Below the Bransfield Front we observe a narrow (10 km wide) tongue of Circumpolar Deep Water all along the South Shetland Islands Slope. At the surface, the convergence of TBW and TWW leads to a shallow baroclinic front close to the Antarctic Peninsula (hereafter Peninsula Front). Between the Bransfield Front and the Peninsula Front we observe a system of TBW anticyclonic eddies, with diameters about 20 km that can reach 300 m deep. This eddy system could be originated by instabilities of the Bransfield Current, The Bransfield Current, the anticyclonic eddy system, the Peninsula Front and the tongue of Circumpolar Deep Water, are the dynamically connected components of the Bransfield Current System. (C) 2011 Elsevier Ltd. All rights reserved.</t>
  </si>
  <si>
    <t>[Sangra, Pablo; Gordo, Carmen; Hernandez-Arencibia, Monica; Marrero-Diaz, Angeles; Rodriguez-Santana, Angel; Martinez-Marrero, Antonio] Univ Las Palmas Gran Canaria, Dept Fis, Campus Univ Tafira, Las Palmas Gran Canaria 35017, Spain; [Stegner, Alexander] Ecole Polytech, CNRS, LMD, F-91128 Palaiseau, France; [Stegner, Alexander; Pichon, Thierry] ENSTA Chem Huniere, Unite Mecan UME, F-91126 Palaiseau, France; [Pelegri, Josep L.] CSIC, Inst Ciencias Mar, Dept Oceanog, Barcelona, Spain</t>
  </si>
  <si>
    <t>Universidad de Las Palmas de Gran Canaria; Institut Polytechnique de Paris; Centre National de la Recherche Scientifique (CNRS); Ecole des Ponts ParisTech; Institut Polytechnique de Paris; Consejo Superior de Investigaciones Cientificas (CSIC); CSIC - Centro Mediterraneo de Investigaciones Marinas y Ambientales (CMIMA); CSIC - Instituto de Ciencias del Mar (ICM)</t>
  </si>
  <si>
    <t>Sangrà, P (corresponding author), Univ Las Palmas Gran Canaria, Dept Fis, Campus Univ Tafira, Las Palmas Gran Canaria 35017, Spain.</t>
  </si>
  <si>
    <t>psangra@dfis.ulpgc.es</t>
  </si>
  <si>
    <t>Rodriguez-Santana, Angel/H-8596-2015; Pelegrí, Josep L/L-5815-2014; Marrero-Díaz, Ángeles/H-2175-2015; Sangra, Pablo/I-1350-2015; Martinez-Marrero, Antonio/Q-6714-2017</t>
  </si>
  <si>
    <t>Rodriguez-Santana, Angel/0000-0003-1960-6777; Pelegrí, Josep L/0000-0003-0661-2190; Marrero-Díaz, Ángeles/0000-0001-7697-0036; Sangra, Pablo/0000-0002-6600-2194; Stegner, Alexandre/0000-0001-7882-493X; Martinez-Marrero, Antonio/0000-0002-2376-1561; GORDO ROJAS, CARMEN/0000-0002-4377-6373</t>
  </si>
  <si>
    <t>Spanish government [REN2001-2650, CTM2008-06343-CO2-01]; Spanish Government (Salvador de Madariaga) [PR2010-0517]</t>
  </si>
  <si>
    <t>Spanish government(Spanish Government); Spanish Government (Salvador de Madariaga)</t>
  </si>
  <si>
    <t>We express our gratitude to the technical staff and crew of R/V Hesperides for supporting our work at sea. This work was supported by the Spanish government through project BREDDIES (REN2001-2650) and COUPLING (CTM2008-06343-CO2-01). The laboratory experiments were part of the ToplECC project founded by the French program LEFE-INSU. Part of this work was written while PS was visiting the group of Prof. James C. McWilliams at the Atmospheric and Oceanic Sciences department of the UCLA supported with a scholarship from the Spanish Government (Salvador de Madariaga, PR2010-0517). Many thanks to all three anonymous reviewers for their useful comments and suggestions.</t>
  </si>
  <si>
    <t>10.1016/j.dsr.2011.01.011</t>
  </si>
  <si>
    <t>WOS:000289391000006</t>
  </si>
  <si>
    <t>Kilpatrick, R; Ewing, G; Lamb, T; Welsford, D; Constable, A</t>
  </si>
  <si>
    <t>Kilpatrick, Robert; Ewing, Graeme; Lamb, Tim; Welsford, Dirk; Constable, Andrew</t>
  </si>
  <si>
    <t>Autonomous video camera system for monitoring impacts to benthic habitats from demersal fishing gear, including longlines</t>
  </si>
  <si>
    <t>Demersal longline; Demersal trawl; Deep sea camera; Deep sea video; Benthos; Effects of fishing; Toothfish; Dissostichus spp.; Southern ocean; Krill; Elephant seal</t>
  </si>
  <si>
    <t>DISTURBANCE; MEGAFAUNA; ECOSYSTEM; DAMAGE; CORAL</t>
  </si>
  <si>
    <t>Studies of the interactions of demersal fishing gear with the benthic environment are needed in order to manage conservation of benthic habitats. There has been limited direct assessment of these interactions through deployment of cameras on commercial fishing gear especially on demersal longlines. A compact, autonomous deep-sea video system was designed and constructed by the Australian Antarctic Division (MD) for deployment on commercial fishing gear to observe interactions with benthos in the Southern Ocean finfish fisheries (targeting toothfish, Dissostichus spp). The Benthic Impacts Camera System (BICS) is capable of withstanding depths to 2500 m, has been successfully fitted to both longline and demersal trawl fishing gear, and is suitable for routine deployment by non-experts such as fisheries observers or crew. The system is entirely autonomous, robust, compact, easy to operate, and has minimal effect on the performance of the fishing gear it is attached to. To date, the system has successfully captured footage that demonstrates the interactions between demersal fishing gear and the benthos during routine commercial operations. It provides the first footage demonstrating the nature of the interaction between demersal longlines and benthic habitats in the Southern Ocean, as well as showing potential as a tool for rapidly assessing habitat types and presence of mobile biota such as krill (Euphausia superba). (C) 2011 Elsevier Ltd. All rights reserved.</t>
  </si>
  <si>
    <t>[Kilpatrick, Robert; Ewing, Graeme; Lamb, Tim; Welsford, Dirk; Constable, Andrew] Australian Antarctic Div, Kingston, Tas 7050, Australia</t>
  </si>
  <si>
    <t>Kilpatrick, R (corresponding author), Australian Antarctic Div, 203 Channel Highway, Kingston, Tas 7050, Australia.</t>
  </si>
  <si>
    <t>Robbie.kilpatrick@aad.gov.au</t>
  </si>
  <si>
    <t>Welsford, Dirk/0000-0001-5379-5052</t>
  </si>
  <si>
    <t>Australian Fisheries Research and Development Corporation; Australian Fisheries Management Authority</t>
  </si>
  <si>
    <t>The AAD project, entitled Demersal fishing interactions with marine benthos in the Australian EEZ of the Southern Ocean: an assessment of the vulnerability of benthic habitats to impact by demersal gears was funded by the Australian Fisheries Research and Development Corporation, industry stakeholders (Australian Longline and Austral Fisheries), and the Australian Fisheries Management Authority. Particular thanks should be attributed to the AAD's Science Technical Support team for their contributions. This manuscript has benefited from the editing contributions by Jo McEvoy and three anonymous reviewers.</t>
  </si>
  <si>
    <t>10.1016/j.dsr.2011.02.006</t>
  </si>
  <si>
    <t>WOS:000289391000014</t>
  </si>
  <si>
    <t>Williams, A; Althaus, F; Clark, MR; Gowlett-Holmes, K</t>
  </si>
  <si>
    <t>Williams, A.; Althaus, F.; Clark, M. R.; Gowlett-Holmes, K.</t>
  </si>
  <si>
    <t>Composition and distribution of deep-sea benthic invertebrate megafauna on the Lord Howe Rise and Norfolk Ridge, southwest Pacific Ocean</t>
  </si>
  <si>
    <t>Tasman Sea; Coral Sea; Biogeography; NORFANZ voyage; Biodiversity conservation; Taxonomy</t>
  </si>
  <si>
    <t>EAST AUSTRALIAN CURRENT; COMMUNITY STRUCTURE; CONTINENTAL-SLOPE; SEAMOUNTS; CRUSTACEA; HETEROGENEITY; BIODIVERSITY; BIOGEOGRAPHY; ASSEMBLAGES; DECAPODA</t>
  </si>
  <si>
    <t>The deep-sea biodiversity of the Lord Howe Rise and Norfolk Ridge - two complex submarine features that extend in a north-south direction either side of a deep basin within the northern Tasman Sea and southern Coral Sea - was sampled in 2003 for the first time on a broad regional scale. The total of 1313 megabenthic invertebrate species from 17 higher order taxa collected between 100 and 1800 m depths showed faunal diversity and novelty was high. Only 256 of these species were named, and 10% of these were described as a result of this survey; 78% are un-named and believed to be mostly new species. Of the 1253 species included in quantitative analyses, most appeared to be rare - 85% were only found once. This indicates intra-regional endemism may be high, but undersampling is also likely. Species accumulation curves confirm that many additional species remain to be collected. There was high regional-scale spatial heterogeneity in species distribution patterns which appeared to be influenced by hydrographic patterns and feature-scale topography, and to a lesser extent by seabed type. Depth and oxygen concentration (correlated with depth) had most influence on distribution patterns of fauna, with assemblages identified from three depth-zones: 100-400 m (deep continental shelf and shelf edge), 400-700 m (upper continental slope) and &gt; 700 m (mid-continental slope). In the shallowest depth zone, there were north-south (latitudinal) patterns in invertebrate assemblages that appeared to be influenced by water mass distribution. Species overlap was higher in the south than the north, probably due to the Tasman Front forming a hydrographic connection between the southern parts of the Rise and the Ridge at shallower depths. At depths &gt; 700 m, the absence of a latitudinal pattern in assemblage structure was attributed to the continuity of Antarctic Intermediate Water in the study area. Differentiation of two assemblages in sled samples from the &gt; 700 m depth zone, as well as some patterns of diversity of large sessile fauna between sub-regions within the study area, suggested a relationship with bottom type but this was not fully analysed. While providing a major increase in scientific knowledge of marine biodiversity in deep waters of the Coral and Tasman Seas, these results also highlighted the paucity of biogeographical knowledge that exists for the area. Some science advances needed to inform national and international conservation plans currently under development are identified. They include taxonomic standardisation at a regional-scale (Australia, New Zealand and New Caledonia) for informative higher level taxa, and some additional surveys of selected areas and seabed features, including off northeastern Australia. (C) 2010 Elsevier Ltd. All rights reserved.</t>
  </si>
  <si>
    <t>[Williams, A.; Althaus, F.; Gowlett-Holmes, K.] CSIRO Wealth Oceans Flagship, Marine Labs, Hobart, Tas 7001, Australia; [Clark, M. R.] Natl Inst Water &amp; Atmospher Res Ltd, Wellington, New Zealand</t>
  </si>
  <si>
    <t>Commonwealth Scientific &amp; Industrial Research Organisation (CSIRO); National Institute of Water &amp; Atmospheric Research (NIWA) - New Zealand</t>
  </si>
  <si>
    <t>Williams, A (corresponding author), CSIRO Wealth Oceans Flagship, Marine Labs, GPO Box 1538, Hobart, Tas 7001, Australia.</t>
  </si>
  <si>
    <t>Alan.Williams@csiro.au</t>
  </si>
  <si>
    <t>Althaus, Franziska/B-6873-2015; Williams, Alan/C-6999-2012; Althaus, Franziska/E-4660-2017</t>
  </si>
  <si>
    <t>Williams, Alan/0000-0002-2867-7713; Althaus, Franziska/0000-0002-5336-4612</t>
  </si>
  <si>
    <t>New Zealand Ministry of Fisheries [ZBD2002/16]; National Oceans Office of Australia; NIWA; NIWA Vessel Management; CSIRO Marine and Atmospheric Research; ORSTOM Noumea, Museum of New Zealand Te Papa Tongarewa: Collection Development fund; Foundation for Research Science and Technology (FRST) [MNZX0203, COI x 0502, CO1 x 0224]; Commonwealth Environment Research Facilities (CERF); Australian Government initiative; CERF Marine Biodiversity Hub</t>
  </si>
  <si>
    <t>New Zealand Ministry of Fisheries; National Oceans Office of Australia; NIWA; NIWA Vessel Management; CSIRO Marine and Atmospheric Research(Commonwealth Scientific &amp; Industrial Research Organisation (CSIRO)); ORSTOM Noumea, Museum of New Zealand Te Papa Tongarewa: Collection Development fund; Foundation for Research Science and Technology (FRST)(New Zealand Foundation for Research, Science and Technology); Commonwealth Environment Research Facilities (CERF); Australian Government initiative(Australian Government); CERF Marine Biodiversity Hub</t>
  </si>
  <si>
    <t>We acknowledge the taxonomic experts who provided authoritative determinations for the megafauna: identifications of taxa were provided for Porifera (Monika Schlacher-Hoenlinger and John Hooper of the Queensland Museum), Cnidaria (Phil Alderslade of CSIRO, formerly of Museum and Art Gallery of the Northern Territory and Anna Lorz from NIWA); Scyphozoa (Michael Dawson of University of New South Wales); Annelida and other worms (Robin Wilson of Museum of Victoria); Bryozoa (Dennis Gordon of NIWA); Mollusca other than cephalopods (Bruce Marshall of Te Papa Tongarewa and Richard Willan of Museum and Art Gallery of the Northern Territory); Cephalopoda (Mark Norman of Museum Victoria, Steve O'Shea of Auckland University of Technology); Echinoidea and Asteroidea (Don McKnight of NIWA); Ophiuroidea (Tim O'Hara of Museum Victoria); Holothuroidea (Mark O'Loughlin of Museum Victoria); Isopoda and some Decapoda (Gary Poore of Museum Victoria); Decapoda (Sandy Bruce and Peter Davie of Queensland Museum, William Dall of CSIRO, Bertrand Richer de Forges of Institut de Recherche pour le Developpement and Rick Webber of Te Papa Tongarewa); Cirripedia (John Buckeridge of Auckland University of Technology); Euphausiacea and Amphipoda (Penny Berents, Jim Lowry and Helen Stoddart of the Australian Museum); Stomatopoda, Galatheidae, Chirostylidae, Polychelidae and Glycocrangonidae (Shane Ahyong of NIWA, formerly of the Australian Museum); Pycnogonida (David Staples of Museum Victoria); and Ascidiacea (Patricia Mather (nee Kott) of Queensland Museum). We also thank the scientific team onboard, as well as the officers and crew of RV Tangaroa for their contribution and efforts in collecting, sorting and preserving the samples. In addition we would like to thank Felicity McEnnulty and Peter Hairsine for comments on early drafts of the manuscript. Funding for the NORFANZ voyage in 2003 was provided by the New Zealand Ministry of Fisheries (contract ZBD2002/16) and National Oceans Office of Australia. Additional funding, equipment and scientific support was provided by NIWA, NIWA Vessel Management, CSIRO Marine and Atmospheric Research; ORSTOM Noumea, Museum of New Zealand Te Papa Tongarewa: Collection Development fund, and Foundation for Research Science and Technology (FRST) projects: MNZX0203 and COI x 0502 Biosystematics of New Zealand EEZ Fishes, and CO1 x 0224 Seamounts: their importance to fisheries and marine ecosystems. Two of the authors (AW &amp; FA) are partly supported through the Commonwealth Environment Research Facilities (CERF), programme, an Australian Government initiative, and in particular by the CERF Marine Biodiversity Hub.</t>
  </si>
  <si>
    <t>10.1016/j.dsr2.2010.10.050</t>
  </si>
  <si>
    <t>749HV</t>
  </si>
  <si>
    <t>WOS:000289456000007</t>
  </si>
  <si>
    <t>Fung, T; Seymour, RM; Johnson, CR</t>
  </si>
  <si>
    <t>Fung, Tak; Seymour, Robert M.; Johnson, Craig R.</t>
  </si>
  <si>
    <t>Alternative stable states and phase shifts in coral reefs under anthropogenic stress</t>
  </si>
  <si>
    <t>alternative stable states; anthropogenic stress; coral reef; differential equations models; fishing; hysteresis; nutrification; phase shift; sedimentation</t>
  </si>
  <si>
    <t>DIADEMA-ANTILLARUM; MACROALGAL BLOOMS; BOTTOM-UP; TOP-DOWN; LIMITED GROWTH; RESILIENCE; ALGAE; CONSEQUENCES; THRESHOLDS; EXISTENCE</t>
  </si>
  <si>
    <t>Ecosystems with alternative stable states (ASS) may shift discontinuously from one stable state to another as environmental parameters cross a threshold. Reversal can then be difficult due to hysteresis effects. This contrasts with continuous state changes in response to changing environmental parameters, which are less difficult to reverse. Worldwide degradation of coral reefs, involving phase shifts'' from coral to algal dominance, highlights the pressing need to determine the likelihood of discontinuous phase shifts in coral reefs, in contrast to continuous shifts with no ASS. However, there is little evidence either for or against the existence of ASS for coral reefs. We use dynamic models to investigate the likelihood of continuous and discontinuous phase shifts in coral reefs subject to sustained environmental perturbation by fishing, nutrification, and sedimentation. Our modeling results suggest that coral reefs with or without anthropogenic stress can exhibit ASS, such that discontinuous phase shifts can occur. We also find evidence to support the view that high macroalgal growth rates and low grazing rates on macroalgae favor ASS in coral reefs. Further, our results suggest that the three stressors studied, either alone or in combination, can increase the likelihood of both continuous and discontinuous phase shifts by altering the competitive balance between corals and algae. However, in contrast to continuous phase shifts, we find that discontinuous shifts occur only in model coral reefs with parameter values near the extremes of their empirically determined ranges. This suggests that continuous shifts are more likely than discontinuous shifts in coral reefs. Our results also suggest that, for ecosystems in general, tackling multiple human stressors simultaneously maximizes resilience to phase shifts, ASS, and hysteresis, leading to improvements in ecosystem health and functioning.</t>
  </si>
  <si>
    <t>[Fung, Tak] Queens Univ Belfast, Sch Biol Sci, Belfast BT9 7BL, Antrim, North Ireland; [Seymour, Robert M.] UCL, Ctr Math &amp; Phys Life Sci &amp; Expt Biol CoMPLEX, London WC1E 6BT, England; [Seymour, Robert M.] UCL, Dept Math, London WC1E 6BT, England; [Johnson, Craig R.] Univ Tasmania, Inst Marine &amp; Antarctic Studies, Hobart, Tas 7001, Australia</t>
  </si>
  <si>
    <t>Queens University Belfast; University of London; University College London; University of London; University College London; University of Tasmania</t>
  </si>
  <si>
    <t>Fung, T (corresponding author), Queens Univ Belfast, Sch Biol Sci, Belfast BT9 7BL, Antrim, North Ireland.</t>
  </si>
  <si>
    <t>tfung01@qub.ac.uk</t>
  </si>
  <si>
    <t>Johnson, Craig/E-1788-2013</t>
  </si>
  <si>
    <t>Johnson, Craig/0000-0002-9511-905X</t>
  </si>
  <si>
    <t>UK's Engineering and Physical Sciences Research Council</t>
  </si>
  <si>
    <t>UK's Engineering and Physical Sciences Research Council(UK Research &amp; Innovation (UKRI)Engineering &amp; Physical Sciences Research Council (EPSRC))</t>
  </si>
  <si>
    <t>We thank members of the Modeling and Decision Support Working Group (MDSWG) of the Coral Reef Targeted Research and Capacity Building for Management Project (CRTR-CBMP) for much discussion and support during this project. We also thank Johnny Kelsey, from UCL's CoMPLEX, for helping us adapt and use the immune-inspired algorithm. Peter Petraitis and two anonymous reviewers gave insightful comments and suggestions that improved the manuscript considerably. T. Fung was supported by a grant from the UK's Engineering and Physical Sciences Research Council.</t>
  </si>
  <si>
    <t>10.1890/10-0378.1</t>
  </si>
  <si>
    <t>763DF</t>
  </si>
  <si>
    <t>WOS:000290533700017</t>
  </si>
  <si>
    <t>Amin, O; Comoglio, L; Spetter, C; Duarte, C; Asteasuain, R; Freije, RH; Marcovecchio, J</t>
  </si>
  <si>
    <t>Amin, Oscar; Comoglio, Laura; Spetter, Carla; Duarte, Claudia; Asteasuain, Raul; Hugo Freije, Ruben; Marcovecchio, Jorge</t>
  </si>
  <si>
    <t>Assessment of land influence on a high-latitude marine coastal system: Tierra del Fuego, southernmost Argentina</t>
  </si>
  <si>
    <t>ENVIRONMENTAL MONITORING AND ASSESSMENT</t>
  </si>
  <si>
    <t>Nutrients; Pigments; Organic matter; Annual cycle; Land source; Tierra del Fuego</t>
  </si>
  <si>
    <t>ANTARCTIC POLAR FRONT; NOTHOFAGUS-PUMILIO FORESTS; CHLOROPHYLL-A; ROSS SEA; NUTRIENT; PHYTOPLANKTON; OCEAN; NITROGEN; PACIFIC; FLUXES</t>
  </si>
  <si>
    <t>The study deals with the determination of physico-chemical parameters, inorganic nutrients, particulate organic matter, and photosynthetic pigments on a monthly basis during an annual cycle from nine sampling sites of the coastal zone of a high-latitude ecosystem (Tierra del Fuego, Argentina). Nitrites and phosphates concentrations were similar to other systems of the south Atlantic coast (median, 0.30 and 1.02 mu M, respectively), while nitrates were higher in all sampling periods (median, 45.37 mu M), and silicates were significantly smaller (median, 7.76 mu M). Chlorophyll a and phaeopigments have shown median values of 0.38 and 0.85 mg m (-aEuro parts per thousand 3), respectively, while saturated values of dissolved oxygen were recorded throughout the study. The analysis reflected that nutrient enrichment seems to be linked to an anthropogenic source, the presence of peatlands areas, and a sink of Nothofagus pumilio woods. The area could be characterized in three zones related to (1) high urban influence, (2) natural inputs of freshwater, and (3) mixed inputs coming from moderate urban impacts.</t>
  </si>
  <si>
    <t>[Amin, Oscar; Comoglio, Laura; Duarte, Claudia] CADIC CONICET, Ctr Austral Invest Cient, Ushuaia, Tierra Fuego, Argentina; [Spetter, Carla; Asteasuain, Raul; Marcovecchio, Jorge] IADO CONICET, Inst Argentino Oceanog, RA-8000 Bahia Blanca, Buenos Aires, Argentina; [Spetter, Carla; Hugo Freije, Ruben] Univ Nacl Sur, Dept Quim, RA-8000 Bahia Blanca, Buenos Aires, Argentina; [Marcovecchio, Jorge] Univ Tecnol Nacl, Fac Reg Bahia Blanca, RA-8000 Bahia Blanca, Buenos Aires, Argentina; [Marcovecchio, Jorge] Univ FASTA, RA-7600 Mar Del Plata, Argentina</t>
  </si>
  <si>
    <t>Consejo Nacional de Investigaciones Cientificas y Tecnicas (CONICET); Consejo Nacional de Investigaciones Cientificas y Tecnicas (CONICET); National University of the South</t>
  </si>
  <si>
    <t>Amin, O (corresponding author), CADIC CONICET, Ctr Austral Invest Cient, CC 92,V9410BFD, Ushuaia, Tierra Fuego, Argentina.</t>
  </si>
  <si>
    <t>oamin@cadic.gov.ar; lcomoglio@cadic.gov.ar; cspetter@criba.edu.ar; claudiaduarte@cadic.gov.ar; qmastes1@criba.edu.ar; qmfreije@criba.edu.ar; jorgemar@criba.edu.ar</t>
  </si>
  <si>
    <t>Marcovecchio, Jorge/AAQ-3365-2020</t>
  </si>
  <si>
    <t>Agencia Nacional Promocion Cientifica y Tecnologica (ANPCyT-PICT) [11636/02, 1261]; Consejo Nacional de Investigaciones Cientificas y Tecnicas (CONICET-PIP) [02666/01]; Global Environmental Fundation; Proyecto de Naciones Unidas para el Desarrollo-GEF-PNUD [ARG 02/018-B-CB-05]</t>
  </si>
  <si>
    <t>Agencia Nacional Promocion Cientifica y Tecnologica (ANPCyT-PICT)(ANPCyT); Consejo Nacional de Investigaciones Cientificas y Tecnicas (CONICET-PIP)(Consejo Nacional de Investigaciones Cientificas y Tecnicas (CONICET)); Global Environmental Fundation; Proyecto de Naciones Unidas para el Desarrollo-GEF-PNUD</t>
  </si>
  <si>
    <t>This study was supported with funds from grants by the Agencia Nacional Promocion Cientifica y Tecnologica (ANPCyT-PICT No. 11636/02; PICT06 No. 1261), Consejo Nacional de Investigaciones Cientificas y Tecnicas (CONICET-PIP No. 02666/01) and Global Environmental Fundation, Proyecto de Naciones Unidas para el Desarrollo-GEF-PNUD ARG 02/018-B-CB-05. We are grateful to Lic. Maria Laura Borla and Prof. Mariela Gherbi for the final English revision. Thanks also to the anonymous reviewers for their valuable considerations.</t>
  </si>
  <si>
    <t>0167-6369</t>
  </si>
  <si>
    <t>1573-2959</t>
  </si>
  <si>
    <t>ENVIRON MONIT ASSESS</t>
  </si>
  <si>
    <t>Environ. Monit. Assess.</t>
  </si>
  <si>
    <t>10.1007/s10661-010-1493-5</t>
  </si>
  <si>
    <t>730II</t>
  </si>
  <si>
    <t>WOS:000288026600006</t>
  </si>
  <si>
    <t>Gigliotti, JC; Davenport, MP; Beamer, SK; Tou, JC; Jaczynski, J</t>
  </si>
  <si>
    <t>Gigliotti, Joseph C.; Davenport, Matthew P.; Beamer, Sarah K.; Tou, Janet C.; Jaczynski, J.</t>
  </si>
  <si>
    <t>Extraction and characterisation of lipids from Antarctic krill (Euphausia superba)</t>
  </si>
  <si>
    <t>FOOD CHEMISTRY</t>
  </si>
  <si>
    <t>Krill oil; Oil extraction; Fatty acid profile; Lipid composition; Omega-3 polyunsaturated fatty acids; Nutraceutical food products; Functional food</t>
  </si>
  <si>
    <t>CARP HYPOPHTHALMICHTHYS-MOLITRIX; PROCESSING BY-PRODUCTS; ISOELECTRIC SOLUBILIZATION/PRECIPITATION; HUMAN CONSUMPTION; NUTRITIONAL-VALUE; AMINO-ACID; PROTEIN; TEMPERATURE; RECOVERY; GELATION</t>
  </si>
  <si>
    <t>There is significant commercial interest in oil extraction from krill because it is rich in omega-3 polyunsaturated fatty acids (n-3 PUFA) such as eicosapentaenoic (EPA, 20:5n3) and docosahexaenoic (DHA, 22:6n3) acids. The objectives were to determine oil extraction efficiency using different solvent systems and the composition of extracted oil and spent krill following extraction. Extraction efficiency was the highest (P &lt; 0.05) for one-step extraction using freeze-dried krill with 1:12 or 1:30 krill:solvent ratio (w:v) compared to Folch, Soxhlet, and conventional two-step extraction. Extracted oils contained predominantly phospholipids (20-33%), polar non-phospholipids (64-77%), and minor triglycerides (1-3%). Triglycerides contained much less (P &lt; 0.05) total n-3 (4.0%), DHA (1.1%), and EPA (2.3%), but more &lt; 0.05) saturated FA (38.7%) than phospholipids (total n-3-47.4%, DHA-18.0%, EPA-28.2%, saturated FA-23.5%). Antioxidant capacity of krill oil extracted by one-step extraction (9.4-14.2 mu mol Trolox Equivalents/ml oil) was generally similar to antioxidant capacity of krill oil extracted by ethanol (22.9), but greater (P &lt; 0.05) than antioxidant capacity of krill oil extracted by acetone (1.2) and Folch method (1.5). The spent krill following oil extraction contained protein (72.9-75.8%, dry basis). Based on the extraction efficiency and composition of the extracted oil, the one-step extraction using 1:12 krill:solvent ratio is recommended. (C) 2010 Elsevier Ltd. All rights reserved.</t>
  </si>
  <si>
    <t>[Gigliotti, Joseph C.; Beamer, Sarah K.; Tou, Janet C.; Jaczynski, J.] W Virginia Univ, Div Anim &amp; Nutr Sci, Morgantown, WV 26506 USA; [Davenport, Matthew P.] Univ Alaska Fairbanks, Sch Fisheries &amp; Ocean Sci, Fishery Ind Technol Ctr, Kodiak, AK 99615 USA</t>
  </si>
  <si>
    <t>West Virginia University; University of Alaska System; University of Alaska Fairbanks</t>
  </si>
  <si>
    <t>Jaczynski, J (corresponding author), W Virginia Univ, Div Anim &amp; Nutr Sci, POB 6108, Morgantown, WV 26506 USA.</t>
  </si>
  <si>
    <t>Jacek.Jaczynski@mail.wvu.edu</t>
  </si>
  <si>
    <t>GIGLIOTTI, JOSEPH/0000-0003-4507-4727</t>
  </si>
  <si>
    <t>0308-8146</t>
  </si>
  <si>
    <t>1873-7072</t>
  </si>
  <si>
    <t>FOOD CHEM</t>
  </si>
  <si>
    <t>Food Chem.</t>
  </si>
  <si>
    <t>10.1016/j.foodchem.2010.10.013</t>
  </si>
  <si>
    <t>Chemistry, Applied; Food Science &amp; Technology; Nutrition &amp; Dietetics</t>
  </si>
  <si>
    <t>Chemistry; Food Science &amp; Technology; Nutrition &amp; Dietetics</t>
  </si>
  <si>
    <t>687ZX</t>
  </si>
  <si>
    <t>WOS:000284818400030</t>
  </si>
  <si>
    <t>van de Flierdt, T</t>
  </si>
  <si>
    <t>van de Flierdt, Tina</t>
  </si>
  <si>
    <t>Continental weathering through the onset of Antarctic glaciation</t>
  </si>
  <si>
    <t>PACIFIC-OCEAN; SEAWATER; RATES; WATER; CYCLE; SEA</t>
  </si>
  <si>
    <t>Univ London Imperial Coll Sci Technol &amp; Med, Dept Earth Sci &amp; Engn, London SW7 2AZ, England</t>
  </si>
  <si>
    <t>Imperial College London</t>
  </si>
  <si>
    <t>van de Flierdt, T (corresponding author), Univ London Imperial Coll Sci Technol &amp; Med, Dept Earth Sci &amp; Engn, London SW7 2AZ, England.</t>
  </si>
  <si>
    <t>NERC [NE/I006257/1] Funding Source: UKRI; Natural Environment Research Council [NE/I006257/1] Funding Source: researchfish</t>
  </si>
  <si>
    <t>10.1130/focus042011.1</t>
  </si>
  <si>
    <t>WOS:000288507300032</t>
  </si>
  <si>
    <t>Rocchi, S; Bracciali, L; Di Vincenzo, G; Gemelli, M; Ghezzo, C</t>
  </si>
  <si>
    <t>Rocchi, S.; Bracciali, L.; Di Vincenzo, G.; Gemelli, M.; Ghezzo, C.</t>
  </si>
  <si>
    <t>Arc accretion to the early Paleozoic Antarctic margin of Gondwana in Victoria Land</t>
  </si>
  <si>
    <t>Magmatic arc; Backarc; Accretion; Antarctica; Ross-Delamerian Orogeny</t>
  </si>
  <si>
    <t>ULTRAHIGH-PRESSURE METAMORPHISM; LANTERMAN RANGE ANTARCTICA; NOVA INTRUSIVE COMPLEX; ROBERTSON BAY TERRANE; ROSS OROGEN; PACIFIC MARGIN; TRANSANTARCTIC MOUNTAINS; ACTIVE-MARGIN; DELAMERIAN OROGENY; TECTONIC EVOLUTION</t>
  </si>
  <si>
    <t>The Antarctic Ross Orogen was built up during the early Paleozoic in the framework of the convergence between the Paleo-Pacific oceanic plate and the Gondwana continental margin. Models for the Ross Orogen in northern Victoria Land are based on terranes having a variable provenance with respect to the margin. However, recent studies provide evidence for the occurrence of different pieces of the lithospheric puzzle: (i) the Wilson continental magmatic arc, representing the main part of the active Gondwana margin, (ii) the Bowers arc-backarc system, (iii) the Admiralty crustal ribbon including continental material of the Wilson forearc, and (iv) the newly discovered, Cambrian oceanic magmatic Tiger arc, along the Ross Sea coast. An updated model is presented in which, after the Early Cambrian magmatic activity of the Wilson arc, a retreat of the subduction zone in the Early Middle Cambrian gave way to boudinage of the Wilson forearc, trenchward arc migration, opening of the Bowers backarc basin and inception of the outboard Tiger subduction zone. Renewed convergence resulted in the development of the Middle Cambrian Bowers arc, closure of the backarc and deep underthrusting of portions of it at the Middle Late Cambrian. Finally, in the latest Cambrian to earliest Ordovician, fast exhumation was coupled in the north with erosion and sediment shed to the northeast, and with extension and potassic magmatism in central and southern Victoria Land. (C) 2010 International Association for Gondwana Research. Published by Elsevier B.V. All rights reserved.</t>
  </si>
  <si>
    <t>[Rocchi, S.; Bracciali, L.; Gemelli, M.] Univ Pisa, Dipartimento Sci Terra, I-56126 Pisa, Italy; [Di Vincenzo, G.] CNR, Ist Geosci &amp; Georisorse, I-56124 Pisa, Italy; [Ghezzo, C.] Univ Siena, Dipartimento Sci Terra, I-53100 Siena, Italy</t>
  </si>
  <si>
    <t>University of Pisa; Consiglio Nazionale delle Ricerche (CNR); Istituto di Geoscienze e Georisorse (IGG-CNR); University of Siena</t>
  </si>
  <si>
    <t>Rocchi, S (corresponding author), Univ Pisa, Dipartimento Sci Terra, Via S Maria 53, I-56126 Pisa, Italy.</t>
  </si>
  <si>
    <t>rocchi@dst.unipi.it</t>
  </si>
  <si>
    <t>Bracciali, Laura/K-1023-2019; Ghezzo, Claudio/JCF-1491-2023; Rocchi, Sergio/A-7752-2018; Gemelli, Maurizio/F-6244-2013</t>
  </si>
  <si>
    <t>Bracciali, Laura/0000-0002-2713-8806; Rocchi, Sergio/0000-0001-6868-1939; Gemelli, Maurizio/0000-0001-5621-0339; DI VINCENZO, GIANFRANCO/0000-0002-9669-9789</t>
  </si>
  <si>
    <t>NERC [nigl010001] Funding Source: UKRI; Natural Environment Research Council [nigl010001] Funding Source: researchfish</t>
  </si>
  <si>
    <t>1878-0571</t>
  </si>
  <si>
    <t>10.1016/j.gr.2010.08.001</t>
  </si>
  <si>
    <t>WOS:000289047000004</t>
  </si>
  <si>
    <t>Liu, JB; Chen, RZ; Wang, ZM; Zhang, HP</t>
  </si>
  <si>
    <t>Liu, Jingbin; Chen, Ruizhi; Wang, Zemin; Zhang, Hongping</t>
  </si>
  <si>
    <t>Spherical cap harmonic model for mapping and predicting regional TEC</t>
  </si>
  <si>
    <t>GPS SOLUTIONS</t>
  </si>
  <si>
    <t>GPS; Ionosphere TEC mapping; Regional ionosphere model; Ionosphere TEC prediction; Spherical cap harmonic analysis</t>
  </si>
  <si>
    <t>NETWORK</t>
  </si>
  <si>
    <t>An approach to modeling the regional ionospheric total electron content (TEC) based on spherical cap harmonic analysis is presented. This approach not only provides a better regional TEC mapping accuracy, but also the capability for ionospheric model prediction based on spectrum analysis and least squares collocation. Unlike conventional approaches, which predict the immediate TEC with models using current observations, the spherical cap harmonic approach utilizes models using past observations to predict a model which will provide future TEC values. A significant advantage in comparison with conventional approaches is that the spherical cap harmonic approach can be used to predict the long-term TEC with reasonable accuracy. This study processes a set of GPS data with an observation time span of 1 year from two GPS networks in China. The TEC mapping accuracy of the spherical cap harmonic model is compared with the polynomial model and the global ionosphere model from IGS. The results show that the spherical cap harmonic model has a better TEC mapping accuracy with smoother residual distributions in both temporal and spatial domains. The TEC prediction with the spherical cap harmonic model has been investigated for both short- and long-term intervals. For the short-term interval, the prediction accuracies for the latencies of 1-day, 2-days, and 3-days are 2.5 TECU, 3.5 TECU, and 4.5 TECU, respectively. For the long-term interval, the prediction accuracy is 4.5 TECU for a 2-month latency.</t>
  </si>
  <si>
    <t>[Liu, Jingbin; Chen, Ruizhi] Finnish Geodet Inst, Dept Nav &amp; Positioning, Masala 02431, Finland; [Wang, Zemin] Wuhan Univ, Chinese Antarctic Ctr Surveying &amp; Mapping, Wuhan 430079, Peoples R China; [Zhang, Hongping] Wuhan Univ, State Key Lab Informat Engn Surveying Mapping &amp; R, Wuhan 430079, Peoples R China</t>
  </si>
  <si>
    <t>The National Land Survey of Finland; Finnish Geospatial Research Institute (FGI); Wuhan University; Wuhan University</t>
  </si>
  <si>
    <t>Liu, JB (corresponding author), Finnish Geodet Inst, Dept Nav &amp; Positioning, Masala 02431, Finland.</t>
  </si>
  <si>
    <t>Liu.jingbin@fgi.fi</t>
  </si>
  <si>
    <t>Liu, Jingbin/AAE-8803-2020; ZeMin, Wang/AAU-3422-2020; Chen, Ruizhi/L-9871-2013</t>
  </si>
  <si>
    <t>Liu, Jingbin/0000-0001-6216-0956</t>
  </si>
  <si>
    <t>Chinese National Key Basic Research and Development Program (973 Program) [2009CB724002]</t>
  </si>
  <si>
    <t>Chinese National Key Basic Research and Development Program (973 Program)(National Basic Research Program of China)</t>
  </si>
  <si>
    <t>This work was supported from Chinese National Key Basic Research and Development Program funding (973 Program, 2009CB724002).</t>
  </si>
  <si>
    <t>1080-5370</t>
  </si>
  <si>
    <t>GPS SOLUT</t>
  </si>
  <si>
    <t>GPS Solut.</t>
  </si>
  <si>
    <t>10.1007/s10291-010-0174-8</t>
  </si>
  <si>
    <t>Remote Sensing</t>
  </si>
  <si>
    <t>740NI</t>
  </si>
  <si>
    <t>WOS:000288801200003</t>
  </si>
  <si>
    <t>Arthrobacter livingstonensis sp. nov. and Arthrobacter cryotolerans sp. nov., salt-tolerant and psychrotolerant species from Antarctic soil</t>
  </si>
  <si>
    <t>HUMAN CLINICAL SPECIMENS; SEQUENCE DATA; BACTERIUM; IDENTIFICATION; EXTRACTION; DIVERSITY; SEDIMENTS; TREES; ACID; ARB</t>
  </si>
  <si>
    <t>Two novel cold-tolerant, Gram-stain-positive, motile, facultatively anaerobic bacterial strains, LI2(T) and LI3(T), were isolated from moss-covered soil from Livingston Island, Antarctica, near the Bulgarian station St Kliment Ohridski. A rod coccus cycle was observed for both strains. 16S rRNA gene sequence analysis revealed an affiliation to the genus Arthrobacter, with the highest similarity to Arthrobacter stackebrandtii and Arthrobacter psychrochitiniphilus for strain LI2(T) (97.8 and 97.7% similarity to the respective type strains) and to Arthrobacter kerguelensis and Arthrobacter psychrophenolicus for strain LI3(T) (97.4 and 97.3% similarity to the respective type strains). The growth temperature range was -6 to 28 degrees C for LI2(T) and -6 to 24 degrees C for LI3(T), with an optimum at 16 degrees C for both strains. Growth occurred at 0-10% (w/v) NaCl, with optimum growth at 0-1% (w/v) for LI2(T) and 0.5-3% (w/v) for LI3(T). The pH range for growth was pH 4-9.5 with an optimum of pH 8 for LI2(T) and pH 6.5 for LI3(T). The predominant fatty acids were anteiso-C(15:0), C(18:0) and anteiso-C(17:0) for LI2(T) and anteiso-C(15:0) and C(18:0) for LI3(T.) Physiological and biochemical tests clearly differentiated strain LI2(T) from A. stackebrandtii and A. psychrochitiniphilus and strain LI3(T) from A. kerguelensis and A. psychrophenolicus. Therefore, two novel species within the genus Arthrobacter are proposed: Arthrobacter livingstonensis sp. nov. (type strain LI2(T) =DSM 22825(T) =NCCB 100314(T)) and Arthrobacter cryotolerans sp. nov. (type strain LI3(T) =DSM 22826(T) =NCCB 100315(T)).</t>
  </si>
  <si>
    <t>[Ganzert, Lars; Bajerski, Felizitas; Wagner, Dirk] Alfred Wegener Inst Polar &amp; Marine Res, Res Dept Potsdam, D-14473 Potsdam, Germany; [Mangelsdorf, Kai] Helmholtz Ctr Potsdam, GFZ German Res Ctr Geosci, Sect 4 3, D-14473 Potsdam, Germany; [Lipski, Andre] Univ Bonn, Inst Nutr &amp; Food Sci, Dept Food Microbiol &amp; Hyg, D-53115 Bonn, Germany</t>
  </si>
  <si>
    <t>Ganzert, L (corresponding author), Alfred Wegener Inst Polar &amp; Marine Res, Res Dept Potsdam, Telegrafenberg A45, D-14473 Potsdam, Germany.</t>
  </si>
  <si>
    <t>Lars.Ganzert@awi.de</t>
  </si>
  <si>
    <t>Our special gratitude goes to all colleagues on the Bulgarian base St Kliment Ohridski for supporting fieldwork and logistics, in particular Christo Pimpirev (Bulgarian Antarctic Institute) for leading the expedition Livingston 2005. Furthermore, we wish to thank Hans Hubberten and Georg Schwamborn (Alfred Wegener Institute for Polar and Marine Research) for field assistance. This work was supported by the Deutsche Forschungsgemeinschaft (DFG) in the framework of the priority programme 'Antarctic Research with Comparative Investigations in Arctic Ice Areas' by a grant to D. W. (WA 1554/4).</t>
  </si>
  <si>
    <t>10.1099/ijs.0.021022-0</t>
  </si>
  <si>
    <t>WOS:000290135000050</t>
  </si>
  <si>
    <t>Perinelli, C; Armienti, P; Dallai, L</t>
  </si>
  <si>
    <t>Perinelli, Cristina; Armienti, Pietro; Dallai, Luigi</t>
  </si>
  <si>
    <t>Thermal Evolution of the Lithosphere in a Rift Environment as Inferred from the Geochemistry of Mantle Cumulates, Northern Victoria Land, Antarctica</t>
  </si>
  <si>
    <t>cumulate xenoliths; lithospheric mantle geochemistry; thermal evolution; northern Victoria Land; Antarctica</t>
  </si>
  <si>
    <t>OXYGEN-ISOTOPE FRACTIONATION; ULTRAMAFIC BODIES ARIEGE; MCMURDO VOLCANIC GROUP; ROSS SEA REGION; CLINOPYROXENE GEOBAROMETRY; CHEMICAL CLASSIFICATION; METASOMATISM BENEATH; GARNET PYROXENITE; MAGMATIC ROCKS; O-ISOTOPE</t>
  </si>
  <si>
    <t>Among the abundant mantle xenoliths carried by the Cenozoic alkaline basalts of northern Victoria Land, Antarctica, we have studied a suite of clinopyroxene-rich cumulates collected at Browning Pass (Mt. Melbourne Volcanic Province), ranging in composition from wehrlites to clinopyroxenites. Clinopyroxenes belonging to both the Cr-diopside (wehrlites) and Al-augite series (ol-clinopyroxenites and clinopyroxenites) all show convex-upward REE patterns. Modal and cryptic metasomatism has variably affected the xenoliths, accounting for amphibole replacement of clinopyroxene and/or selective enrichment in incompatible elements. Chemical features, along with O-Sr-Nd isotopic data, indicate that both the parental magmas and the metasomatizing melts are related to the Cenozoic magmatic activity and imply the role of at least two mantle components with distinct isotopic fingerprints. The positive covariation between delta O-18(olivine) and the amount of modal olivine, and between delta O-18(olivine) and olivine Fo content, suggest that during the fractionation of olivine and pyroxene, the parent magma experienced a change in O-isotope composition; a low-delta O-18 melt component was not only added to the minerals during the metasomatic event but was also involved in the genesis of the parental melts. The Browning Pass cumulates are used to constrain the origin of the Antarctic Cenozoic magmatism from a heterogeneous mantle source whose depleted end-member is inferred to be the local lithospheric mantle, whereas the enriched end-member is represented by early metasomatic veins or domains emplaced into the depleted mantle during an amagmatic phase of rifting at the beginning of Ross Sea opening. Thermobarometric analysis of the process shows that the respective contribution to magma generation of the two end-members is related to the change of local thermal regime induced by an 'edge effect' in the mantle circulation at the lithospheric step between the thick East Antarctic craton and the thinned Ross Sea crust.</t>
  </si>
  <si>
    <t>[Perinelli, Cristina; Armienti, Pietro] Univ Pisa, Dipartimento Sci Terra, I-56126 Pisa, Italy; [Dallai, Luigi] Ist Geosci &amp; Georisorse IGG CNR, I-56124 Pisa, Italy</t>
  </si>
  <si>
    <t>University of Pisa; Consiglio Nazionale delle Ricerche (CNR); Istituto di Geoscienze e Georisorse (IGG-CNR)</t>
  </si>
  <si>
    <t>Perinelli, C (corresponding author), Univ Pisa, Dipartimento Sci Terra, Via S Maria 53, I-56126 Pisa, Italy.</t>
  </si>
  <si>
    <t>cperinelli@dst.unipi.it</t>
  </si>
  <si>
    <t>Perinelli, Cristina/AAU-9733-2020</t>
  </si>
  <si>
    <t>Perinelli, Cristina/0000-0002-2308-461X; Armienti, Pietro/0000-0002-5929-8222; Dallai, Luigi/0000-0002-1514-5013</t>
  </si>
  <si>
    <t>PNRA project [PEA2004/2006]</t>
  </si>
  <si>
    <t>PNRA project</t>
  </si>
  <si>
    <t>This work was supported by PNRA project, grants PEA2004/2006.</t>
  </si>
  <si>
    <t>10.1093/petrology/egq099</t>
  </si>
  <si>
    <t>754FU</t>
  </si>
  <si>
    <t>WOS:000289841100002</t>
  </si>
  <si>
    <t>Newsham, KK</t>
  </si>
  <si>
    <t>Newsham, Kevin K.</t>
  </si>
  <si>
    <t>Structural changes to a mycothallus along a latitudinal transect through the maritime and sub-Antarctic</t>
  </si>
  <si>
    <t>MYCORRHIZA</t>
  </si>
  <si>
    <t>Cephaloziella varians; Dark septate endophytes; Hyphal coils; Leafy liverwort; Rhizoscyphus ericae</t>
  </si>
  <si>
    <t>LIVERWORT CEPHALOZIELLA-VARIANS; FUNGAL ASSOCIATIONS; LEAFY LIVERWORT; MYCORRHIZAL</t>
  </si>
  <si>
    <t>Previous studies have shown the leafy liverwort Cephaloziella varians to associate consistently with fungi, typically the ericoid mycorrhizal symbiont Rhizoscyphus ericae, across a wide latitudinal gradient in the maritime and sub-Antarctic. Hitherto, however, there are no quantitative data on the intensity of colonisation of C. varians by fungal structures in the natural environment and how colonisation might vary with changing environmental conditions. A study is hence reported showing that the frequency of colonisation by fungal structures of C. varians alters along a latitudinal transect from South Georgia (54A degrees S, 38A degrees W) to Moutonn,e Valley on Alexander Island (71A degrees S, 68A degrees W). The percentage of stem length colonised by dark septate (DS) hyphae increased significantly along the transect, from 30% at South Georgia to 97% at Moutonn,e Valley. In contrast, the percentage of stem length colonised by hyaline hyphae decreased significantly, from 85% at South Georgia to 13% at Moutonn,e Valley, and that colonised by hyphal coils similarly decreased from 71% at the former location to 15% at the latter. The frequencies of DS hyphae were negatively associated with mean annual and seasonal air temperatures, whereas those of hyaline septate hyphae and hyphal coils were positively associated with air temperatures. Coils at northerly locations were more convoluted than those at southerly locations. The data indicate that hyphal coils, usually associated with nutrient exchange between partners in ericoid mycorrhizas, do form in C. varians tissues in the maritime and sub-Antarctic, but that the frequency of these structures diminishes in colder habitats.</t>
  </si>
  <si>
    <t>British Antarctic Survey, Nat Environm Res Council, Cambridge CB3 0ET, England</t>
  </si>
  <si>
    <t>Newsham, KK (corresponding author), British Antarctic Survey, Nat Environm Res Council, Madingley Rd, Cambridge CB3 0ET, England.</t>
  </si>
  <si>
    <t>kne@bas.ac.uk</t>
  </si>
  <si>
    <t>Newsham, Kevin K/C-4192-2011</t>
  </si>
  <si>
    <t>Natural Environment Research Council; NERC [bas0100025] Funding Source: UKRI; Natural Environment Research Council [bas0100025] Funding Source: researchfish</t>
  </si>
  <si>
    <t>Funding was supplied by the Natural Environment Research Council through the British Antarctic Survey's long-term monitoring and survey programme. Kat Snell kindly collected the samples of C. varians from Ablation Valley, Roger Worland, Paul Geissler and Helen Peat supplied the air temperature data recorded at Mars Oasis, and Peter Fretwell and Jamie Oliver helped to prepare figures. Katarzyna Turnau gave advice on staining procedures and three anonymous referees supplied helpful comments. All are gratefully acknowledged.</t>
  </si>
  <si>
    <t>0940-6360</t>
  </si>
  <si>
    <t>1432-1890</t>
  </si>
  <si>
    <t>Mycorrhiza</t>
  </si>
  <si>
    <t>10.1007/s00572-010-0328-0</t>
  </si>
  <si>
    <t>735ZN</t>
  </si>
  <si>
    <t>WOS:000288459400009</t>
  </si>
  <si>
    <t>Hill, PW; Farrar, J; Roberts, P; Farrell, M; Grant, H; Newsham, KK; Hopkins, DW; Bardgett, RD; Jones, DL</t>
  </si>
  <si>
    <t>Hill, Paul W.; Farrar, John; Roberts, Paula; Farrell, Mark; Grant, Helen; Newsham, Kevin K.; Hopkins, David W.; Bardgett, Richard D.; Jones, Davey L.</t>
  </si>
  <si>
    <t>Vascular plant success in a warming Antarctic may be due to efficient nitrogen acquisition</t>
  </si>
  <si>
    <t>NATURE CLIMATE CHANGE</t>
  </si>
  <si>
    <t>COLOBANTHUS-QUITENSIS; ARGENTINE ISLANDS; ORGANIC NITROGEN; CLIMATE-CHANGE; AMINO-ACIDS; SOIL; POPULATION; PENINSULA; INCREASES; RESPONSES</t>
  </si>
  <si>
    <t>For the past 50 years there has been rapid warming in the maritime Antarctic(1-3), with concurrent, and probably temperature-mediated, proliferation of the two native plants, Antarctic pearlwort (Colobanthus quitensis) and especially Antarctic hair grass (Deschampsia antarctica)(4-10). In many terrestrial ecosystems at high latitudes, nitrogen (N) supply regulates primary productivity(11-13). Although the predominant view is that only inorganic and amino acid N are important sources of N for angiosperms, most N enters soil as protein. Maritime Antarctic soils have large stocks of proteinaceous N, which is released slowly as decomposition is limited by low temperatures. Consequently, an ability to acquire N at an early stage of availability is key to the success of photosynthetic organisms. Here we show that D. antarctica can acquire N through its roots as short peptides, produced at an early stage of protein decomposition, acquiring N over three times faster than as amino acid, nitrate or ammonium, and more than 160 times faster than the mosses with which it competes. Efficient acquisition of the N released in faster decomposition of soil organic matter as temperatures rise(14) may give D. antarctica an advantage over competing mosses that has facilitated its recent proliferation in the maritime Antarctic.</t>
  </si>
  <si>
    <t>[Hill, Paul W.; Farrar, John; Roberts, Paula; Farrell, Mark; Jones, Davey L.] Bangor Univ, Environm Ctr Wales, Bangor LL57 2UW, Gwynedd, Wales; [Farrell, Mark; Bardgett, Richard D.] Univ Lancaster, Lancaster Environm Ctr, Lancaster LA1 4YQ, England; [Grant, Helen] Lancaster Environm Ctr, Life Sci Mass Spectrometry Facil, Lancaster LA1 4AP, England; [Newsham, Kevin K.] NERC, Ecosyst Programme, British Antarctic Survey, Cambridge CB3 OET, England; [Hopkins, David W.] Scottish Crop Res Inst, Dundee DD2 5DA, Scotland; [Bardgett, Richard D.] Univ Stirling, Sch Biol &amp; Environm Sci, Stirling FK9 4LA, Scotland</t>
  </si>
  <si>
    <t>Bangor University; Lancaster University; Lancaster University; UK Research &amp; Innovation (UKRI); Natural Environment Research Council (NERC); NERC British Antarctic Survey; James Hutton Institute; University of Stirling</t>
  </si>
  <si>
    <t>Hill, PW (corresponding author), Bangor Univ, Environm Ctr Wales, Bangor LL57 2UW, Gwynedd, Wales.</t>
  </si>
  <si>
    <t>Farrell, Mark/C-3676-2011; Hill, Paul W/C-2944-2013; Roberts, Paula/B-4564-2011; jones, davey/C-7411-2011; Jones, Davey/AAD-6037-2020</t>
  </si>
  <si>
    <t>jones, davey/0000-0002-1482-4209; Hopkins, David/0000-0003-0953-8643; Farrell, Mark/0000-0003-4562-2738</t>
  </si>
  <si>
    <t>UK Natural Environment Research Council [AFI8/08]; Natural Environment Research Council [bas0100025, NE/E013732/1, NE/D00893X/1, NER/G/S/2003/00008, ceh010023, lsmsf010003] Funding Source: researchfish; NERC [lsmsf010003, bas0100025, NE/E013732/1, NE/D00893X/1] Funding Source: UKRI</t>
  </si>
  <si>
    <t>We thank P. Torode for assistance with fieldwork, B. Grail, F. Guyver and D. Rowlands for analytical assistance, J. Gibbons for advice on statistical methods, D. Murphy, P. Clode and Z. Solaiman for microscopy and British Antarctic Survey staff who are too numerous to mention by name. Special thanks to J. Roberts. This work was funded by UK Natural Environment Research Council grant AFI8/08.</t>
  </si>
  <si>
    <t>1758-678X</t>
  </si>
  <si>
    <t>NAT CLIM CHANGE</t>
  </si>
  <si>
    <t>Nat. Clim. Chang.</t>
  </si>
  <si>
    <t>10.1038/NCLIMATE1060</t>
  </si>
  <si>
    <t>Environmental Sciences; Environmental Studies; Meteorology &amp; Atmospheric Sciences</t>
  </si>
  <si>
    <t>805HS</t>
  </si>
  <si>
    <t>WOS:000293718100023</t>
  </si>
  <si>
    <t>Mora, C; Aburto-Oropeza, O; Bocos, AA; Ayotte, PM; Banks, S; Bauman, AG; Beger, M; Bessudo, S; Booth, DJ; Brokovich, E; Brooks, A; Chabanet, P; Cinner, JE; Cortés, J; Cruz-Motta, JJ; Magaña, AC; DeMartini, EE; Edgar, GJ; Feary, DA; Ferse, SCA; Friedlander, AM; Gaston, KJ; Gough, C; Graham, NAJ; Green, A; Guzman, H; Hardt, M; Kulbicki, M; Letourneur, Y; Pérez, AL; Loreau, M; Loya, Y; Martinez, C; Mascareñas-Osorio, I; Morove, T; Nadon, MO; Nakamura, Y; Paredes, G; Polunin, NVC; Pratchett, MS; Bonilla, HR; Rivera, F; Sala, E; Sandin, SA; Soler, G; Stuart-Smith, R; Tessier, E; Tittensor, DP; Tupper, M; Usseglio, P; Vigliola, L; Wantiez, L; Williams, I; Wilson, SK; Zapata, FA</t>
  </si>
  <si>
    <t>Mora, Camilo; Aburto-Oropeza, Octavio; Ayala Bocos, Arturo; Ayotte, Paula M.; Banks, Stuart; Bauman, Andrew G.; Beger, Maria; Bessudo, Sandra; Booth, David J.; Brokovich, Eran; Brooks, Andrew; Chabanet, Pascale; Cinner, Joshua E.; Cortes, Jorge; Cruz-Motta, Juan J.; Cupul Magana, Amilcar; DeMartini, Edward E.; Edgar, Graham J.; Feary, David A.; Ferse, Sebastian C. A.; Friedlander, Alan M.; Gaston, Kevin J.; Gough, Charlotte; Graham, Nicholas A. J.; Green, Alison; Guzman, Hector; Hardt, Marah; Kulbicki, Michel; Letourneur, Yves; Lopez Perez, Andres; Loreau, Michel; Loya, Yossi; Martinez, Camilo; Mascarenas-Osorio, Ismael; Morove, Tau; Nadon, Marc-Olivier; Nakamura, Yohei; Paredes, Gustavo; Polunin, Nicholas V. C.; Pratchett, Morgan S.; Bonilla, Hector Reyes; Rivera, Fernando; Sala, Enric; Sandin, Stuart A.; Soler, German; Stuart-Smith, Rick; Tessier, Emmanuel; Tittensor, Derek P.; Tupper, Mark; Usseglio, Paolo; Vigliola, Laurent; Wantiez, Laurent; Williams, Ivor; Wilson, Shaun K.; Zapata, Fernando A.</t>
  </si>
  <si>
    <t>Global Human Footprint on the Linkage between Biodiversity and Ecosystem Functioning in Reef Fishes</t>
  </si>
  <si>
    <t>PLOS BIOLOGY</t>
  </si>
  <si>
    <t>MARINE RESERVES; CORAL-REEFS; CONSEQUENCES; PRODUCTIVITY; TEMPERATURES; POPULATION; DIVERSITY; SERVICES; IMPACT</t>
  </si>
  <si>
    <t>Difficulties in scaling up theoretical and experimental results have raised controversy over the consequences of biodiversity loss for the functioning of natural ecosystems. Using a global survey of reef fish assemblages, we show that in contrast to previous theoretical and experimental studies, ecosystem functioning (as measured by standing biomass) scales in a non-saturating manner with biodiversity (as measured by species and functional richness) in this ecosystem. Our field study also shows a significant and negative interaction between human population density and biodiversity on ecosystem functioning (i.e., for the same human density there were larger reductions in standing biomass at more diverse reefs). Human effects were found to be related to fishing, coastal development, and land use stressors, and currently affect over 75% of the world's coral reefs. Our results indicate that the consequences of biodiversity loss in coral reefs have been considerably underestimated based on existing knowledge and that reef fish assemblages, particularly the most diverse, are greatly vulnerable to the expansion and intensity of anthropogenic stressors in coastal areas.</t>
  </si>
  <si>
    <t>[Mora, Camilo; Tittensor, Derek P.] Dalhousie Univ, Dept Biol, Halifax, NS, Canada; [Aburto-Oropeza, Octavio; Hardt, Marah; Sandin, Stuart A.] Univ Calif San Diego, Scripps Inst Oceanog, Ctr Marine Biodivers &amp; Conservat, La Jolla, CA 92093 USA; [Ayala Bocos, Arturo] Univ Autonoma Baja California Sur, Dept Biol Marina, La Paz, Mexico; [Ayotte, Paula M.; Nadon, Marc-Olivier; Williams, Ivor] Univ Hawaii, Joint Inst Marine &amp; Atmospher Res, Honolulu, HI 96822 USA; [Ayotte, Paula M.; Nadon, Marc-Olivier; Williams, Ivor] NOAA, Coral Reef Ecosyst Div, Pacific Isl Fisheries Sci Ctr, Honolulu, HI USA; [Banks, Stuart] Charles Darwin Fdn, Marine Res &amp; Conservat, Galapagos Isl, Ecuador; [Bauman, Andrew G.; Feary, David A.; Usseglio, Paolo] United Nations Univ, Inst Water Environm &amp; Hlth, Hamilton, ON, Canada; [Bauman, Andrew G.; Cinner, Joshua E.; Graham, Nicholas A. J.; Pratchett, Morgan S.] James Cook Univ, Australian Res Council Ctr Excellence Coral Reef, Townsville, Qld 4811, Australia; [Beger, Maria] Univ Queensland, Sch Biol Sci, Commonwealth Ctr Appl Environm Decis Anal, Brisbane, Qld, Australia; [Bessudo, Sandra; Soler, German] Fdn Malpelo &amp; Otros Ecosistemas Marinos, Bogota, Colombia; [Booth, David J.; Feary, David A.] Univ Technol Sydney, Sch Environm, Sydney, NSW 2007, Australia; [Brokovich, Eran; Loya, Yossi] Tel Aviv Univ, Dept Zool, IL-69978 Tel Aviv, Israel; [Brooks, Andrew] Univ Calif Santa Barbara, Inst Marine Sci, Coastal Res Ctr, Santa Barbara, CA 93106 USA; [Chabanet, Pascale] Inst Rech Dev, Reunion Isl, France; [Cortes, Jorge] Univ Costa Rica, Ctr Invest Ciencias Mar &amp; Limnol, San Jose, Costa Rica; [Cruz-Motta, Juan J.] Univ Simon Bolivar, Dept Estudios Ambientales, Caracas, Venezuela; [Cupul Magana, Amilcar] Univ Guadalajara, Ctr Univ Costa, Dept Ciencias Biol, Puerto Vallarta, Mexico; [DeMartini, Edward E.] NOAA, Fisheries Res &amp; Monitoring Div, Pacific Isl Fisheries Sci Ctr, Honolulu, HI USA; [DeMartini, Edward E.] Univ Hawaii, Hawaii Inst Marine Biol, Kaneohe, HI USA; [Edgar, Graham J.; Stuart-Smith, Rick] Univ Tasmania, Inst Marine &amp; Antarctic Studies, Hobart, Tas 7001, Australia; [Ferse, Sebastian C. A.] Leibniz Ctr Trop Marine Ecol, Bremen, Germany; [Friedlander, Alan M.; Usseglio, Paolo] Univ Hawaii, Dept Zool, Honolulu, HI 96822 USA; [Gaston, Kevin J.] Univ Sheffield, Dept Anim &amp; Plant Sci, Biodivers &amp; Macroecol Grp, Sheffield S10 2TN, S Yorkshire, England; [Gough, Charlotte] Blue Ventures, London, England; [Green, Alison] Nature Conservancy, Brisbane, Qld, Australia; [Guzman, Hector] Smithsonian Trop Res Inst, Panama City, Panama; [Kulbicki, Michel] Univ Perpignan, Inst Rech Dev, F-66025 Perpignan, France; [Letourneur, Yves; Wantiez, Laurent] Univ Nouvelle Caledonie, Lab Insulaire Vivant &amp; Environm, Noumea, New Caledonia; [Letourneur, Yves] Univ La Reunion, Lab Ecol Marine, St Denis Messageries, France; [Lopez Perez, Andres] Univ Mar, Inst Recursos, Oaxaca, Mexico; [Loreau, Michel] McGill Univ, Dept Biol, Montreal, PQ H3A 1B1, Canada; [Martinez, Camilo] Secretaria Nacl Planificac &amp; Desarrollo, Quito, Ecuador; [Mascarenas-Osorio, Ismael] Univ Autonoma Baja California Sur, Ctr Invest Biol Noroeste, La Paz, Mexico; [Morove, Tau] Wildlife Conservat Soc, Papua New Guinea Marine Program, Kavieng, Papua N Guinea; [Nakamura, Yohei] Kochi Univ, Grad Sch Kuroshio Sci, Kochi 780, Japan; [Paredes, Gustavo] Ctr Biodiversidad Marina &amp; Conservac Golfo Calif, San Diego, CA USA; [Polunin, Nicholas V. C.] Newcastle Univ, Newcastle Upon Tyne NE1 7RU, Tyne &amp; Wear, England; [Rivera, Fernando] Inst Nazca Invest Marinas, Quito, Ecuador; [Sala, Enric] Ctr Estudis Avancats Blanes, Blanes, Spain; [Sala, Enric] Natl Geog Soc, Washington, DC USA; [Tessier, Emmanuel] Reserve Nat Marine La Reunion, Reunion Isl, France; [Tittensor, Derek P.] World Conservat Monitoring Ctr, United Nations Environm Programme, Cambridge, England; [Tittensor, Derek P.] Microsoft Res Computat Sci Lab, Cambridge, England; [Tupper, Mark] WorldFish Ctr, George Town, Malaysia; [Vigliola, Laurent] Inst Rech Dev, Noumea, New Caledonia; [Wantiez, Laurent] Aquarium Lagons, Noumea, New Caledonia; [Wilson, Shaun K.] Dept Environm &amp; Conservat, Marine Sci Program, Kensington, WA, Australia; [Zapata, Fernando A.] Univ Valle, Dept Biol, Cali, Colombia</t>
  </si>
  <si>
    <t>Dalhousie University; University of California System; University of California San Diego; Scripps Institution of Oceanography; Universidad Autonoma de Baja California; University of Hawaii System; National Oceanic Atmospheric Admin (NOAA) - USA; James Cook University; University of Queensland; University of Technology Sydney; Tel Aviv University; University of California System; University of California Santa Barbara; Institut de Recherche pour le Developpement (IRD); Universidad Costa Rica; Simon Bolivar University; Universidad de Guadalajara; National Oceanic Atmospheric Admin (NOAA) - USA; University of Hawaii System; University of Tasmania; Leibniz Zentrum fur Marine Tropenforschung (ZMT); University of Hawaii System; University of Sheffield; Nature Conservancy; Smithsonian Institution; Smithsonian Tropical Research Institute; Institut de Recherche pour le Developpement (IRD); Universite Perpignan Via Domitia; Universite Nouvelle Caledonie; University of La Reunion; McGill University; CIBNOR - Centro de Investigaciones Biologicas del Noroeste; Telefonica SA; Universidad Autonoma de Baja California; Kochi University; Newcastle University - UK; Consejo Superior de Investigaciones Cientificas (CSIC); CSIC - Centre d'Estudis Avancats de Blanes (CEAB); National Geographic Society; Microsoft; CGIAR; Worldfish; Institut de Recherche pour le Developpement (IRD); Universidad del Valle</t>
  </si>
  <si>
    <t>Mora, C (corresponding author), Dalhousie Univ, Dept Biol, Halifax, NS, Canada.</t>
  </si>
  <si>
    <t>moracamilo@hotmail.com</t>
  </si>
  <si>
    <t>Pratchett, Morgan S/A-9256-2010; Vigliola, Laurent/J-7107-2016; Ferse, Sebastian/AAH-8048-2021; Letourneur, Yves/V-6843-2019; Stuart-Smith, Rick/I-5214-2019; Chabanet, Pascale/L-9470-2017; Zapata, Fernando/JDN-1630-2023; Tittensor, Derek P./AAV-1117-2021; Tupper, Mark/HZL-8362-2023; Cinner, Joshua/AAA-6823-2021; LETOURNEUR, Yves/B-4387-2012; Wilson, Shaun/K-8597-2019; Beger, Maria/ABC-5975-2022; Pratchett, Morgan/AAW-5179-2020; Wantiez, Laurent/L-3343-2013; Cortés, Jorge/AAC-9782-2020; Loya, Yossi/J-3039-2012; Usseglio, Paolo/HPF-0850-2023; Edgar, Graham/C-8341-2013; Usseglio, Paolo/S-7252-2017; Cinner, Joshua Eli/E-8966-2011; Stuart-Smith, Rick D/M-1829-2013; Lopez-Perez, Andres/GPJ-9537-2022; Lopez-Perez, Andres/U-1151-2017; Loya, Joseph/AAJ-9014-2020; Graham, Nicholas/C-8360-2014; Edgar, Graham/AAY-3797-2020</t>
  </si>
  <si>
    <t>Vigliola, Laurent/0000-0003-4715-7470; Ferse, Sebastian/0000-0003-0930-5356; Letourneur, Yves/0000-0003-3157-1976; Stuart-Smith, Rick/0000-0002-8874-0083; Tittensor, Derek P./0000-0002-9550-3123; Wilson, Shaun/0000-0002-4590-0948; Beger, Maria/0000-0003-1363-3571; Pratchett, Morgan/0000-0002-1862-8459; Wantiez, Laurent/0000-0001-5024-2057; Cortés, Jorge/0000-0001-7004-8649; Loya, Yossi/0000-0001-6870-9444; Edgar, Graham/0000-0003-0833-9001; Usseglio, Paolo/0000-0002-8622-0164; Cinner, Joshua Eli/0000-0003-2675-9317; Stuart-Smith, Rick D/0000-0002-8874-0083; Lopez-Perez, Andres/0000-0003-1246-7401; Graham, Nicholas/0000-0002-0304-7467; Edgar, Graham/0000-0003-0833-9001; Aburto-Oropeza, Octavio/0000-0002-8173-1432; Booth, David/0000-0002-8256-1412; Kulbicki, Michel/0000-0003-1258-5061; Cupul-Magana, Amilcar/0000-0002-6455-1253; Polunin, Nick/0000-0002-1480-8794; Gaston, Kevin J./0000-0002-7235-7928; Bauman, Andrew/0000-0001-9260-2153; Guzman, Hector M./0000-0001-9928-8523; Gough, Charlotte/0000-0002-5313-4868; Williams, Ivor/0000-0002-9444-1020; Reyes-Bonilla, Hector/0000-0003-2593-9631; Tupper, Mark/0000-0002-6157-7714; Chabanet, Pascale/0000-0001-7600-943X; Nakamura, Yohei/0000-0002-2412-2139; Cruz Motta, Juan Jose/0000-0001-6117-9014</t>
  </si>
  <si>
    <t>Sloan Foundation; Royal Society; Leverhulme Trust; Nakheel PJSC; Gordon and Betty Moore Foundation; Galapagos National Park Service; Charles Darwin Foundation; Conservation International; Walton Family Foundation; Australian Research Council; National Geographic; Western Indian Ocean Marine Science Association; German National Academic Foundation; National Oceanic and Atmospheric Administration; National Marine Fisheries Service Office of Habitat Conservation; Japan Society for the Promotion of Science; French Institute for Biodiversity; David and Lucile Packard Foundation; Wildlife Conservation Society; United States National Science Foundation; Conservation Leadership Programme; Australian Institute of Marine Sciences; Australian Department of Environment, Water, Heritage and the Arts; Marisla Foundation; World Wildlife Fund; Ocean Conservancy; Natural Sciences and Engineering Council of Canada; Directorate For Geosciences [1026851] Funding Source: National Science Foundation; Directorate For Geosciences; Division Of Ocean Sciences [1041712] Funding Source: National Science Foundation; Division Of Ocean Sciences [1026851] Funding Source: National Science Foundation</t>
  </si>
  <si>
    <t>Sloan Foundation(Alfred P. Sloan Foundation); Royal Society(Royal Society); Leverhulme Trust(Leverhulme Trust); Nakheel PJSC; Gordon and Betty Moore Foundation(Gordon and Betty Moore Foundation); Galapagos National Park Service; Charles Darwin Foundation; Conservation International; Walton Family Foundation; Australian Research Council(Australian Research Council); National Geographic(National Geographic Society); Western Indian Ocean Marine Science Association; German National Academic Foundation; National Oceanic and Atmospheric Administration(National Oceanic Atmospheric Admin (NOAA) - USA); National Marine Fisheries Service Office of Habitat Conservation; Japan Society for the Promotion of Science(Ministry of Education, Culture, Sports, Science and Technology, Japan (MEXT)Japan Society for the Promotion of Science); French Institute for Biodiversity; David and Lucile Packard Foundation(The David &amp; Lucile Packard Foundation); Wildlife Conservation Society; United States National Science Foundation(National Science Foundation (NSF)); Conservation Leadership Programme; Australian Institute of Marine Sciences; Australian Department of Environment, Water, Heritage and the Arts(Australian Government); Marisla Foundation; World Wildlife Fund; Ocean Conservancy; Natural Sciences and Engineering Council of Canada(Natural Sciences and Engineering Research Council of Canada (NSERC)); Directorate For Geosciences(National Science Foundation (NSF)NSF - Directorate for Geosciences (GEO)); Directorate For Geosciences; Division Of Ocean Sciences(National Science Foundation (NSF)NSF - Directorate for Geosciences (GEO)); Division Of Ocean Sciences(National Science Foundation (NSF)NSF - Directorate for Geosciences (GEO))</t>
  </si>
  <si>
    <t>The main funding was provided by the Sloan Foundation through the Census of Marine Life's Future of Marine Animal Populations and Natural Geography in Shore Areas projects. Additional funding and support were provided by the Royal Society; the Leverhulme Trust; Nakheel PJSC; the Gordon and Betty Moore Foundation; Galapagos National Park Service; Charles Darwin Foundation; Conservation International; Walton Family Foundation; the Australian Research Council; National Geographic; the Western Indian Ocean Marine Science Association; the German National Academic Foundation; the Coral Reef Conservation Program of the National Oceanic and Atmospheric Administration; The National Marine Fisheries Service Office of Habitat Conservation; the 21st Century Centers of Excellence Program of the Japan Society for the Promotion of Science; the French Institute for Biodiversity; the David and Lucile Packard Foundation; the Wildlife Conservation Society; the United States National Science Foundation's Long-term Ecological Research Program; The Conservation Leadership Programme; Australian Institute of Marine Sciences; the Australian Department of Environment, Water, Heritage and the Arts; The Marisla Foundation Environment Program; the World Wildlife Fund; The Ocean Conservancy; and the Natural Sciences and Engineering Council of Canada. The funders had no role in study design, data collection and analysis, decision to publish, or preparation of the manuscript.</t>
  </si>
  <si>
    <t>1544-9173</t>
  </si>
  <si>
    <t>1545-7885</t>
  </si>
  <si>
    <t>PLOS BIOL</t>
  </si>
  <si>
    <t>PLoS. Biol.</t>
  </si>
  <si>
    <t>e1000606</t>
  </si>
  <si>
    <t>10.1371/journal.pbio.1000606</t>
  </si>
  <si>
    <t>755NM</t>
  </si>
  <si>
    <t>gold, Green Published, Green Accepted, Green Submitted</t>
  </si>
  <si>
    <t>WOS:000289938900001</t>
  </si>
  <si>
    <t>Pabis, K; Sicinski, J; Krymarys, M</t>
  </si>
  <si>
    <t>Pabis, Krzysztof; Sicinski, Jacek; Krymarys, Magdalena</t>
  </si>
  <si>
    <t>Distribution patterns in the biomass of macrozoobenthic communities in Admiralty Bay (King George Island, South Shetlands, Antarctic)</t>
  </si>
  <si>
    <t>West Antarctic; Macrozoobenthos; Distribution patterns; Glacial fjord</t>
  </si>
  <si>
    <t>PHYSICAL DISTURBANCE; BENTHIC MEGAFAUNA; SIGNY ISLAND; ROSS SEA; GROWTH; ASSEMBLAGES; DEPTH; ASSOCIATIONS; ZONATION; IMPACT</t>
  </si>
  <si>
    <t>The distribution patterns of macrozoobenthic communities as shown by the biomass of the higher taxa were investigated in Admiralty Bay. Material was collected at depths ranging from 4 to 500 m (102 quantitative samples), representing the full depth range of this basin and including areas characterized by the different levels of glacial influence. Five community groups were distinguished by multivariate analysis (clustering, MDS) based on the Bray--Curtis similarity index. In the Ezcurra Inlet, the area characterized by intensive glacial processes resulting in a high sedimentation rate, the distribution of biomass was not depth related, but was associated with the intensity of glacial disturbance along the axis of the fjord. The innermost part of this fjord, which receives strong outflows from glaciers, had a low biomass value (2.9 g/0.1 m(2)) and was dominated by polychaetes. The middle part of the fjord which is not so heavily disturbed had higher biomass values (46.1 g/0.1 m(2)) due to the dominance of bivalves. A clear depth gradient of biomass distribution was observed in bottom areas located far from glaciers, in the central basin of the bay, with three zones within the depth ranges 4-30, 40-380, and 400-500 m. The highest mean biomass values (92.5 g/0.1 m(2)) were found in the middle sublittoral (40-380 m) dominated by ascidians. In the shallow and deep assemblages, the biomass was lower (33.8 g/0.1 and 30.9 g/0.1 m(2) respectively), most probably associated with the ice disturbance in the shallows and lower food supply in the deepest part of the shelf.</t>
  </si>
  <si>
    <t>[Pabis, Krzysztof; Sicinski, Jacek; Krymarys, Magdalena] Univ Lodz, Lab Polar Biol &amp; Oceanobiol, PL-90237 Lodz, Poland</t>
  </si>
  <si>
    <t>University of Lodz</t>
  </si>
  <si>
    <t>Pabis, K (corresponding author), Univ Lodz, Lab Polar Biol &amp; Oceanobiol, Banacha 12-16, PL-90237 Lodz, Poland.</t>
  </si>
  <si>
    <t>cataclysta@wp.pl; sicinski@biol.uni.lodz.pl; mkrymarys@gmail.com</t>
  </si>
  <si>
    <t>Pabis, Krzysztof/O-8628-2017; Sicinski, Jacek/P-2033-2017</t>
  </si>
  <si>
    <t>Pabis, Krzysztof/0000-0002-9625-3453; Sicinski, Jacek/0000-0002-5235-3188</t>
  </si>
  <si>
    <t>Polish Ministry of Science and Higher Education [51/N-IPY/2007/0]; Census of Antarctic Marine Life project</t>
  </si>
  <si>
    <t>Polish Ministry of Science and Higher Education(Ministry of Science and Higher Education, Poland); Census of Antarctic Marine Life project</t>
  </si>
  <si>
    <t>The study was supported by a grant of the Polish Ministry of Science and Higher Education No 51/N-IPY/2007/0 as well as the Census of Antarctic Marine Life project. We also thank three anonymous reviewers for their comments on the manuscript. Special thanks are also due to Roger Bamber for the language corrections.</t>
  </si>
  <si>
    <t>10.1007/s00300-010-0903-z</t>
  </si>
  <si>
    <t>WOS:000288454400002</t>
  </si>
  <si>
    <t>Schüller, M</t>
  </si>
  <si>
    <t>Schueller, Myriam</t>
  </si>
  <si>
    <t>Evidence for a role of bathymetry and emergence in speciation in the genus Glycera (Glyceridae, Polychaeta) from the deep Eastern Weddell Sea</t>
  </si>
  <si>
    <t>Polychaeta; Deep sea; Phylogeography; Weddell Sea; COI; 28S</t>
  </si>
  <si>
    <t>SOUTHERN-OCEAN; CRYPTIC SPECIATION; ATLANTIC SECTOR; REPRODUCTIVE-BIOLOGY; MITOCHONDRIAL-DNA; WHALE-FALL; RAPD-PCR; ANNELIDA; POPULATIONS; PHYLOGENY</t>
  </si>
  <si>
    <t>Polychaetes in the Southern Ocean are often thought to have wide distribution ranges on a horizontal and vertical scale. Here, this theory is tested for specimens commonly identified as the widely distributed glycerid Glycera kerguelensis using two molecular markers, the mitochondrial cytochrome oxidase c subunit I (COI) and the nuclear 28S rDNA. Identical morphospecies of three populations from three different habitats and two depth zones (abyssal plain 5,300 m, continental slope 2,000 m, sea mountain plateau 2,000 m) are compared. High genetic distances suggest the existence of three clades representing distinct species, identifying the investigated specimens as a complex comprising cryptic species with vertically restricted distribution. Two clades were found in sympatry on the Atka Bay slope in 2,000 m depth, one of these also found in similar depth on the plateau of the sea mountain Maud Rise. The third clade was limited to the abyssal plains (5,300 m) indicating the strong role of depth in the distribution of clades, possibly in conjunction with prevailing current systems. Evolution of the different clades is suggested to have resulted from a single emergence event with the origin of clades lying in the abyss.</t>
  </si>
  <si>
    <t>Ruhr Univ Bochum, D-44780 Bochum, Germany</t>
  </si>
  <si>
    <t>Ruhr University Bochum</t>
  </si>
  <si>
    <t>Schüller, M (corresponding author), Ruhr Univ Bochum, D-44780 Bochum, Germany.</t>
  </si>
  <si>
    <t>myriam.schueller@freenet.de</t>
  </si>
  <si>
    <t>Genome Canada through the Ontario Genomics Institute; CeDAMar (Census for the Diversity of Abyssal Marine Life); CAML (Census of Antarctic Marine Life); Boehringer Ingelheim Fonds; German Science Foundation [SCHU 2443/2-1+2]</t>
  </si>
  <si>
    <t>Genome Canada through the Ontario Genomics Institute(Genome Canada); CeDAMar (Census for the Diversity of Abyssal Marine Life); CAML (Census of Antarctic Marine Life); Boehringer Ingelheim Fonds(Boehringer Ingelheim); German Science Foundation(German Research Foundation (DFG))</t>
  </si>
  <si>
    <t>I am greatly indebted to the scientists and laboratory technicians at the International Barcode of Life, University of Guelph, whose help ensured the achievement of the barcoding. Special thanks go to Christy Carr and Dirk Steinke for their close collaboration and constant effort. Also, I would like to thank the Boehringer Ingelheim Fonds, Rachel Grant, and Katrin Linse as representatives of CAML, as well as CeDAMar, for giving me the opportunity to take the samples and later barcode them in collaboration with iBOL. Many thanks go to Florian Leese, Christoph Mayer, and Chester Sands for their help with the sequence analyses and fruitful discussions. Sequencing was carried out at the Biodiversity Institute of Ontario and supported by Genome Canada through the Ontario Genomics Institute. This study was further financed by help of CeDAMar (Census for the Diversity of Abyssal Marine Life), CAML (Census of Antarctic Marine Life), the Boehringer Ingelheim Fonds, and the German Science Foundation (SCHU 2443/2-1+2). This manuscript is contribution number 58 to the Census of Antarctic Marine Life and number 145 to ANDEEP.</t>
  </si>
  <si>
    <t>10.1007/s00300-010-0913-x</t>
  </si>
  <si>
    <t>WOS:000288454400008</t>
  </si>
  <si>
    <t>Chilvers, BL; Amey, JM; Huckstadt, LA; Costa, DP</t>
  </si>
  <si>
    <t>Chilvers, B. Louise; Amey, Jacinda M.; Huckstadt, Luis A.; Costa, Dan P.</t>
  </si>
  <si>
    <t>Investigating foraging utilization distribution of female New Zealand sea lions, Auckland Islands</t>
  </si>
  <si>
    <t>Phocarctos hookeri; Satellite tracking; Marine protection; Foraging habitat</t>
  </si>
  <si>
    <t>ANTARCTIC FUR SEALS; PHOCARCTOS-HOOKERI; DIVING BEHAVIOR; SITE FIDELITY; HOME-RANGE; STRATEGIES; MANAGEMENT; ENERGETICS; ANESTHESIA; ATTENDANCE</t>
  </si>
  <si>
    <t>Detrimental interactions between marine mammals and fisheries are increasing worldwide. The ability to manage these interactions requires the knowledge of where and how interactions occur and the effects they have on species. Many pinnipeds are central place foraging colonial breeders who are restricted in foraging range during breeding. Here, we use a utilization distribution approach to examine the foraging habitats of lactating New Zealand (NZ) sea lions (Phocarctos hookeri) from Dundas and Enderby Islands, Auckland Islands. Annually, the NZ sea lions which breed on these two islands produce 83% of this Nationally Critical species' pups. Satellite transmitters were attached to 55 females during 2001-2007. Data showed that NZ sea lions utilize the entire Auckland Island shelf with partial habitat partitioning between females from the two breeding islands. This habitat partitioning results in differing degrees of overlap with fisheries and therefore possible differing fishery-related impacts on breeding areas.</t>
  </si>
  <si>
    <t>[Chilvers, B. Louise] Dept Conservat, Aquat &amp; Threats Unit, Wellington 6143, New Zealand; [Huckstadt, Luis A.] Univ Calif Santa Cruz, Ocean Sci Dept, Santa Cruz, CA 95060 USA; [Costa, Dan P.] Univ Calif Santa Cruz, Dept Ecol &amp; Evolutionary Biol, Santa Cruz, CA 95060 USA</t>
  </si>
  <si>
    <t>Chilvers, BL (corresponding author), Dept Conservat, Aquat &amp; Threats Unit, POB 10420, Wellington 6143, New Zealand.</t>
  </si>
  <si>
    <t>lchilvers@doc.govt.nz</t>
  </si>
  <si>
    <t>Huckstadt, Luis/A-5838-2018; Huckstadt, Luis/JNR-7637-2023; Huckstadt, Luis A./J-8532-2019; Chilvers, B. Louise/AAV-1965-2021; Carlos, Universidade Federal de São/W-8832-2019; Costa, Daniel Paul/E-2616-2013</t>
  </si>
  <si>
    <t>Huckstadt, Luis/0000-0002-2453-7350; Huckstadt, Luis A./0000-0002-2453-7350; Chilvers, B. Louise/0000-0002-7657-4217; Carlos, Universidade Federal de São/0000-0002-0334-3899; Costa, Daniel Paul/0000-0002-0233-5782</t>
  </si>
  <si>
    <t>New Zealand Department of Conservation (DOC) [1638, POP2006/01]</t>
  </si>
  <si>
    <t>New Zealand Department of Conservation (DOC)</t>
  </si>
  <si>
    <t>These data were collected under funding from the New Zealand Department of Conservation (DOC-Investigation no. 1638) in parallel with field work undertaken for DOC Conservation Services Programme (www.csp.org.nz) project POP2006/01. DOC Southland are thanked for their logistical assistance. We also thank M. Blake, M. Brown, S. Childerhouse, J. Fyfe, K. Geschke, R. Hood, L. Meyner and K. Morgan for assistance with captures in the field. Thanks also to C. Edkins for graphics help. Approval for work was obtained from DOC Animal Ethics Committee-Approval AEC86 (1 July 1999). I. West and A. Todd provided helpful, critical reviews of the manuscript. We thank the Research Data Management section of the Ministry of Fisheries, New Zealand, for the arrow squid fishery operational locations data and sea lion bycatch data.</t>
  </si>
  <si>
    <t>10.1007/s00300-010-0915-8</t>
  </si>
  <si>
    <t>WOS:000288454400009</t>
  </si>
  <si>
    <t>Convey, P; Key, RS; Key, RJD; Belchier, M; Waller, CL</t>
  </si>
  <si>
    <t>Convey, P.; Key, R. S.; Key, R. J. D.; Belchier, M.; Waller, C. L.</t>
  </si>
  <si>
    <t>Recent range expansions in non-native predatory beetles on sub-Antarctic South Georgia</t>
  </si>
  <si>
    <t>Carabidae; Invasive species; Endemic species; Human impacts</t>
  </si>
  <si>
    <t>ISLAND; COLEOPTERA; IMPACTS; ECOLOGY</t>
  </si>
  <si>
    <t>The human-assisted establishment of two non-native predatory carabid beetles (Merizodus soledadinus (Guerin-M,n,ville), Trechisibus antarcticus (Dejean)) on the sub-Antarctic island of South Georgia occurred 30-50 years ago, but the distribution of these species has never been the subject of regular monitoring, and was last assessed in the mid-1990s. Based on opportunistic collection records and directed field survey activities on South Georgia over four summer seasons between 2002/3 and 2008/9, we describe recent and important range expansions in both species on the island. The new distributional ranges of both species are highly suggestive of a continuing inadvertent human role in transferring them across the obstructions presented by tidewater glaciers or higher-altitude mountain passes. Both species now have the potential to spread unchecked by any other geographical obstructions across a large section of the north-east coast of the island and are likely to have considerable negative impacts on the elements of the native (including endemic) terrestrial invertebrate fauna.</t>
  </si>
  <si>
    <t>[Convey, P.; Belchier, M.; Waller, C. L.] British Antarctic Survey, Cambridge CB3 0ET, England; [Key, R. S.] Old Black Bull, Carthorpe DL8 2LD, Bedale, England; [Key, R. J. D.] Nat England, Northallerton DL6 1AD, N Yorkshire, England</t>
  </si>
  <si>
    <t>Convey, P (corresponding author), British Antarctic Survey, Madingley Rd, Cambridge CB3 0ET, England.</t>
  </si>
  <si>
    <t>pcon@bas.ac.uk; rosy.key@naturalengland.org.uk; c.l.waller@hull.ac.uk</t>
  </si>
  <si>
    <t>Convey, Peter/AAV-5728-2020</t>
  </si>
  <si>
    <t>Convey, Peter/0000-0001-8497-9903; Waller, Catherine L/0000-0002-0836-3223</t>
  </si>
  <si>
    <t>European Commission [EDF-9]; Natural Environment Research Council [bas0100025] Funding Source: researchfish; NERC [bas0100025] Funding Source: UKRI</t>
  </si>
  <si>
    <t>European Commission(European Union (EU)European Commission Joint Research Centre); Natural Environment Research Council(UK Research &amp; Innovation (UKRI)Natural Environment Research Council (NERC)); NERC(UK Research &amp; Innovation (UKRI)Natural Environment Research Council (NERC))</t>
  </si>
  <si>
    <t>PC is a member of the core BAS 'Polar Science for Planet Earth' research programme. Survey work contributing to this publication (RSK &amp; RJDK) was undertaken as part of the South Atlantic Invasive Species Project (SAISP), co-ordinated by the Royal Society for the Protection of Birds and BugLife, the Invertebrate Conservation Trust and funded by the European Commission through EDF-9. We thank David Renault and two anonymous reviewers for their constructive and helpful comments. Figure 1 was prepared by Peter Fretwell. This paper is also an output of the SCAR 'Evolution and Biodiversity in Antarctica' research programme.</t>
  </si>
  <si>
    <t>10.1007/s00300-010-0909-6</t>
  </si>
  <si>
    <t>WOS:000288454400013</t>
  </si>
  <si>
    <t>Kim, TH; Shibuya, K; Doi, K; Aoyama, Y; Hayakawa, H</t>
  </si>
  <si>
    <t>Kim, Tae-Hee; Shibuya, Kazuo; Doi, Koichiro; Aoyama, Yuichi; Hayakawa, Hideaki</t>
  </si>
  <si>
    <t>Validation of global ocean tide models using the superconducting gravimeter data at Syowa Station, Antarctica, and in situ tide gauge and bottom-pressure observations</t>
  </si>
  <si>
    <t>Ocean tide model; Syowa Station; Superconducting gravimeter; In situ tide gauge data</t>
  </si>
  <si>
    <t>We performed a validation study of six ocean tide models (CSR4.0, GOT99.2b, NAO.99b, FES2004, TPXO7.1, and TPXO7.2) using superconducting gravity data recorded at Syowa Station. From comparison with the observed loading effects, the most optimum ocean tide model was found to be TPXO7.2, which had a combined root-mean-square (RMS) misfit of 0.194 mu Gal for the eight major (four diurnal and four semidiurnal) waves. The next best ocean tide model was NAO.99b, with a combined misfit of 0.277 mu Gal. To determine the effect of inclusion of regional tide gauge and bottom-pressure data around Syowa Station, we estimated the combined RMS error for all eight waves; incorporation of these regional data into the TPXO7.2 model resulted in a 5% reduction in the misfit. Our phase lag anomalies indicate that the scatter of the out-phase component was greater than that of the in-phase component in the final residuals; this tendency was especially clear for O1, K1 and M2 waves. Improvement of the phase differences was the key to determine the optimum ocean tide model. (C) 2011 Elsevier B.V. and NIPR. All rights reserved.</t>
  </si>
  <si>
    <t>[Kim, Tae-Hee; Shibuya, Kazuo; Doi, Koichiro; Aoyama, Yuichi] Grad Univ Adv Studies Sokendai, Dept Polar Sci, Tachikawa, Tokyo, Japan; [Shibuya, Kazuo; Doi, Koichiro; Aoyama, Yuichi; Hayakawa, Hideaki] Natl Inst Polar Res, Tachikawa, Tokyo, Japan</t>
  </si>
  <si>
    <t>Graduate University for Advanced Studies - Japan; Research Organization of Information &amp; Systems (ROIS); National Institute of Polar Research (NIPR) - Japan</t>
  </si>
  <si>
    <t>Kim, TH (corresponding author), Grad Univ Adv Studies Sokendai, Dept Polar Sci, 10-3 Midori Cho, Tachikawa, Tokyo, Japan.</t>
  </si>
  <si>
    <t>kim.taehee@nipr.ac.jp</t>
  </si>
  <si>
    <t>Center for the Promotion of Integrated Sciences (CPIS) of SOKENDAI</t>
  </si>
  <si>
    <t>Center for the Promotion of Integrated Sciences (CPIS) of SOKENDAI(Graduate University for Advanced Studies - Japan)</t>
  </si>
  <si>
    <t>The SG, tide gauge, and bottom-pressure data for Syowa Station used in this study were obtained by the Japanese Antarctic Research Expedition. Many thanks go to the developers of the ocean tide models used in this study. We also thank the developers of BAYTAP-G and GOTIC2 software. S. Okubo kindly provided us with the ABM-based complex Green's function. We express sincere thanks to Y. Fukuda, K. Matsumoto, T. Sato, and Y. Tamura for their valuable suggestions. Information from L. Padman and M. King in the early stage of our study was very helpful. This research was partly supported by the Center for the Promotion of Integrated Sciences (CPIS) of SOKENDAI.</t>
  </si>
  <si>
    <t>10.1016/j.polar.2010.11.001</t>
  </si>
  <si>
    <t>V33ZW</t>
  </si>
  <si>
    <t>WOS:000209057700003</t>
  </si>
  <si>
    <t>Yamanokuchi, T; Doi, K; Shibuya, K</t>
  </si>
  <si>
    <t>Yamanokuchi, Tsutomu; Doi, Koichiro; Shibuya, Kazuo</t>
  </si>
  <si>
    <t>Combined use of InSAR and GLAS data to produce an accurate DEM of the Antarctic ice sheet: Example from the Breivikae-Asuka station area (vol 4, pg 1, 2010)</t>
  </si>
  <si>
    <t>[Yamanokuchi, Tsutomu] Remote Sensing Technol Ctr Japan, Minato Ku, Tokyo 1060032, Japan; [Doi, Koichiro; Shibuya, Kazuo] Natl Inst Polar Res, Tachikawa, Tokyo 1908518, Japan</t>
  </si>
  <si>
    <t>Research Organization of Information &amp; Systems (ROIS); National Institute of Polar Research (NIPR) - Japan</t>
  </si>
  <si>
    <t>Shibuya, K (corresponding author), Natl Inst Polar Res, Midori Cho 10-3, Tachikawa, Tokyo 1908518, Japan.</t>
  </si>
  <si>
    <t>shibuya@nipr.ac.jp</t>
  </si>
  <si>
    <t>10.1016/j.polar.2010.12.001</t>
  </si>
  <si>
    <t>WOS:000209057700006</t>
  </si>
  <si>
    <t>Mahowald, N; Albani, S; Engelstaedter, S; Winckler, G; Goman, M</t>
  </si>
  <si>
    <t>Mahowald, Natalie; Albani, Samuel; Engelstaedter, Sebastian; Winckler, Gisela; Goman, Michelle</t>
  </si>
  <si>
    <t>Model insight into glacial-interglacial paleodust records</t>
  </si>
  <si>
    <t>ICE CORE RECORDS; ATMOSPHERIC MINERAL AEROSOLS; TRACE-ELEMENTS; SARGASSO SEA; DOME-C; PALEOCLIMATIC SIGNIFICANCE; INTERANNUAL VARIABILITY; OPTICAL-THICKNESS; SIZE DISTRIBUTION; HOLOCENE CLIMATE</t>
  </si>
  <si>
    <t>We present a new method of analyzing model results to help identify the sensitivity of the location of different paleodust records to estimate local to regional scale variability of dust and climate variables. We use model simulations of global dust distribution from the last glacial maximum, preindustrial, current, and predicted future. The dust model has been previously shown to match available observational data for the current and last glacial maximum climate. Here, the model is compared to available source provenance data and is shown to agree with these limited observations. Using correlations and slopes across different time periods, the modeled relationships between deposition at specific observational sites and regional deposition and dustiness are shown. In addition, we evaluate the modeled relative slope of these cores to determine the location of paleodust sites that are especially easy to interpret as regional indicators of dustiness. Model predictions suggest that deposition in Antarctic ice cores is usually better than dust concentration to capture regional deposition and dustiness variability over glacial-interglacial time periods, in agreement with ice core interpretations. For Greenland, the model predicts a possible shift from dominantly wet deposition under modern conditions to dominantly dry deposition during glacial climate conditions indicating that deposition may be better suited to capture dustiness variability under LGM conditions in Greenland. The model also identifies specific regions that are not well covered by observations for glacial/interglacial or anthropocene dust variability. In addition, we evaluate the modeled relative slope of the location of these cores to determine regions that would provide ideal localities for pursuing records that would provide easily interpretable paleo-proxy records of regional dustiness. (C) 2010 Elsevier Ltd. All rights reserved.</t>
  </si>
  <si>
    <t>[Mahowald, Natalie; Albani, Samuel; Engelstaedter, Sebastian; Goman, Michelle] Cornell Univ, Ithaca, NY 14850 USA; [Albani, Samuel] Univ Siena, Scuola Dottorato Sci Polari, I-53100 Siena, Italy; [Albani, Samuel] Univ Milano Bicocca, Dept Environm Sci DISAT, I-20126 Milan, Italy; [Winckler, Gisela] Columbia Univ, Lamont Doherty Earth Observ, Palisades, NY USA; [Winckler, Gisela] Columbia Univ, Dept Earth &amp; Environm Sci, New York, NY USA</t>
  </si>
  <si>
    <t>Cornell University; University of Siena; University of Milano-Bicocca; Columbia University; Columbia University</t>
  </si>
  <si>
    <t>Mahowald, N (corresponding author), Cornell Univ, Ithaca, NY 14850 USA.</t>
  </si>
  <si>
    <t>mahowald@cornell.edu</t>
  </si>
  <si>
    <t>Albani, Samuel/AAC-5604-2020; Mahowald, Natalie M/D-8388-2013; Engelstaedter, Sebastian/A-9599-2009; Albani, Samuel/G-5329-2015</t>
  </si>
  <si>
    <t>Albani, Samuel/0000-0001-9736-5134; Mahowald, Natalie M/0000-0002-2873-997X; Engelstaedter, Sebastian/0000-0001-9315-580X; Albani, Samuel/0000-0001-9736-5134</t>
  </si>
  <si>
    <t>NASA [NNG060127G]; National Science Foundation [0745961, 0932946]; Directorate For Geosciences; Division Of Earth Sciences [0745961] Funding Source: National Science Foundation; Div Atmospheric &amp; Geospace Sciences; Directorate For Geosciences [1003505] Funding Source: National Science Foundation; Div Atmospheric &amp; Geospace Sciences; Directorate For Geosciences [1003509] Funding Source: National Science Foundation</t>
  </si>
  <si>
    <t>NASA(National Aeronautics &amp; Space Administration (NASA)); National Science Foundation(National Science Foundation (NSF)); Directorate For Geosciences; Division Of Earth Sciences(National Science Foundation (NSF)NSF - Directorate for Geosciences (GEO)); Div Atmospheric &amp; Geospace Sciences; Directorate For Geosciences(National Science Foundation (NSF)NSF - Directorate for Geosciences (GEO)); Div Atmospheric &amp; Geospace Sciences; Directorate For Geosciences(National Science Foundation (NSF)NSF - Directorate for Geosciences (GEO))</t>
  </si>
  <si>
    <t>This paper was funded by NASA (NNG060127G) and NSF (0745961; 0932946) grants. The simulations used in this paper were conducted at the National Center for Atmospheric Research, which funded by the National Science Foundation. We gratefully acknowledge the comments of Peter deMenocal, Jerry McManus, Bjoern Machalett, Joe McConnell, Sujoy Mukhopadhyay, Daniel Sigman, Gerald Haug, Denis-Didier Rousseau and an anonymous reviewer.</t>
  </si>
  <si>
    <t>10.1016/j.quascirev.2010.09.007</t>
  </si>
  <si>
    <t>744XQ</t>
  </si>
  <si>
    <t>WOS:000289128900006</t>
  </si>
  <si>
    <t>Rogers, J; De Deckker, P</t>
  </si>
  <si>
    <t>Rogers, John; De Deckker, Patrick</t>
  </si>
  <si>
    <t>Environmental reconstructions of the upper 500 m of the southern Indian Ocean over the last 40 ka using Radiolarian (Protista) proxies</t>
  </si>
  <si>
    <t>LGM; Transfer function; Oceanic fronts; Water column; Salinity; Oxygen; Temperature; SST; Nitrate; Phosphate; Neutral density; Southeast Indian Ridge; Kerguelen Plateau; SAMW; AAIW; UCDW</t>
  </si>
  <si>
    <t>ANTARCTIC INTERMEDIATE WATER; CLIMATE VARIABILITY; ATLANTIC; SEA; CIRCULATION; FRONTS; ORIGIN; FLUX</t>
  </si>
  <si>
    <t>In 2007, we demonstrated that radiolarians are proxies for a wide range of oceanic physico-chemical properties from the surface to depths of up to 500 m below sea level. In this study, our results are refined and Correspondence Analysis (CA) scores derived from census counts of radiolarian subfossils from southern Indian Ocean core-tops are correlated with the physico-chemical properties of the region obtained from the 2005 World Ocean Database. Calibration and regression techniques are employed to reconstruct palaeoenvironmental conditions spanning the last 40 ka for four Indian Ocean cores MD88-769 [46 degrees 04'S 90 degrees 06'E], MD88-770 [46 degrees 01'S 96 degrees 27'E], MD94-102 [43 degrees 30'S 79 degrees 50'E), and MD94-103 [45 degrees 35'S 86 degrees 31'E], all from close to the Southeast Indian Ridge. For the first time, reconstructions of temperature, salinity, dissolved oxygen, and the silicate, nitrate, and phosphate concentrations for a range of water depths are proved possible. Changes of the oceanic environment and the movement of water masses over the last 40 ka, as suggested by these reconstructions, are discussed. During Marine Isotope Stages 2 and 3 (MIS-2 and MIS-3), the water column at some of the core sites has similar characteristics to the waters south of the Polar Front today. At the MIS-1/MIS-2 transition, the development of the Subantarctic Mode Water is apparent. Temperature reconstructions include evidence of the Antarctic Cold Reversal and the Holocene Optimum. (C) 2011 Elsevier Ltd. All rights reserved.</t>
  </si>
  <si>
    <t>[Rogers, John; De Deckker, Patrick] Australian Natl Univ, Res Sch Earth Sci, Canberra, ACT 0200, Australia</t>
  </si>
  <si>
    <t>Rogers, J (corresponding author), Australian Natl Univ, Res Sch Earth Sci, GPO Box 4, Canberra, ACT 0200, Australia.</t>
  </si>
  <si>
    <t>john.rogers@ems.anu.edu.au</t>
  </si>
  <si>
    <t>Rogers, John/0000-0001-7880-1850</t>
  </si>
  <si>
    <t>Australian National Facility; Australian Research Council; Australian National University; Australian Postgraduate Award; AINSE [AINGRA-07036]</t>
  </si>
  <si>
    <t>Australian National Facility; Australian Research Council(Australian Research Council); Australian National University(Australian National University); Australian Postgraduate Award(Australian Government); AINSE</t>
  </si>
  <si>
    <t>The RV Franklin samples were obtained through grants to PDD from the Australian National Facility, the Australian Research Council, and the Australian National University Small Research Grant Scheme awarded several years ago. JR was funded with an Australian Postgraduate Award. In addition, we acknowledge the AINSE grant AINGRA-07036 awarded to PDD for the AMS C14 dating of several core-tops.</t>
  </si>
  <si>
    <t>10.1016/j.quascirev.2011.01.006</t>
  </si>
  <si>
    <t>WOS:000289128900009</t>
  </si>
  <si>
    <t>Piña, EM</t>
  </si>
  <si>
    <t>Morales Pina, Eddie</t>
  </si>
  <si>
    <t>CONCERNING THE CHILEAN WRITER FRANCISCO COLOANE. AND A FROZEN TALE</t>
  </si>
  <si>
    <t>Antarctic; Antarctic Discourse; Chilean Literature; Francisco Coloane; The Iceberg of Kanaska</t>
  </si>
  <si>
    <t>The following aproximation concerning the writer Francisco Coloane attemts to insert him within the Antarctic vulgate as a representative of Chilean literature whose creative work has referenced the frozen continent.</t>
  </si>
  <si>
    <t>[Morales Pina, Eddie] Univ Playa Ancha, Valparaiso, Chile</t>
  </si>
  <si>
    <t>Universidad de Playa Ancha</t>
  </si>
  <si>
    <t>Piña, EM (corresponding author), Univ Playa Ancha, Valparaiso, Chile.</t>
  </si>
  <si>
    <t>emorales@upla.cl</t>
  </si>
  <si>
    <t>V36GD</t>
  </si>
  <si>
    <t>WOS:000215955800002</t>
  </si>
  <si>
    <t>Greenslade, P; Stevens, MI; Torricelli, G; D'Haese, CA</t>
  </si>
  <si>
    <t>Greenslade, Penelope; Stevens, Mark I.; Torricelli, Giulia; D'Haese, Cyrille A.</t>
  </si>
  <si>
    <t>An ancient Antarctic endemic genus restored: morphological and molecular support for Gomphiocephalus hodgsoni (Collembola: Hypogastruridae)</t>
  </si>
  <si>
    <t>SYSTEMATIC ENTOMOLOGY</t>
  </si>
  <si>
    <t>SOUTHERN VICTORIA LAND; FLUCTUATING ASYMMETRY; SEQUENCE ALIGNMENT; GLACIAL REFUGIA; OPTIMIZATION; SPRINGTAILS; PHYLOGENY; PODUROMORPHA; SENSITIVITY; MOUNTAINS</t>
  </si>
  <si>
    <t>Gomphiocephalus hodgsoni Carpenter was only the second collembolon dagger to be described from the Antarctic continent. It was collected first in 1902 from Granite Harbour, southern Victoria Land, Eastern Antarctica, by the British National Antarctic Expedition (1901-1904). Since then several studies have investigated the distribution, ecology, ecophysiology and molecular composition of the species. Despite two morphological redescriptions and an absence of detailed evolutionary phylogenetic studies, the genus Gomphiocephalus was recently reduced to a subgenus of Schoettella Schaffer. Here, we redescribe the species in detail and use morphological and molecular (cytochrome c oxidase subunit I and 28S) data to indicate its generic relationships within Hypogastruridae. Characters of Gomphiocephalus do not conform with those of any extant genus in the family, including Schoettella. In addition, the only Schoettella species described from the southern hemisphere, Schoettella subcorta Salmon, is shown here to belong in the genus Xenylla. Furthermore, molecular data indicates the genus has no close relationship to any other in Poduromorpha, and in particular Hypogastruridae. Therefore, we restore Gomphiocephalus to generic status. Our results reinforce the already recognized high level of endemism in the Antarctic fauna at both species and generic levels, and emphasise the necessity of using both morphological and molecular data in determining the systematics and evolutionary relationships of the fauna.</t>
  </si>
  <si>
    <t>[Stevens, Mark I.] Univ Adelaide, S Australian Museum, Adelaide, SA 5000, Australia; [Stevens, Mark I.] Univ Adelaide, Sch Earth &amp; Environm Sci, Adelaide, SA 5000, Australia; [Greenslade, Penelope] Univ Ballarat, Australian Natl Univ, Sch Bot &amp; Zool, Ballarat, Vic 3353, Australia; [Torricelli, Giulia] Univ Siena, Dept Evolutionary Biol, I-53100 Siena, Italy; [D'Haese, Cyrille A.] Museum Natl Hist Nat, CNRS, Dept Systemat &amp; Evolut, Paris, France</t>
  </si>
  <si>
    <t>University of Adelaide; University of Adelaide; Australian National University; Federation University Australia; University of Siena; Museum National d'Histoire Naturelle (MNHN); Centre National de la Recherche Scientifique (CNRS)</t>
  </si>
  <si>
    <t>Stevens, MI (corresponding author), Univ Adelaide, S Australian Museum, Adelaide, SA 5000, Australia.</t>
  </si>
  <si>
    <t>Mark.Stevens@samuseum.sa.gov.au</t>
  </si>
  <si>
    <t>D'HAESE, Cyrille A./D-4896-2012</t>
  </si>
  <si>
    <t>Antarctica New Zealand [K024]; Australian Antarctic Division [ASAC 2355]; BoEm lab; CaFoTrop; MNHN; University of Siena; National Institutes of Health Research (NIHR) [K024] Funding Source: National Institutes of Health Research (NIHR)</t>
  </si>
  <si>
    <t>Antarctica New Zealand; Australian Antarctic Division; BoEm lab; CaFoTrop; MNHN; University of Siena; National Institutes of Health Research (NIHR)(National Institutes of Health Research (NIHR))</t>
  </si>
  <si>
    <t>The authors wish to thank editor P.S. Cranston and three anonymous reviewers for their helpful comments. We thank Ian Hogg for specimens from Granite Harbour, Francesco Frati and Antonio Carapelli for specimens from Depot Island, and Brent Sinclair for the images used in Figs 3 and 4. We are indebted to Ian Hogg, Allan Green and Louis Deharveng for their continual support, and Arne Fjellberg for advice on morphology. We are extremely grateful for logistic and/or financial support from Antarctica New Zealand (K024), Australian Antarctic Division (ASAC 2355), BoEm lab, CaFoTrop, the MNHN parallel computing cluster, and a postgraduate scholarship to G.T. from the University of Siena.</t>
  </si>
  <si>
    <t>0307-6970</t>
  </si>
  <si>
    <t>1365-3113</t>
  </si>
  <si>
    <t>SYST ENTOMOL</t>
  </si>
  <si>
    <t>Syst. Entomol.</t>
  </si>
  <si>
    <t>10.1111/j.1365-3113.2010.00553.x</t>
  </si>
  <si>
    <t>Evolutionary Biology; Entomology</t>
  </si>
  <si>
    <t>735VS</t>
  </si>
  <si>
    <t>WOS:000288449300003</t>
  </si>
  <si>
    <t>Maher, PT</t>
  </si>
  <si>
    <t>Maher, Pat T.</t>
  </si>
  <si>
    <t>Expedition cruise visits to protected areas in the Canadian Arctic: Issues of sustainability and change for an emerging market</t>
  </si>
  <si>
    <t>TOURISM</t>
  </si>
  <si>
    <t>expedition cruise ships; protected areas; Canadian Arctic; sustainability; change</t>
  </si>
  <si>
    <t>SEA-ICE; NORTHWEST PASSAGE; TOURISM</t>
  </si>
  <si>
    <t>Many academics claim that expedition cruises to the Polar Regions are an emerging market. However, such cruises have frequently visited the Antarctic since the early 1990's and even earlier in the Arctic, such as the first expedition in 1984 to the territory of Nunavut in the Canadian Arctic. This paper will examine some of the issues and implications that cruise tourism has for protected areas (particularly national parks) that are accessible to expedition cruises throughout the Canadian Arctic. Protected areas contribute to creating a sustainable industry through both their conservation of the landscape, but also in acting as a key attraction and thus economic driver for nearby communities. However, protected areas also rely on a sustainable tourism industry. This paper will utilize empirical data from two studies (2007 and 2009) that examined cruise visitors to Auyuittuq, Sirmilik and Quttinirpaaq National Parks in Nunavut and Torngat Mountains National Park in Nunatsiavut (Northern Labrador), and visitor management of such. In addition, first hand personal experience and knowledge from professional colleagues will be used to underpin survey results. Socio-economic changes, such as the downturn in the global economy effecting demand, occurring in line with environmental changes, such as climate change have significant effects on the Arctic landscape and wildlife. Thus, many levels of government management for these protected areas need to make changes in order to adapt. Cruise tourism in this region is globally connected to other regions and examination of this will also occur.</t>
  </si>
  <si>
    <t>[Maher, Pat T.] Univ Northern British Columbia, Outdoor Recreat &amp; Tourism Management Program, Prince George, BC, Canada</t>
  </si>
  <si>
    <t>University of Northern British Columbia</t>
  </si>
  <si>
    <t>Maher, PT (corresponding author), Univ Northern British Columbia, Outdoor Recreat &amp; Tourism Management Program, Prince George, BC, Canada.</t>
  </si>
  <si>
    <t>maherp@unbc.ca</t>
  </si>
  <si>
    <t>Maher, Patrick/AAU-4377-2020</t>
  </si>
  <si>
    <t>INST TOURISM</t>
  </si>
  <si>
    <t>ZAGREB</t>
  </si>
  <si>
    <t>VRHOVEC 5, ZAGREB, 10000, CROATIA</t>
  </si>
  <si>
    <t>1332-7461</t>
  </si>
  <si>
    <t>1849-1545</t>
  </si>
  <si>
    <t>Tourism</t>
  </si>
  <si>
    <t>Hospitality, Leisure, Sport &amp; Tourism</t>
  </si>
  <si>
    <t>Social Sciences - Other Topics</t>
  </si>
  <si>
    <t>V02IN</t>
  </si>
  <si>
    <t>WOS:000213663600005</t>
  </si>
  <si>
    <t>Zhang, JW; Zeng, RY</t>
  </si>
  <si>
    <t>Zhang, Jinwei; Zeng, Runying</t>
  </si>
  <si>
    <t>Molecular cloning and expression of an extracellular α-amylase gene from an Antarctic deep sea psychrotolerant Pseudomonas stutzeri strain 7193</t>
  </si>
  <si>
    <t>Deep sea sediment; Extracellular alpha-amylase; Sequencing and expression; Characterization</t>
  </si>
  <si>
    <t>AUTOMATED PROTEIN-STRUCTURE; ADAPTED LIPASE GENE; NUCLEOTIDE-SEQUENCE; DIRECTED EVOLUTION; PSYCHROTROPHIC BACTERIUM; CATALYTIC RESIDUES; FORMING AMYLASE; PRYDZ BAY; I-TASSER; PURIFICATION</t>
  </si>
  <si>
    <t>Psychrotolerant Pseudomonas stutzeri strain 7193 capable of producing an extracellular alpha-amylase was isolated from deep sea sediments of Prydz Bay, Antarctic. The 59678-Da protein (AmyP) was encoded by 1665-bp gene (amyP). The deduced amino acid sequence was identified with four regions, which are conserved in amylolytic enzymes and form a catalytic domain, and was predicted to be maltotetraose forming extracellular amylase by using the I-TASSER online server. Purification of AmyP amylases from both the recombinant of Escherichia coli Top 10 F' and strain 7193 was conducted. Biochemical characterization revealed that the optimal amylase activity was observed at pH 9.0 and temperature 40A degrees C. The enzymes were unstable at temperatures above 30A degrees C, and only retain half of their highest activity after incubation at 60A degrees C for 5 min. Thin-layer chromatography analysis of the products of the amylolytic reaction showed the presence of maltotetraose, maltotriose, maltose and glucose in the starch hydrolysate.</t>
  </si>
  <si>
    <t>[Zhang, Jinwei; Zeng, Runying] State Ocean Adm, Key Lab Marine Biogenet Resources, Xiamen, Peoples R China; [Zhang, Jinwei; Zeng, Runying] State Ocean Adm, Inst Oceanog 3, Xiamen, Peoples R China</t>
  </si>
  <si>
    <t>Zeng, RY (corresponding author), State Ocean Adm, Key Lab Marine Biogenet Resources, Xiamen, Peoples R China.</t>
  </si>
  <si>
    <t>jinwei.zhang@ncl.ac.uk; runyingzeng@yahoo.com.cn</t>
  </si>
  <si>
    <t>Zhang, Jinwei/N-8584-2017; Zhang, Jinwei/Q-7959-2019</t>
  </si>
  <si>
    <t>Zhang, Jinwei/0000-0001-8683-509X</t>
  </si>
  <si>
    <t>National High Technology Research and Development Program (863) [2007AA 091407]; China Ocean Mineral Resources R&amp;D Association (COMRA) [DYXM-115-02-2-04]</t>
  </si>
  <si>
    <t>National High Technology Research and Development Program (863)(National High Technology Research and Development Program of China); China Ocean Mineral Resources R&amp;D Association (COMRA)</t>
  </si>
  <si>
    <t>This work was supported by National High Technology Research and Development Program (863) 2007AA 091407 and China Ocean Mineral Resources R&amp;D Association (COMRA) Program (DYXM-115-02-2-04).</t>
  </si>
  <si>
    <t>10.1007/s11274-010-0526-0</t>
  </si>
  <si>
    <t>733GY</t>
  </si>
  <si>
    <t>WOS:000288252400014</t>
  </si>
  <si>
    <t>Molecular phylogeny of the Valvatacea (Asteroidea: Echinodermata)</t>
  </si>
  <si>
    <t>Antarctica; Asterinidae; biogeography; classification; fossils; Goniasteridae; Ophidiasteridae; Paxillosida; Solasteridae; tropics</t>
  </si>
  <si>
    <t>SEA STARS ASTEROIDEA; LARV-AE; PROTOREASTER-NODOSUS; MITOCHONDRIAL; SYSTEMATICS; GENUS; BEARING; CLASSIFICATION; GONIASTERIDAE; PLATASTERIAS</t>
  </si>
  <si>
    <t>The Valvatacea is one the most ecologically important, taxonomically diverse, and widespread groups of post-Palaeozoic (i.e. modern) Asteroidea. Classification within the group has been historically problematic. We present a comprehensively sampled, three-gene (12S, 16S, early-stage histone H3) molecular phylogenetic analysis of the Valvatacea. We include five of the six families within the Paxillosida, the monotypic Notomyotida, and 13 of the 16 families of the living Valvatida. The Solasteridae is removed from the Velatida (Spinulosacea) and joins the Ganeriidae and the Leilasteridae as members of the clade containing the Asterinidae. The Poraniidae is supported as the sister group to the large cluster of Valvatacea. Asteropseids and poraniids are phylogenetically distant, contrary to morphological evidence. Several goniasterid-like ophidiasterids, such as Fromia and Neoferdina are supported as derived goniasterids rather than as Ophidiasteridae. The Benthopectinidae ( Notomyotida) are supported as members of the Paxillosida as are two members of the Pseudarchasterinae that have traditionally been considered members of the Goniasteridae. Our data suggest that Antarctic valvataceans may be derived from sister taxa in adjacent regions. (C) 2011 The Linnean Society of London, Zoological Journal of the Linnean Society, 2011, 161, 769-788.</t>
  </si>
  <si>
    <t>[Mah, Christopher] Natl Museum Nat Hist, Smithsonian Inst Invertebrate Zool, Washington, DC 20560 USA; [Foltz, David] Louisiana State Univ Biol Sci, Baton Rouge, LA 70803 USA</t>
  </si>
  <si>
    <t>Smithsonian Institution; Smithsonian National Museum of Natural History; Louisiana State University System; Louisiana State University</t>
  </si>
  <si>
    <t>Mah, C (corresponding author), Natl Museum Nat Hist, Smithsonian Inst Invertebrate Zool, MRC 163,POB 37012, Washington, DC 20560 USA.</t>
  </si>
  <si>
    <t>OPP Antarctic postdoctoral fellowship [0631245]; USARP [ANT-0466308]</t>
  </si>
  <si>
    <t>OPP Antarctic postdoctoral fellowship; USARP</t>
  </si>
  <si>
    <t>We thank the following for their assistance with specimen assistance and providing tissues for DNA extraction: Kate Neil and Kareen Schnabel at the National Institute of Water and Atmospheric Research (Wellington, New Zealand); Bob VanSyoc and Chrissy Piotrowski at the California Academy of Sciences (San Francisco); Marc Eleaume and Nadia Ameziane at the Museum National D'histoire Naturelle (Paris), Martha Nizinski and Cheryl Ames at the National Marine Fisheries Service (Washington DC), and Dave Pawson, Linda Ward, Jennifer Hammock, and Paul Greenhall at the US National Museum (Washington DC). Some of the 12S and 16S sequences were obtained with the help of Izoduwa O. Abbe, James W. Halk, Caitlyn Blanchard, and Cali Meyer. We thank Lauren VanThiel (US Antarctic Research Program), Loic Villier, Universite de Provence, Marseille, France, Dan Blake, University of Illinois, Urbana-Champaign, and an anonymous reviewer for reading the manuscript and suggesting improvements. A Faculty Research Grant from the LSU Office of Research provided funding to D. Foltz. C. Mah was funded by OPP Antarctic postdoctoral fellowship (0631245) and USARP (ANT-0466308) contracts.</t>
  </si>
  <si>
    <t>10.1111/j.1096-3642.2010.00659.x</t>
  </si>
  <si>
    <t>738YE</t>
  </si>
  <si>
    <t>WOS:000288677700004</t>
  </si>
  <si>
    <t>Pavlova, K; Rusinova-Videva, S; Kuncheva, M; Kratchanova, M; Gocheva, M; Dimitrova, S</t>
  </si>
  <si>
    <t>Pavlova, Kostantsa; Rusinova-Videva, Snezhana; Kuncheva, Margarita; Kratchanova, Maria; Gocheva, Mariana; Dimitrova, Stela</t>
  </si>
  <si>
    <t>Synthesis and Characterization of an Exopolysaccharide by Antarctic Yeast Strain Cryptococcus laurentii AL100</t>
  </si>
  <si>
    <t>APPLIED BIOCHEMISTRY AND BIOTECHNOLOGY</t>
  </si>
  <si>
    <t>Cryptococcus laurentii AL(100); Biosynthesis; Exopolysaccharide; Yeast</t>
  </si>
  <si>
    <t>EXTRACELLULAR PRODUCT; CANDIDA-UTILIS; POLYSACCHARIDES; GLUCOMANNAN</t>
  </si>
  <si>
    <t>An exopolysaccharide-producing Antarctic yeast strain was selected and identified as Cryptococcus laurentii AL(100). The physiological properties of the strain and its ability to utilize and biotransform different carbon sources (pentoses, hexoses, and oligosaccharides) into exopolysaccharide and biomass were investigated. Sucrose was chosen as a suitable and accessible carbon source. The biosynthetic capacity of the strain was studied in its dynamics at different sucrose concentrations (20, 30, 40, and 50 g/L) and temperatures (22 and 24 A degrees C). The maximum biopolymer quantity of 6.4 g/L was obtained at 40 g/L of sucrose, 22 A degrees C temperature and 96-h fermentation duration. The newly synthesized microbial carbohydrate was a heteropolysaccharide having the following monosaccharide composition: arabinose, 61.1%; mannose, 15.0%; glucose, 12.0%; galactose, 5.9%; and rhamnose, 2.8%. It was characterized by polydispersity of the polymer molecule, 60% of it having molecular mass of 4200 Da. The exopolysaccharide demonstrated good emulsifying and stabilizing properties with regard to oil/water emulsions and a pronounced synergistic effect with other hydrocolloids such as xanthan gum, guar gum, and alginate.</t>
  </si>
  <si>
    <t>[Dimitrova, Stela] Med Univ, Dept Chem &amp; Biochem, Plovdiv 4002, Bulgaria; [Kratchanova, Maria; Gocheva, Mariana] Bulgarian Acad Sci, Inst Organ Chem, Ctr Phytochem, Plovdiv 4000, Bulgaria; [Kuncheva, Margarita] Univ Food Technol, Plovdiv 4002, Bulgaria; [Pavlova, Kostantsa; Rusinova-Videva, Snezhana] Bulgarian Acad Sci, Inst Microbiol, Lab Appl Biotechnol, Plovdiv 4000, Bulgaria</t>
  </si>
  <si>
    <t>Medical University Plovdiv; Bulgarian Academy of Sciences; University of Food Technology - Bulgaria; Bulgarian Academy of Sciences</t>
  </si>
  <si>
    <t>Dimitrova, S (corresponding author), Med Univ, Dept Chem &amp; Biochem, 15A V Aprilov Blvd, Plovdiv 4002, Bulgaria.</t>
  </si>
  <si>
    <t>szd@abv.bg</t>
  </si>
  <si>
    <t>Nikolova, Mariana/0000-0001-6640-8226; Dimitrova, Stela/0000-0001-5831-2574</t>
  </si>
  <si>
    <t>National Fund Scientific Investigation [DTK 02/46]; Operational Programme Human Resources Development [BG051PO001-3.3.04/32]</t>
  </si>
  <si>
    <t>National Fund Scientific Investigation; Operational Programme Human Resources Development</t>
  </si>
  <si>
    <t>The study was supported by Grant DTK 02/46 from the National Fund Scientific Investigation and the European Social Fund, Operational Programme Human Resources Development, contract BG051PO001-3.3.04/32.</t>
  </si>
  <si>
    <t>0273-2289</t>
  </si>
  <si>
    <t>1559-0291</t>
  </si>
  <si>
    <t>APPL BIOCHEM BIOTECH</t>
  </si>
  <si>
    <t>Appl. Biochem. Biotechnol.</t>
  </si>
  <si>
    <t>10.1007/s12010-010-9107-9</t>
  </si>
  <si>
    <t>732EK</t>
  </si>
  <si>
    <t>WOS:000288167500010</t>
  </si>
  <si>
    <t>Nunes, AJP; Sá, MVC; Sabry-Neto, H</t>
  </si>
  <si>
    <t>Nunes, A. J. P.; Sa, M. V. C.; Sabry-Neto, H.</t>
  </si>
  <si>
    <t>Growth performance of the white shrimp, Litopenaeus vannamei, fed on practical diets with increasing levels of the Antarctic krill meal, Euphausia superba, reared in clear-versus green-water culture tanks</t>
  </si>
  <si>
    <t>fish meal; Krill meal; Krill oil; Litopenaeus vannamei; shrimp</t>
  </si>
  <si>
    <t>SALMON SALMO-SALAR; TROUT ONCORHYNCHUS-MYKISS; ATLANTIC SALMON; FISH-MEAL; FEED INGREDIENTS; FLUORIDE; REPLACEMENT</t>
  </si>
  <si>
    <t>Litopenaeus vannamei were stocked in 25 clear-water 500-L tanks at 100 shrimp m(-2) and in 25 green-water 1000-L tanks at 60 animals m(-2). Four diets were formulated to include krill meal at 10, 50 or 110 g kg(-1); or krill oil at 25 g kg(-1) by replacing fish meal, fish oil, soybean lecithin and cholesterol. Diets had similar levels of crude protein, total energy and essential amino acids. After 72 days, shrimp reared in clear and green water showed no differences in performance among diets. In clear water, shrimp attained 13.1 +/- 0.59 g body weight, 1.00 +/- 0.06 g week(-1) growth, 81.4 +/- 7.3% survival, 780 +/- 118 g m(-2) yield, 16.9 +/- 1.8 g shrimp(-1) apparent feed intake (AFI), and 2.18 +/- 0.29 food conversion ratio (FCR). In green water, shrimp attained 14.3 +/- 0.81 g body weight, 1.04 +/- 0.09 g week(-1) growth, 91.4 +/- 5.4% survival, 569 +/- 69 g m(-2) yield, 20.9 +/- 3.2 g shrimp(-1) AFI, and 2.22 +/- 0.34 FCR. Diets containing krill meal or krill oil were able to fully replace the protein and lipid value of fish meal, fish oil, soybean lecithin and cholesterol at no cost to performance.</t>
  </si>
  <si>
    <t>[Nunes, A. J. P.; Sa, M. V. C.; Sabry-Neto, H.] Univ Fed Ceara, LABOMAR, Inst Ciencias Mar, BR-60165081 Fortaleza, Ceara, Brazil</t>
  </si>
  <si>
    <t>Universidade Federal do Ceara</t>
  </si>
  <si>
    <t>Nunes, AJP (corresponding author), Univ Fed Ceara, LABOMAR, Inst Ciencias Mar, Ave Abolicao 3207, BR-60165081 Fortaleza, Ceara, Brazil.</t>
  </si>
  <si>
    <t>albertojpn@uol.com.br</t>
  </si>
  <si>
    <t>Nunes, Alberto J.P./O-6926-2017</t>
  </si>
  <si>
    <t>Nunes, Alberto/0000-0001-9105-8109</t>
  </si>
  <si>
    <t>CNPq/MCT, PQ [300453/2009-4]</t>
  </si>
  <si>
    <t>CNPq/MCT, PQ(Conselho Nacional de Desenvolvimento Cientifico e Tecnologico (CNPQ))</t>
  </si>
  <si>
    <t>The first author acknowledges support from a research productivity fellowship (CNPq/MCT, PQ No. 300453/2009-4).</t>
  </si>
  <si>
    <t>E511</t>
  </si>
  <si>
    <t>E520</t>
  </si>
  <si>
    <t>10.1111/j.1365-2095.2010.00791.x</t>
  </si>
  <si>
    <t>732XN</t>
  </si>
  <si>
    <t>WOS:000288223100052</t>
  </si>
  <si>
    <t>Zamzow, JP; Aumack, CF; Amsler, CD; Mcclintock, JB; Amsler, MO; Baker, BJ</t>
  </si>
  <si>
    <t>Zamzow, Jill P.; Aumack, Craig F.; Amsler, Charles D.; Mcclintock, James B.; Amsler, Margaret O.; Baker, Bill J.</t>
  </si>
  <si>
    <t>Gut contents and stable isotope analyses of the Antarctic fish, Notothenia coriiceps (Richardson), from two macroalgal communities</t>
  </si>
  <si>
    <t>amphipods; Antarctica; Desmarestia menziesii; food web analysis; Palmaria decipiens</t>
  </si>
  <si>
    <t>SOUTH SHETLAND ISLANDS; POTTER COVE; SUBTIDAL MACROALGAE; FEEDING ECOLOGY; BIOMASS; PALATABILITY; DELTA-C-13; DIET</t>
  </si>
  <si>
    <t>Gut contents studies have shown that Notothenia coriiceps, a prevalent shallow water fish species along the western Antarctic Peninsula, has a highly variable diet. This variability, coupled with small home ranges, suggest that microhabitat may play a role in determining the chief prey items of N. coriiceps. We trapped fish from three sites comprised of two different algal microhabitats around Palmer Station, Antarctica and investigated their diets via gut contents and stable isotope analyses. Gut contents analysis revealed that amphipods were the primary prey item at all three sites, but the distribution of amphipod species eaten varied between sites. Other important prey classes were snails, limpets, algae and fish. Overall, the gut content data suggested that algal microhabitat was less important than geographic location in determining diet. On the other hand, stable isotope analysis indicated that fish from the Palmaria decipiens site were more enriched in both carbon and nitrogen than fish from Desmarestia menziesii sites. Hence, it would appear that in the longer term, algal microhabitat may influence fish diets and trophic relationships.</t>
  </si>
  <si>
    <t>[Zamzow, Jill P.; Aumack, Craig F.; Amsler, Charles D.; Mcclintock, James B.; Amsler, Margaret O.] Univ Alabama Birmingham, Dept Biol, Birmingham, AL 35294 USA; [Baker, Bill J.] Univ S Florida, Dept Chem, Tampa, FL 33620 USA</t>
  </si>
  <si>
    <t>University of Alabama System; University of Alabama Birmingham; State University System of Florida; University of South Florida</t>
  </si>
  <si>
    <t>Zamzow, JP (corresponding author), Univ Alabama Birmingham, Dept Biol, 1300 Univ Blvd, Birmingham, AL 35294 USA.</t>
  </si>
  <si>
    <t>jzamzow@gmail.com</t>
  </si>
  <si>
    <t>National Science Foundation [ANT-0631328, OPP-0442769, OPP-0442857]</t>
  </si>
  <si>
    <t>The authors gratefully acknowledge field assistance from G. Koplovitz, P. Bucolo, J. Cuce and the Raytheon Polar Services staff at Palmer Station, Antarctica. We are indebted to P. Bucolo and K. Jackson for assistance processing isotope samples, and to K. Kasanagottu for assistance in enumerating amphipods. This work was supported by National Science Foundation grants ANT-0631328 (JPZ), OPP-0442769 (CDA and JBM) and OPP-0442857 (BJB). The constructive comments of the reviewers are also gratefully acknowledged.</t>
  </si>
  <si>
    <t>10.1017/S095410201000091X</t>
  </si>
  <si>
    <t>WOS:000288080600002</t>
  </si>
  <si>
    <t>Philipp, EER; Husmann, G; Abele, D</t>
  </si>
  <si>
    <t>Philipp, Eva E. R.; Husmann, Gunnar; Abele, Doris</t>
  </si>
  <si>
    <t>The impact of sediment deposition and iceberg scour on the Antarctic soft shell clam Laternula elliptica at King George Island, Antarctica</t>
  </si>
  <si>
    <t>Antarctic Peninsula; climate change; filter feeders; sedimentation; South Shetland Islands</t>
  </si>
  <si>
    <t>FRESH-WATER; DREISSENA-POLYMORPHA; PHYSICAL DISTURBANCE; BENTHIC COMMUNITIES; SIGNY ISLAND; ZEBRA MUSSEL; POTTER COVE; ICE-SCOUR; PENINSULA; WEST</t>
  </si>
  <si>
    <t>Recent rapid changes of air temperature on the western side of the Antarctic Peninsula results in increased sediment discharge and ice scouring frequencies in coastal regions. These changes are bound to especially affect slow growing, sessile filter feeders such as the Antarctic bivalve, Laternula elliptica, a long-lived and abundant key species with circumpolar distribution. We investigated the effect of sedimentation and ice scouring on small/young and large/old individuals at two closely located stations, distinctly influenced by both types of disturbance. Small individuals dealt better with disturbance in terms of their respiratory response to sediment exposure, reburrowing ability, and survival after injury, compared to larger animals. At the more disturbed station L. elliptica population density was lower, but larger animals reburrowed faster after iceberg disturbance and reduced their metabolic rate under strong sediment coverage, compared to larger animals of the less disturbed station, indicating that an adaptation or learning response to both types of disturbance may be possible. Smaller individuals were not influenced. Laternula elliptica seems capable of coping with the rapidly changing environmental conditions. Due to a decrease in population density and mean population lifespan, L. elliptica could however lose its key role in the bentho-pelagic carbon flux in areas of high sediment deposition.</t>
  </si>
  <si>
    <t>[Philipp, Eva E. R.; Husmann, Gunnar] Univ Kiel, Inst Clin Mol Biol, D-24118 Kiel, Germany; [Abele, Doris] Alfred Wegener Inst Polar &amp; Marine Res, D-27570 Bremerhaven, Germany</t>
  </si>
  <si>
    <t>University of Kiel; Helmholtz Association; Alfred Wegener Institute, Helmholtz Centre for Polar &amp; Marine Research</t>
  </si>
  <si>
    <t>Philipp, EER (corresponding author), Univ Kiel, Inst Clin Mol Biol, Olshaussenstr 40, D-24118 Kiel, Germany.</t>
  </si>
  <si>
    <t>e.philipp@ikmb.uni-kiel.de</t>
  </si>
  <si>
    <t>Abele, Doris/0000-0002-5766-5017</t>
  </si>
  <si>
    <t>German Science foundation (DFG) [PH141/5-1]</t>
  </si>
  <si>
    <t>German Science foundation (DFG)(German Research Foundation (DFG))</t>
  </si>
  <si>
    <t>We would like to thank Oscar Gonzales for the excellent support at Jubany Station and iceberg observations, M. Schwanitz, head of the AWI-Expedition-Diving group, and the Argentinean divers for great field work, J. Strahl for field and laboratory help in the 2006-07 expedition, C. White (University of Birmingham) for provision of the analysis program, as well as comments from two anonymous reviewers which greatly improved the manuscript. The study was funded through the German Science foundation (DFG) PH141/5-1. This paper is dedicated to the Argentine ice breaker ARA Almirante Irizar which was incapacitated in a fire accident in 2007.</t>
  </si>
  <si>
    <t>10.1017/S0954102010000970</t>
  </si>
  <si>
    <t>WOS:000288080600004</t>
  </si>
  <si>
    <t>Lauriano, G; Fortuna, CM; Vacchi, M</t>
  </si>
  <si>
    <t>Lauriano, Giancarlo; Fortuna, Caterina Maria; Vacchi, Marino</t>
  </si>
  <si>
    <t>Occurrence of killer whales (Orcinus orca) and other cetaceans in Terra Nova Bay, Ross Sea, Antarctica</t>
  </si>
  <si>
    <t>Antarctic minke whale; Arnoux's beaked whale; distribution; ecotype; encounter rate</t>
  </si>
  <si>
    <t>PLEURAGRAMMA-ANTARCTICUM; EMPEROR PENGUINS; POLYNYA; WESTERN; FOOD; ABUNDANCE; WATERS; FISH; ICE</t>
  </si>
  <si>
    <t>During January and February 2004, data on presence and distribution of killer whales (Orcinus orca) and other cetaceans were collected by helicopter surveys along the coastline of Terra Nova Bay and adjacent localities (western Ross Sea, Antarctica). A total of 37 sightings of killer whale, of both B and C types, were recorded as well as 17 sightings of Antarctic minke whales (Balaenoptera bonaerensis), nine of Balaenoptera spp., two of Arnoux's beaked whale (Berardius arnuxii) and four of undetermined species. The type C killer whale was the most abundant, with 23 sightings, whereas we recorded type B only twice. Group size ranged between 1 and 30 animals, with an average of eight individuals. Seventeen killer whales were photo-identified and 13 resightings occurred during the study period. Killer whales showed a differential pattern in partitioning the study area. Their encounter rate was significantly higher (t-test = 2.6045, P &lt; 0.05) in the northern area extending from Edmonson Point to the Campbell Glacier Tongue (encounter rate, ER = 0.031), compared to the southern area from Mario Zucchelli Station to the Drygalski Ice Tongue (ER = 0.003).</t>
  </si>
  <si>
    <t>[Lauriano, Giancarlo; Fortuna, Caterina Maria] Inst Environm Protect &amp; Res ISPRA, I-00166 Rome, Italy; [Vacchi, Marino] Univ Genoa, MNA, ISPRA, I-16132 Genoa, Italy</t>
  </si>
  <si>
    <t>Italian Institute for Environmental Protection &amp; Research (ISPRA); University of Genoa</t>
  </si>
  <si>
    <t>Lauriano, G (corresponding author), Inst Environm Protect &amp; Res ISPRA, Via Casalotti 300, I-00166 Rome, Italy.</t>
  </si>
  <si>
    <t>giancarlo.lauriano@isprambiente.it</t>
  </si>
  <si>
    <t>Lauriano, Giancarlo/ABG-8461-2021; Fortuna, Caterina Maria/J-7796-2016</t>
  </si>
  <si>
    <t>Fortuna, Caterina Maria/0000-0003-3036-5337; lauriano, giancarlo/0000-0003-3465-6078</t>
  </si>
  <si>
    <t>Italian Antarctic Programme [PNRA 2002/8.5]</t>
  </si>
  <si>
    <t>Italian Antarctic Programme</t>
  </si>
  <si>
    <t>The study was possible thanks to the logistic and economic support of the Italian Antarctic Programme (Project PNRA 2002/8.5 U.O.SPEZIE-LAURIANO). We are grateful to the staff of the Italian Mario Zucchelli station and to the team of New Zealand Helicopters for their invaluable, tireless and enthusiastic work. We thank R. Canneri for sorting the photo-identification catalogues. N. Pierantonio improved the structure of an early draft of the paper. A special thanks goes to David Ainley and Robert Pitman for their helpful comments and suggestions.</t>
  </si>
  <si>
    <t>10.1017/S0954102010000908</t>
  </si>
  <si>
    <t>WOS:000288080600005</t>
  </si>
  <si>
    <t>Schiaparelli, S; Alvaro, MC; Barnich, R</t>
  </si>
  <si>
    <t>Schiaparelli, Stefano; Alvaro, Maria Chiara; Barnich, Ruth</t>
  </si>
  <si>
    <t>Polynoid polychaetes living in the gut of irregular sea urchins: a first case of inquilinism in the Southern Ocean</t>
  </si>
  <si>
    <t>Antarctica; Echinoidea; Polychaeta; Ross Sea</t>
  </si>
  <si>
    <t>TERRA-NOVA BAY; ROSS SEA; ECHINODERMATA; ANTARCTICA; COMMENSAL; DISEASES</t>
  </si>
  <si>
    <t>Many different polychaete-echinoderm relationships have been described, from tropical to polar environments. Most of these associations have been generally defined as 'commensal', with polychaetes guests usually found on the oral surface of their hosts or, in a very few cases, even inside the host's body. Here we present an inquilinistic association involving two Antarctic species, the polychaete Gorekia crassicirris (Willey, 1902) (Polynoidae) and the irregular sea urchin Abatus nimrodi (Koheler, 1911) (Schizasteridae) found in the Ross Sea. This record is only the second worldwide for this kind of association, after that of the polychaete Benthoscolex cubanus which lives in the gut of the spatangoid Archeopneustes hystrix in Caribbean waters. Gorekia crassicirris seems to be a polyxenous species as it was also observed on another schizasterid, Brachysternaster chescheri Larrain, 1985 in the Weddell Sea. Considering that A. nimrodi is absent from that area and that the two sea urchin species have a disjoint distribution, it is possible that a 'host-switch' phenomenon occurred at some stage. We review the available literature to compare the Antarctic pairing with the other known examples of similar associations.</t>
  </si>
  <si>
    <t>[Schiaparelli, Stefano] Univ Genoa, Dipartimento Studio Terr &amp; Risorse Dip Te Ris, I-16132 Genoa, Italy; [Alvaro, Maria Chiara] Univ Genoa, MNA, I-16132 Genoa, Italy; [Barnich, Ruth] Forschungsinst Senckenberg, D-60325 Frankfurt, Germany</t>
  </si>
  <si>
    <t>University of Genoa; University of Genoa; Senckenberg Gesellschaft fur Naturforschung (SGN)</t>
  </si>
  <si>
    <t>Schiaparelli, S (corresponding author), Univ Genoa, Dipartimento Studio Terr &amp; Risorse Dip Te Ris, Cso Europa 26, I-16132 Genoa, Italy.</t>
  </si>
  <si>
    <t>Schiaparelli, Stefano/AAI-4024-2020</t>
  </si>
  <si>
    <t>Schiaparelli, Stefano/0000-0002-0137-3605</t>
  </si>
  <si>
    <t>Italian National Antarctic Program (PNRA)</t>
  </si>
  <si>
    <t>We thank the Italian National Antarctic Program (PNRA) for funding and logistic support. We are indebted to Dr Christian Neumann (Naturkundemuseum, Berlin) for bringing to our attention the record of G. crassicirris from the XV/3 Polarstern Expedition. Two anonymous reviewers are acknowledged for their useful comments on the manuscript. Hanny Rivera (Harvard College) kindly revised the English language. This is CAML contribution 55.</t>
  </si>
  <si>
    <t>10.1017/S0954102011000083</t>
  </si>
  <si>
    <t>WOS:000288080600006</t>
  </si>
  <si>
    <t>Olech, M; Chwedorzewska, KJ</t>
  </si>
  <si>
    <t>Olech, Maria; Chwedorzewska, Katarzyna J.</t>
  </si>
  <si>
    <t>The first appearance and establishment of an alien vascular plant in natural habitats on the forefield of a retreating glacier in Antarctica</t>
  </si>
  <si>
    <t>[Olech, Maria; Chwedorzewska, Katarzyna J.] Polish Acad Sci, Dept Antarctic Biol, PL-02141 Warsaw, Poland; [Olech, Maria] Jagiellonian Univ, Inst Bot, PL-31501 Krakow, Poland</t>
  </si>
  <si>
    <t>Polish Academy of Sciences; Jagiellonian University</t>
  </si>
  <si>
    <t>Chwedorzewska, KJ (corresponding author), Polish Acad Sci, Dept Antarctic Biol, Ustrzycka 10-12, PL-02141 Warsaw, Poland.</t>
  </si>
  <si>
    <t>kchwedorzewska@go2.pl</t>
  </si>
  <si>
    <t>Chwedorzewska, Katarzyna/M-9721-2019; Chwedorzewska, Katarzyna J/A-9480-2008</t>
  </si>
  <si>
    <t>Chwedorzewska, Katarzyna/0000-0001-6860-3666;</t>
  </si>
  <si>
    <t>Ministry of Scientific Research and Higher Education [IPY/27/2007]</t>
  </si>
  <si>
    <t>Ministry of Scientific Research and Higher Education</t>
  </si>
  <si>
    <t>The work was financed by the Ministry of Scientific Research and Higher Education grant IPY/27/2007. We thank the reviewers whose comments were most helpful in revising this paper.</t>
  </si>
  <si>
    <t>10.1017/S0954102010000982</t>
  </si>
  <si>
    <t>WOS:000288080600007</t>
  </si>
  <si>
    <t>Hall, K; Meiklejohn, I; Bumby, A</t>
  </si>
  <si>
    <t>Hall, Kevin; Meiklejohn, Ian; Bumby, Adam</t>
  </si>
  <si>
    <t>Marion Island volcanism and glaciation</t>
  </si>
  <si>
    <t>faulting; glacier reconstruction; glacier-volcanic interactions; palaeoclimate; peri-Antarctic islands</t>
  </si>
  <si>
    <t>SUBGLACIAL ERUPTION; MOUNT-RAINIER; AREAS; LAVA; ADJACENT; GLACIER; RIDGE</t>
  </si>
  <si>
    <t>Sub-Antarctic Marion Island was the site of extensive volcanism as well as glaciation during both the Quaternary and the Holocene. Initial reconstructions suggested a link between deglaciation and the initiation of faulting which, in turn, facilitated lava eruptions during the interglacials. However, our reassessment of the faulting, volcanic rock, and palaeoglacier distribution indicate that these original interpretations were erroneous. Features thought to be due to faulting are shown to be erosional scarps and this significantly changes interpretations of former glacier distribution. Further, the loss of the former ice cap has revealed new information on former glaciers and their flow directions, thereby allowing reconstruction of palaeoglaciers. Our new reconstruction fits with information from invertebrate genetic mapping that suggest some lava outcrops were nunataks and, therefore, refuges during the Last Glacial period. The new findings of glacial landforms in areas previously covered by snow suggest there was a significant ice advance during the Little Ice Age. Although Holocene volcanic rocks overlie and mask much of the glacial evidence, it has been possible to develop a proposed new reconstruction for glaciation, which is presented together with some of the implications.</t>
  </si>
  <si>
    <t>[Hall, Kevin; Meiklejohn, Ian] Univ Pretoria, Dept Geog Geoinformat &amp; Meteorol, ZA-0002 Pretoria, South Africa; [Bumby, Adam] Univ Pretoria, Dept Geol, ZA-0002 Pretoria, South Africa</t>
  </si>
  <si>
    <t>University of Pretoria; University of Pretoria</t>
  </si>
  <si>
    <t>Hall, K (corresponding author), Univ No British Columbia, Geog Programme, 3333 Univ Way, Prince George, BC V2N 4Z9, Canada.</t>
  </si>
  <si>
    <t>hall@unbc.ca</t>
  </si>
  <si>
    <t>Meiklejohn, Ian/F-3183-2012</t>
  </si>
  <si>
    <t>Meiklejohn, Ian/0000-0001-8890-2938; Bumby, Adam/0000-0001-8146-316X</t>
  </si>
  <si>
    <t>National Research Foundation [SNA2005061300001, SNA2008050800005]</t>
  </si>
  <si>
    <t>For the ability of KH to return to Marion Island after 35 years I would like to thank Prof Ian Meiklejohn and the South African National Antarctic Programme. The University of Northern British Columbia helped KH with some of the travel costs associated with undertaking this work. In the field it was a great pleasure for KH to work with both Ian Meiklejohn and Adam Bumby, as well as Barend van der Merwe and Mphumzile Zilindile - the more so for their patience during the long walks in the field! Werner Nel's and David Hedding's comments and ideas in the field on previous expeditions are appreciated (IM &amp; AB). Funding for the project was provided by the National Research Foundation Grants SNA2005061300001 (IM) and SNA2008050800005 (AB). Logistical support was provided by the South African National Antarctic Programme of the Department of Environmental Affairs and Tourism, South Africa. We would like to thank Professor B. Whalley and a</t>
  </si>
  <si>
    <t>10.1017/S0954102010000878</t>
  </si>
  <si>
    <t>WOS:000288080600008</t>
  </si>
  <si>
    <t>Bomfleur, B; Pott, C; Kerp, H</t>
  </si>
  <si>
    <t>Bomfleur, Benjamin; Pott, Christian; Kerp, Hans</t>
  </si>
  <si>
    <t>Plant assemblages from the Shafer Peak Formation (Lower Jurassic), north Victoria Land, Transantarctic Mountains</t>
  </si>
  <si>
    <t>Antarctica; cuticles; Otozamites; palaeobotany; palaeoclimate; palaeoecology</t>
  </si>
  <si>
    <t>LATADY BASIN; FLORA; AGE; LEAF; PALEOGEOGRAPHY; ISLAND; IRAN; BAY</t>
  </si>
  <si>
    <t>The Jurassic plant fossil record of Gondwana is generally meagre, which renders phytogeographic and palaeoclimatic interpretations difficult to date. Moreover, plant fossil assemblages mainly consist of impressions/compressions with rather limited palaeobiological and palaeoecological significance. We here present a detailed survey of new Early Jurassic plant assemblages from the Pliensbachian Shafer Peak Formation, north Victoria Land, Transantarctic Mountains. Some of the well-preserved fossils yield cuticle. The floras consist of isoetalean lycophytes, sphenophytes, several ferns, bennettitaleans, and conifers. In addition, three distinct kinds of conifer shoots and needles were obtained from bulk macerations. The composition of the plant communities is typical for Jurassic macrofloras of Gondwana, which underscores the general homogeneity of Southern Hemisphere vegetation during the mid-Mesozoic. Altogether, the plant fossil assemblages indicate humid and warm temperate conditions, which is in contrast to recent palaeoclimatic models that predict cool temperate climates for the continental interior of southern Gondwana during the Jurassic. However, there is no evidence for notable soil development or peat accumulation. The environmental conditions were apparently very unstable due to intense volcanic activity that resulted in frequent perturbation of landscape and vegetation, hampering the development of long-lived climax communities. Cuticles of bennettitaleans and conifers show xeromorphic features that may have been beneficial for growth in this volcanic environment.</t>
  </si>
  <si>
    <t>[Bomfleur, Benjamin; Kerp, Hans] Univ Munster, Inst Geol &amp; Palaontol, Forsch Stelle Palaobot, D-48143 Munster, Germany; [Pott, Christian] Swedish Museum Nat Hist, Dept Palaeobot, S-10405 Stockholm, Sweden</t>
  </si>
  <si>
    <t>University of Munster; Swedish Museum of Natural History</t>
  </si>
  <si>
    <t>Bomfleur, B (corresponding author), Univ Munster, Inst Geol &amp; Palaontol, Forsch Stelle Palaobot, Hindenburgpl 57, D-48143 Munster, Germany.</t>
  </si>
  <si>
    <t>bennibomfleur@gmx.de</t>
  </si>
  <si>
    <t>Kerp, Hans/AAJ-1102-2020</t>
  </si>
  <si>
    <t>Deutsche Forschungsgemeinschaft (DFG) [KE584/12-1, KE584/16-1, 16-2]</t>
  </si>
  <si>
    <t>BB wishes to thank the Bundesanstalt fur Geowissenschaften und Rohstoffe (BGR), Hannover, for the invitation to join the GANOVEX IX expedition, and J. Schneider (Freiberg), R. Schoner (Jena), and L. Viereck-Gotte (Jena) for a fruitful and most enjoyable collaboration in the field. We thank J. E. Francis, D.J. Cantrill, M. Krings, and A.P.M. Vaughan for valuable comments and discussions on the manuscript. Technical support by the Alfred-Wegener-Institut fur Meeres-und Polarforschung (AWI), Bremerhaven, is gratefully acknowledged. We thank T. Grund (Munster) and P. Moisan (Munster) for assistance in SEM imaging. This study was funded by the Deutsche Forschungsgemeinschaft (DFG), grants KE584/12-1, KE584/16-1 and 16-2.</t>
  </si>
  <si>
    <t>10.1017/S0954102010000866</t>
  </si>
  <si>
    <t>WOS:000288080600011</t>
  </si>
  <si>
    <t>Liggett, D; McIntosh, A; Thompson, A; Gilbert, N; Storey, B</t>
  </si>
  <si>
    <t>Liggett, Daniela; McIntosh, Alison; Thompson, Anna; Gilbert, Neil; Storey, Bryan</t>
  </si>
  <si>
    <t>From frozen continent to tourism hotspot? Five decades of Antarctic tourism development and management, and a glimpse into the future</t>
  </si>
  <si>
    <t>TOURISM MANAGEMENT</t>
  </si>
  <si>
    <t>Antarctic tourism; Antarctic Treaty System; Delphi study; IAATO; Ship-borne tourism; Tourism development</t>
  </si>
  <si>
    <t>HERITAGE TOURISM; DELPHI</t>
  </si>
  <si>
    <t>Representing the main commercial activity on the Antarctic continent, Antarctic tourism is increasingly thrust into the limelight as both benefactor and detractor to the environmental and political integrity of Antarctica. In view of its unprecedented growth, questions arise about the limitations of future tourism development in Antarctica. This paper assesses Antarctic tourism development over the last five decades and evaluates its current and future status from the viewpoints of Antarctic tourism stakeholders. This assessment is informed by interviews with Antarctic tourism stakeholders and a Delphi study undertaken in 2007. The authors found that Antarctic tourism stakeholders are concerned about the increasing scale and diversification of Antarctic tourism and generally subscribe to a conservation imperative when expressing their hopes for the future use of Antarctica and the development of Antarctic tourism. In conclusion, the rapid development of Antarctic tourism requires structural, institutional and legislative changes if Antarctic tourism regulation is to remain successful. (C) 2010 Elsevier Ltd. All rights reserved.</t>
  </si>
  <si>
    <t>[Liggett, Daniela; Storey, Bryan] Univ Canterbury, Christchurch 8020, New Zealand; [McIntosh, Alison] Univ Waikato, Dept Tourism &amp; Hospitality Management, Waikato Management Sch, Hamilton, New Zealand; [Thompson, Anna] Univ Otago, Sch Business, Dept Tourism, Dunedin, New Zealand; [Gilbert, Neil] Antarctica New Zealand, Christchurch, New Zealand</t>
  </si>
  <si>
    <t>University of Canterbury; University of Waikato; University of Otago</t>
  </si>
  <si>
    <t>Liggett, D (corresponding author), Univ Canterbury, Private Bag 4800, Christchurch 8020, New Zealand.</t>
  </si>
  <si>
    <t>daniela.haase@canterbury.ac.nz; mcintosh@mngt.waikato.ac.nz; athompson@business.otago.ac.nz; n.gilbert@antarcticanz.govt.nz; bryan.storey@canterbury.ac.nz</t>
  </si>
  <si>
    <t>McIntosh, Alison/I-8662-2012; McIntosh, Alison/AAQ-9910-2021; Gilbert, Neil/AAD-7842-2022</t>
  </si>
  <si>
    <t>McIntosh, Alison/0000-0003-1593-700X; Gilbert, Neil/0000-0003-2055-4249; Carr, Anna/0000-0002-5193-7579; Liggett, Daniela/0000-0003-4184-5205</t>
  </si>
  <si>
    <t>0261-5177</t>
  </si>
  <si>
    <t>TOURISM MANAGE</t>
  </si>
  <si>
    <t>Tourism Manage.</t>
  </si>
  <si>
    <t>10.1016/j.tourman.2010.03.005</t>
  </si>
  <si>
    <t>Environmental Studies; Hospitality, Leisure, Sport &amp; Tourism; Management</t>
  </si>
  <si>
    <t>Environmental Sciences &amp; Ecology; Social Sciences - Other Topics; Business &amp; Economics</t>
  </si>
  <si>
    <t>707RZ</t>
  </si>
  <si>
    <t>WOS:000286305000016</t>
  </si>
  <si>
    <t>Cantrill, DJ; Wanntorp, L; Drinnan, AN</t>
  </si>
  <si>
    <t>Cantrill, David J.; Wanntorp, Livia; Drinnan, Andrew N.</t>
  </si>
  <si>
    <t>Mesofossil flora from the Late Cretaceous of New Zealand</t>
  </si>
  <si>
    <t>CRETACEOUS RESEARCH</t>
  </si>
  <si>
    <t>Angiosperm; Charcoal; Conifer; Seed; Late Cretaceous; Flower; New Zealand</t>
  </si>
  <si>
    <t>EASTERN NORTH-AMERICA; FOSSIL FLOWERS; REPRODUCTIVE STRUCTURE; ANGIOSPERM FLOWERS; PLANT MACROFOSSILS; SOUTHERN SWEDEN; TABLE NUNATAK; FUTABA GROUP; SP-NOV.; POLLEN</t>
  </si>
  <si>
    <t>This study presents the first report of mesofossils of flowers, fruits and seeds found in the Cretaceous of New Zealand. The specimens were recovered from the Late Cretaceous (Maastrichtian, ca. 70 Ma) at Kai Point Mine, South Island in a sequence of floodplain sediments sampled just below the Barclay Coal Seam. Angiosperm flowers, fruits and seeds occur in the sample. The most common form is an actinomorphic flower with two whorls of three tepals. Anther bases are preserved and the ovary develops into a drupe. all features that are consistent with placement in the Lauraceae. Reproductive structures including seeds of conifers are also described, with some allied to the Podocarpaceae. This contrasts with interpretations of the flora based on macrofossils that indicate abundant Araucariaceae and highlights the different perspectives that mesofossil floras give to any assemblage. The results of the present study support a Late Cretaceous flora at this site mainly dominated by conifers with affinities to Podocarpaceae but also including lauraceous angiosperms. (C) 2010 Published by Elsevier Ltd.</t>
  </si>
  <si>
    <t>[Cantrill, David J.] Royal Bot Gardens Melbourne, Natl Herbarium Victoria, S Yarra, Vic 3141, Australia; [Cantrill, David J.; Wanntorp, Livia] Swedish Museum Nat Hist, Dept Palaeobot, SE-10405 Stockholm, Sweden; [Drinnan, Andrew N.] Univ Melbourne, Sch Bot, Melbourne, Vic 3010, Australia</t>
  </si>
  <si>
    <t>Swedish Museum of Natural History; University of Melbourne; Melbourne Bioinformatics</t>
  </si>
  <si>
    <t>Cantrill, DJ (corresponding author), Royal Bot Gardens Melbourne, Natl Herbarium Victoria, Private Bag 2000, S Yarra, Vic 3141, Australia.</t>
  </si>
  <si>
    <t>david.cantrill@rbg.vic.gov.au</t>
  </si>
  <si>
    <t>Cantrill, David/R-1415-2019</t>
  </si>
  <si>
    <t>Cantrill, David/0000-0002-1185-4015; DRINNAN, ANDREW/0000-0003-0087-1714</t>
  </si>
  <si>
    <t>Swedish Research Council</t>
  </si>
  <si>
    <t>Swedish Research Council(Swedish Research Council)</t>
  </si>
  <si>
    <t>We are grateful to E. M. Friis and S. McLoughlin for suggestions and helpful comments on the manuscript. This study was funded by a grant from the Swedish Research Council to D.C. We also acknowledge British Antarctic Survey for access to a scanning electron microscope.</t>
  </si>
  <si>
    <t>0195-6671</t>
  </si>
  <si>
    <t>CRETACEOUS RES</t>
  </si>
  <si>
    <t>Cretac. Res.</t>
  </si>
  <si>
    <t>10.1016/j.cretres.2010.11.006</t>
  </si>
  <si>
    <t>Geology; Paleontology</t>
  </si>
  <si>
    <t>724FS</t>
  </si>
  <si>
    <t>WOS:000287562100006</t>
  </si>
  <si>
    <t>Brady, AM</t>
  </si>
  <si>
    <t>Brady, Anne-Marie</t>
  </si>
  <si>
    <t>New Zealand's strategic interests in Antarctica</t>
  </si>
  <si>
    <t>New Zealand has important strategic interests in Antarctica that are as much about geography and the country's geostrategic needs, as they are about history and the politics of maintaining rights gained in an earlier era. This paper outlines the reasons behind New Zealand's involvement in and commitment to Antarctica; profiles the various bodies involved in maintaining and negotiating New Zealand's Antarctic presence and voice on Antarctic affairs; and discusses New Zealand's core interests in the Antarctic continent that help to shape its Antarctic policy.</t>
  </si>
  <si>
    <t>Univ Canterbury, Sch Social &amp; Polit Sci, Christchurch 8140, New Zealand</t>
  </si>
  <si>
    <t>University of Canterbury</t>
  </si>
  <si>
    <t>Brady, AM (corresponding author), Univ Canterbury, Sch Social &amp; Polit Sci, Private Bag 4800, Christchurch 8140, New Zealand.</t>
  </si>
  <si>
    <t>anne-marie.brady@canterbury.ac.nz</t>
  </si>
  <si>
    <t>10.1017/S0032247410000148</t>
  </si>
  <si>
    <t>WOS:000287635200002</t>
  </si>
  <si>
    <t>Codling, R</t>
  </si>
  <si>
    <t>Codling, Rosamunde</t>
  </si>
  <si>
    <t>Player's Antarctic cigarette cards and the involvement of 'Teddy' Evans</t>
  </si>
  <si>
    <t>During World War 1 John Player &amp; Sons issued two series of cigarette cards, both entitled 'Polar Exploration'. The first, probably issued in 1915, covered both Arctic and Antarctic subjects, but the second, issued in 1916, confined itself to the southern continent. Eight cards from the first series were derived from Shackleton's book The heart of the Antarctic. Commander E.R.G.R. 'Teddy' Evans, captain of R.F. Scott's vessel Terra Nova, was responsible for both the illustrations and texts of the cards in the second series.</t>
  </si>
  <si>
    <t>Codling, R (corresponding author), 4 Church St, Wymondham NR18 0PH, Norfolk, England.</t>
  </si>
  <si>
    <t>rosamunde@codling3.wanadoo.co.uk</t>
  </si>
  <si>
    <t>10.1017/S0032247410000276</t>
  </si>
  <si>
    <t>WOS:000287635200006</t>
  </si>
  <si>
    <t>Habura, A; Hou, YB; Reilly, AA; Bowser, SS</t>
  </si>
  <si>
    <t>Habura, Andrea; Hou, Yubo; Reilly, Andrew A.; Bowser, Samuel S.</t>
  </si>
  <si>
    <t>High-throughput sequencing of Astrammina rara: Sampling the giant genome of a giant foraminiferan protist</t>
  </si>
  <si>
    <t>BMC GENOMICS</t>
  </si>
  <si>
    <t>RETICULOMYXA; PHYLOGENY; TRANSPORT; CERCOZOA; ORIGIN; GENES</t>
  </si>
  <si>
    <t>Background: Foraminiferan protists, which are significant players in most marine ecosystems, are also genetic innovators, harboring unique modifications to proteins that make up the basic eukaryotic cell machinery. Despite their ecological and evolutionary importance, foraminiferan genomes are poorly understood due to the extreme sequence divergence of many genes and the difficulty of obtaining pure samples: exogenous DNA from ingested food or ecto/endo symbionts often vastly exceed the amount of native DNA, and foraminiferans cannot be cultured axenically. Few foraminiferal genes have been sequenced from genomic material, although partial sequences of coding regions have been determined by EST studies and mass spectroscopy. The lack of genomic data has impeded evolutionary and cell-biology studies and has also hindered our ability to test ecological hypotheses using genetic tools. Results: 454 sequence analysis was performed on a library derived from whole genome amplification of microdissected nuclei of the Antarctic foraminiferan Astrammina rara. Xenogenomic sequence, which was shown not to be of eukaryotic origin, represented only 12% of the sample. The first foraminiferal examples of important classes of genes, such as tRNA genes, are reported, and we present evidence that sequences of mitochondrial origin have been translocated to the nucleus. The recovery of a 3' UTR and downstream sequence from an actin gene suggests that foraminiferal mRNA processing may have some unusual features. Finally, the presence of a co-purified bacterial genome in the library also permitted the first calculation of the size of a foraminiferal genome by molecular methods, and statistical analysis of sequence from different genomic sources indicates that low-complexity tracts of the genome may be endoreplicated in some stages of the foraminiferal life cycle. Conclusions: These data provide the first window into genomic organization and genetic control in these organisms, and also complement and expands upon information about foraminiferal genes based on EST projects. The genomic data obtained are informative for environmental and cell-biological studies, and will also be useful for efforts to understand relationships between foraminiferans and other protists.</t>
  </si>
  <si>
    <t>[Habura, Andrea] New York State Dept Hlth, Div Infect Dis, Wadsworth Ctr, Albany, NY 12201 USA; [Hou, Yubo; Bowser, Samuel S.] New York State Dept Hlth, Div Translat Med, Wadsworth Ctr, Albany, NY 12201 USA; [Reilly, Andrew A.] New York State Dept Hlth, Div Lab Operat, Wadsworth Ctr, Albany, NY 12201 USA; [Habura, Andrea] SUNY Albany, Dept Biomed Sci, Sch Publ Hlth, Albany, NY 12201 USA</t>
  </si>
  <si>
    <t>Wadsworth Center; State University of New York (SUNY) System; State University of New York (SUNY) System; Wadsworth Center; Wadsworth Center; State University of New York (SUNY) System; State University of New York (SUNY) System; State University of New York (SUNY) Albany</t>
  </si>
  <si>
    <t>Habura, A (corresponding author), New York State Dept Hlth, Div Infect Dis, Wadsworth Ctr, POB 509, Albany, NY 12201 USA.</t>
  </si>
  <si>
    <t>habura@wadsworth.org</t>
  </si>
  <si>
    <t>Wadsworth Center; National Science Foundation [ANT-0739583, ANT-0944646]; Directorate For Geosciences; Office of Polar Programs (OPP) [0739583, 0944646] Funding Source: National Science Foundation</t>
  </si>
  <si>
    <t>Wadsworth Center; National Science Foundation(National Science Foundation (NSF)); Directorate For Geosciences; Office of Polar Programs (OPP)(National Science Foundation (NSF)NSF - Directorate for Geosciences (GEO))</t>
  </si>
  <si>
    <t>We thank J. Pawlowski for field assistance, L. W. Parfrey for field assistance and for her valuable comments on the manuscript, A. Andreas and A. Serafini for help in the laboratory, Alexey Khodjakov for assistance with fluorescence microscopy, and S. Harper, D. Huang, and H. Kaiser for research diving in extreme conditions. We thank the staff of the National Science Foundation Office of Polar Programs, Raytheon Polar Services Corporation, and Petroleum Helicopters Incorporated for logistic support. We are also grateful for the assistance of the Wadsworth Center Applied Genomic Technologies Core, to Christine Holmes and David Mark Welch of the Marine Biological Laboratory for facilitating 454 sequencing, and to the Wadsworth Center for providing funding for the sequencing effort. This work was supported in part by grants from the National Science Foundation (ANT-0739583 and ANT-0944646).</t>
  </si>
  <si>
    <t>1471-2164</t>
  </si>
  <si>
    <t>BMC Genomics</t>
  </si>
  <si>
    <t>MAR 31</t>
  </si>
  <si>
    <t>10.1186/1471-2164-12-169</t>
  </si>
  <si>
    <t>Biotechnology &amp; Applied Microbiology; Genetics &amp; Heredity</t>
  </si>
  <si>
    <t>752EN</t>
  </si>
  <si>
    <t>WOS:000289672400002</t>
  </si>
  <si>
    <t>Lu, H; Jarvis, MJ</t>
  </si>
  <si>
    <t>Lu, Hua; Jarvis, Martin J.</t>
  </si>
  <si>
    <t>Is the stratospheric quasi-biennial oscillation affected by solar wind dynamic pressure via an annual cycle modulation?</t>
  </si>
  <si>
    <t>ATMOSPHERIC RESPONSE; EQUATORIAL QBO; WATER-VAPOR; ZONAL WINDS; MODEL; PRECIPITATION; VARIABILITY; CIRCULATION; CLIMATE; SIGNAL</t>
  </si>
  <si>
    <t>In this study, statistical evidence of a possible modulation of the equatorial stratospheric quasi-biennial oscillation (QBO) by the solar wind dynamic pressure is provided. When solar wind dynamic pressure is high, the QBO at 30-70 hPa is found to be preferably more easterly during July-October. These lower stratospheric easterly anomalies are primarily linked to the high-frequency component of solar wind dynamic pressure with periods shorter than 3 years. In annually and seasonally aggregated daily averages, the signature of solar wind dynamic pressure in the equatorial zonal wind is characterized by a vertical three-cell anomaly pattern with westerly anomalies in both the troposphere and the upper stratosphere and easterly anomalies in the lower stratosphere. This anomalous behavior in tropical winds is accompanied by a downward propagation of positive temperature anomalies from the upper stratosphere to the lower stratosphere over a period of a year. These results suggest that the solar wind dynamic pressure exerts a seasonal change of the tropical upwelling that results in a systemic modulation of the annual cycle in the lower stratospheric temperature, which in turn affects the QBO during austral late winter and spring.</t>
  </si>
  <si>
    <t>[Lu, Hua; Jarvis, Martin J.] British Antarctic Survey, Cambridge CB3 0ET, England</t>
  </si>
  <si>
    <t>hlu@bas.ac.uk; mjja@bas.ac.uk</t>
  </si>
  <si>
    <t>Lu, Hua/GXA-0276-2022</t>
  </si>
  <si>
    <t>Lu, Hua/0000-0001-9485-5082</t>
  </si>
  <si>
    <t>MAR 30</t>
  </si>
  <si>
    <t>D06117</t>
  </si>
  <si>
    <t>10.1029/2010JD014781</t>
  </si>
  <si>
    <t>744HO</t>
  </si>
  <si>
    <t>WOS:000289085700002</t>
  </si>
  <si>
    <t>McDonald, AJ; Hibbins, RE; Jarvis, MJ</t>
  </si>
  <si>
    <t>McDonald, A. J.; Hibbins, R. E.; Jarvis, M. J.</t>
  </si>
  <si>
    <t>Properties of the quasi 16 day wave derived from EOS MLS observations</t>
  </si>
  <si>
    <t>SOUTHERN-HEMISPHERE STRATOSPHERE; PLANETARY-WAVES; INTERANNUAL VARIABILITY; LOWER THERMOSPHERE; MIDDLE ATMOSPHERE; TRAVELING-WAVES; ROSSBY WAVES; LARGE-SCALE; 2-DAY WAVE; TEMPERATURE</t>
  </si>
  <si>
    <t>This paper describes the use of EOS Microwave Limb Sounder (MLS) data to observe the field of traveling planetary waves with quasi 16 day periods. This study utilizes MLS v2.2 temperature and geopotential data between 1 January 2005 and 31 December 2008 in the range 316 hPa to 0.001 hPa (approximately 8 to 97 km) to examine these waves. Analysis demonstrates that the quasi 16 day wavefield is made up of a number of components with westward and eastward propagating s = 1 and s = 2 waves generally dominant. In the Northern Hemisphere the westward and eastward propagating s = 1 waves have similar magnitudes and are larger than the other modes, while in the Southern Hemisphere, the eastward propagating s = 1 and s = 2 waves are larger than the westward propagating wave modes. All of the modes examined display strong seasonal patterns in the temperature amplitude, significant variability in the wave activity from year to year, and the presence of strong pulse-like patterns in the activity. All of the modes also display large median temperature amplitudes poleward of 40 degrees in both hemispheres. Our analysis also demonstrates that the variability in winter from year to year is larger in the Northern Hemisphere than the Southern Hemisphere. Detailed study also suggests that the exclusion of waves from regions of negative refractive index squared likely forms much of the seasonal pattern observed. Thus, regions of strong westward wind speeds effectively exclude vertically propagating waves as expected from theory. The reflection and absorption of waves associated with critical lines is also likely to explain the frequent occurrence of standing wave patterns in the EOS MLS temperature observations. This study highlights the potential of MLS observations for observing waves from the upper troposphere to the lower mesosphere.</t>
  </si>
  <si>
    <t>[McDonald, A. J.] Univ Canterbury, Dept Phys &amp; Astron, Christchurch 8140, New Zealand; [Hibbins, R. E.; Jarvis, M. J.] British Antarctic Survey, Cambridge CB3 0ET, England</t>
  </si>
  <si>
    <t>University of Canterbury; UK Research &amp; Innovation (UKRI); Natural Environment Research Council (NERC); NERC British Antarctic Survey</t>
  </si>
  <si>
    <t>McDonald, AJ (corresponding author), Univ Canterbury, Dept Phys &amp; Astron, Private Bag 4800, Christchurch 8140, New Zealand.</t>
  </si>
  <si>
    <t>adrian.mcdonald@canterbury.ac.nz</t>
  </si>
  <si>
    <t>McDonald, Adrian/0000-0002-1456-6254; Hibbins, Robert/0000-0002-6867-2255</t>
  </si>
  <si>
    <t>BAS; University of Canterbury; NERC [bas0100023] Funding Source: UKRI; Natural Environment Research Council [bas0100023] Funding Source: researchfish</t>
  </si>
  <si>
    <t>BAS; University of Canterbury; NERC(UK Research &amp; Innovation (UKRI)Natural Environment Research Council (NERC)); Natural Environment Research Council(UK Research &amp; Innovation (UKRI)Natural Environment Research Council (NERC))</t>
  </si>
  <si>
    <t>Some of this work was carried out at the British Antarctic Survey (BAS) during a sabbatical visit by A.J.M., and this was made possible by funding from BAS and the University of Canterbury. The EOS MLS data were provided by the Jet Propulsion Laboratory/NASA via their Web site.</t>
  </si>
  <si>
    <t>MAR 26</t>
  </si>
  <si>
    <t>D06112</t>
  </si>
  <si>
    <t>10.1029/2010JD014719</t>
  </si>
  <si>
    <t>741LY</t>
  </si>
  <si>
    <t>WOS:000288866400001</t>
  </si>
  <si>
    <t>Tiwari, M; Mohan, R; Meloth, T; Naik, SS; Sudhakar, M</t>
  </si>
  <si>
    <t>Tiwari, Manish; Mohan, Rahul; Meloth, Thamban; Naik, Sushant S.; Sudhakar, M.</t>
  </si>
  <si>
    <t>Effect of varying frontal systems on stable oxygen and carbon isotopic compositions of modern planktic foraminifera of Southern Ocean</t>
  </si>
  <si>
    <t>Carbon isotopes; foraminifera; oxygen isotopes; Southern Ocean</t>
  </si>
  <si>
    <t>SEDIMENT TRAPS; INDIAN SECTOR; VERTICAL-DISTRIBUTION; WATER MASSES; SEASONALITY; VARIABILITY; DELTA-O-18</t>
  </si>
  <si>
    <t>Studies have been carried out in the Atlantic and Pacific sectors of the Southern Ocean regarding the movement of its fronts (water-masses boundaries) with changing climate and other oceanic parameters. But the Indian sector of the Southern Ocean has received little attention. To fill in this lacuna, during the first Indian expedition to Southern Ocean in 2004, plankton net samples, sediment cores and other physical oceanographic parameters were collected. Here, we present the isotopic results obtained from planktic foraminifera from the plankton net samples and surface sediments. We find that, in this region too, planktic foraminifera secrete their shells in isotopic equilibrium with seawater and the planktic foraminifera from the core top sediments yield values akin to that obtained from plankton net samples. It implies that planktic foraminifera preserved in sediments record overlying seawater signatures in this sector. Thus, down-core foraminiferal isotopic data from the Indian sector of the Southern Ocean can be used as a proxy for reconstructing the temporal variations of different water masses.</t>
  </si>
  <si>
    <t>[Tiwari, Manish; Mohan, Rahul; Meloth, Thamban; Naik, Sushant S.; Sudhakar, M.] Natl Ctr Antarctic &amp; Ocean Res, Vasco Da Gama 403804, Goa, India</t>
  </si>
  <si>
    <t>Tiwari, M (corresponding author), Natl Ctr Antarctic &amp; Ocean Res, Vasco Da Gama 403804, Goa, India.</t>
  </si>
  <si>
    <t>manish@ncaor.org</t>
  </si>
  <si>
    <t>Thamban, Meloth/0000-0003-3379-8189; Tiwari, Manish/0000-0003-3143-1658</t>
  </si>
  <si>
    <t>NCAOR [041/2010]</t>
  </si>
  <si>
    <t>NCAOR</t>
  </si>
  <si>
    <t>We thank Director, NCAOR for support and the Research Advisory Council for scientific advice. We also thank shipboard personnel of SK-200. B. L. Redkar and S. Kerkar are thanked for supporting in the laboratory. This is NCAOR contribution no. 041/2010.</t>
  </si>
  <si>
    <t>MAR 25</t>
  </si>
  <si>
    <t>742BK</t>
  </si>
  <si>
    <t>WOS:000288912900025</t>
  </si>
  <si>
    <t>Garcia, CAE; Garcia, VMT; Dogliotti, AI; Ferreira, A; Romero, SI; Mannino, A; Souza, MS; Mata, MM</t>
  </si>
  <si>
    <t>Eiras Garcia, Carlos Alberto; Tavano Garcia, Virginia Maria; Dogliotti, Ana Ines; Ferreira, Amabile; Romero, Silvia I.; Mannino, Antonio; Souza, Marcio S.; Mata, Mauricio M.</t>
  </si>
  <si>
    <t>Environmental conditions and bio-optical signature of a coccolithophorid bloom in the Patagonian shelf</t>
  </si>
  <si>
    <t>EASTERN ENGLISH-CHANNEL; CENTRAL NORTH-ATLANTIC; CHLOROPHYLL-A; LIGHT-SCATTERING; OPTICAL BACKSCATTERING; SOUTHWESTERN ATLANTIC; PARTICLE COMPOSITION; SOUTH ATLANTIC; ORGANIC-CARBON; CASE-I</t>
  </si>
  <si>
    <t>In January 2008, a patch of high reflectance detected by ocean color satellite images was sampled during a cruise over the southern Argentinean continental shelf. High calcite concentrations (particulate inorganic carbon (PIC)) found at the patch were associated with dominance of the coccolithophorid Emiliania huxleyi. Relatively low chlorophyll concentrations (0.29 to 1.48 mg m(-3)) were found, but both particulate attenuation (0.27 to 1.15 m(-1)) and backscattering coefficients at 660 nm (0.003 to 0.042 m(-1)) were noticeably high. Particulate inorganic to organic carbon (POC) ratio (PIC: POC) was highly variable (0.02 to 1.1), but mostly high, showing a significant correlation with particulate backscattering coefficient at 660 nm (r = 0.83, p &lt; 0.005). The spectral dependency of the backscattering coefficient followed Gordon et al. (2009). Both the time evolution analyses of normalized water leaving radiance at 551 nm (nLw551) and the high PIC: POC ratios suggested an advanced stage of the coccolithophorid bloom, therefore with high detached coccoliths:cell ratios. Moreover, this was supported by a strong correlation between PIC and both particulate backscattering (r = 0.81, p &lt; 0.005) and particulate beam attenuation coefficient (r = 0.7, p &lt; 0.05). Remote sensing reflectance data were strongly related to particle backscattering and backscattering ratio, but not to absorption. NASA operational algorithms overestimated chlorophyll by a factor of similar to 2 and estimated PIC with a relatively high root-mean-square (RMS) error (RMS = 97.9 mu g PIC L-1). Better estimates of PIC values (RMS = 81.5 mu g PIC L-1) were achieved when we used the original PIC-specific backscattering coefficient (Balch et al., 2005).</t>
  </si>
  <si>
    <t>[Eiras Garcia, Carlos Alberto; Tavano Garcia, Virginia Maria; Ferreira, Amabile; Souza, Marcio S.; Mata, Mauricio M.] Univ Fed Rio Grande, Inst Oceanog, Rio Grande, Brazil; [Dogliotti, Ana Ines] Ciudad Sanitaria &amp; Univ Vall Hebron, Inst Astron Fis Espacio, Buenos Aires, DF, Argentina; [Romero, Silvia I.] Serv Hidrog Naval, Buenos Aires, DF, Argentina; [Mannino, Antonio] NASA, Goddard Space Flight Ctr, Greenbelt, MD 20771 USA</t>
  </si>
  <si>
    <t>Universidade Federal do Rio Grande; Instituto de Astronomia y Fisica del Espacio (IAFE); Servicio de Hidrografia Naval; National Aeronautics &amp; Space Administration (NASA); NASA Goddard Space Flight Center</t>
  </si>
  <si>
    <t>Garcia, CAE (corresponding author), Univ Fed Rio Grande, Inst Oceanog, Rio Grande, Brazil.</t>
  </si>
  <si>
    <t>Mannino, Antonio/I-3633-2014; Ferreira, Amabile/H-8245-2013; de Souza, Márcio Silva/AAR-5757-2021; Garcia, Carlos A. E./K-7382-2012; Tavano, Virginia/C-5241-2013; Mata, Mauricio/H-4605-2011</t>
  </si>
  <si>
    <t>de Souza, Márcio Silva/0000-0003-1572-9307; Romero, Silvia Ines/0000-0001-7744-6391; Tavano, Virginia/0000-0003-0039-8111; Mata, Mauricio/0000-0002-9028-8284</t>
  </si>
  <si>
    <t>Ministry of Science and Technology (MCT); CNPq (Brazilian National Council on Research and Development) [520189/2006-0]; GSFC/NASA [OCEANS/04123400362]</t>
  </si>
  <si>
    <t>Ministry of Science and Technology (MCT); CNPq (Brazilian National Council on Research and Development)(Conselho Nacional de Desenvolvimento Cientifico e Tecnologico (CNPQ)); GSFC/NASA(National Aeronautics &amp; Space Administration (NASA))</t>
  </si>
  <si>
    <t>The Patagonian Experiment (PATEX) is a multidisciplinary project part of the Group of High Latitude Oceanography (GOAL) activities in the Brazilian Antarctic Program. We thank the crew of the Brazilian Navy RV Ary Rongel for their assistance during the field sampling. We also acknowledge the Servicio de Hidrografia Naval (Argentina) for their cooperation in obtaining clearance for carrying out field work within Argentinean EEZ. We thank Michael Novak at NASA/GSFC for analyzing the POC and PIC samples. The cruise PATEX 5 was conducted under the umbrella of the project Southern Ocean Studies for Understanding Climate Changes Issues (SOS-CLIMATE), a Brazilian contribution to the International Polar Year. We would like to thank two anonymous reviewers whose criticisms and suggestions have improved this manuscript. The project was sponsored through the funding resources of Ministry of Science and Technology (MCT) and CNPq (Brazilian National Council on Research and Development, grant 520189/2006-0) to the Brazilian Antarctic Program (PROANTAR). This work was partly supported by GSFC/NASA through the project OCEANS/04123400362. Ocean color images were provided by and processed at the Goddard Space Flight Center (GSFC).</t>
  </si>
  <si>
    <t>C03025</t>
  </si>
  <si>
    <t>10.1029/2010JC006595</t>
  </si>
  <si>
    <t>741LZ</t>
  </si>
  <si>
    <t>WOS:000288866500001</t>
  </si>
  <si>
    <t>Bell, RE; Ferraccioli, F; Creyts, TT; Braaten, D; Corr, H; Das, I; Damaske, D; Frearson, N; Jordan, T; Rose, K; Studinger, M; Wolovick, M</t>
  </si>
  <si>
    <t>Bell, Robin E.; Ferraccioli, Fausto; Creyts, Timothy T.; Braaten, David; Corr, Hugh; Das, Indrani; Damaske, Detlef; Frearson, Nicholas; Jordan, Thomas; Rose, Kathryn; Studinger, Michael; Wolovick, Michael</t>
  </si>
  <si>
    <t>Widespread Persistent Thickening of the East Antarctic Ice Sheet by Freezing from the Base</t>
  </si>
  <si>
    <t>LAKE VOSTOK</t>
  </si>
  <si>
    <t>An International Polar Year aerogeophysical investigation of the high interior of East Antarctica reveals widespread freeze-on that drives substantial mass redistribution at the bottom of the ice sheet. Although the surface accumulation of snow remains the primary mechanism for ice sheet growth, beneath Dome A, 24% of the base by area is frozen-on ice. In some places, up to half of the ice thickness has been added from below. These ice packages result from the conductive cooling of water ponded near the Gamburtsev Subglacial Mountain ridges and the supercooling of water forced up steep valley walls. Persistent freeze-on thickens the ice column, alters basal ice rheology and fabric, and upwarps the overlying ice sheet, including the oldest atmospheric climate archive, and drives flow behavior not captured in present models.</t>
  </si>
  <si>
    <t>[Bell, Robin E.; Creyts, Timothy T.; Das, Indrani; Frearson, Nicholas; Wolovick, Michael] Columbia Univ, Lamont Doherty Earth Observ, Palisades, NY 10964 USA; [Ferraccioli, Fausto; Corr, Hugh; Jordan, Thomas; Rose, Kathryn] British Antarctic Survey, Cambridge CB3 0ET, England; [Braaten, David] Univ Kansas, Ctr Remote Sensing Ice Sheets, Lawrence, KS 66045 USA; [Damaske, Detlef] Bundesanstalt Geowissensch &amp; Rohstoffe, D-3000 Hannover, Germany; [Studinger, Michael] Univ Maryland Baltimore Cty, Goddard Earth Sci &amp; Technol Ctr, Baltimore, MD 21228 USA; [Studinger, Michael] NASA, Goddard Space Flight Ctr, Greenbelt, MD USA</t>
  </si>
  <si>
    <t>Columbia University; UK Research &amp; Innovation (UKRI); Natural Environment Research Council (NERC); NERC British Antarctic Survey; University of Kansas; University System of Maryland; University of Maryland Baltimore County; National Aeronautics &amp; Space Administration (NASA); NASA Goddard Space Flight Center; National Aeronautics &amp; Space Administration (NASA); NASA Goddard Space Flight Center</t>
  </si>
  <si>
    <t>Bell, RE (corresponding author), Columbia Univ, Lamont Doherty Earth Observ, Palisades, NY 10964 USA.</t>
  </si>
  <si>
    <t>robinb@ldeo.columbia.edu</t>
  </si>
  <si>
    <t>Wolovick, Michael/JZE-0247-2024; Corr, Hugh/C-5398-2011</t>
  </si>
  <si>
    <t>Wolovick, Michael/0000-0002-9345-7039; Ferraccioli, Fausto/0000-0002-9347-4736; Creyts, Timothy/0000-0003-1756-5211; Jordan, Tom/0000-0003-2780-1986; Studinger, Michael/0000-0003-1265-4741</t>
  </si>
  <si>
    <t>NERC [bas0100026] Funding Source: UKRI; Natural Environment Research Council [bas0100026] Funding Source: researchfish</t>
  </si>
  <si>
    <t>10.1126/science.1200109</t>
  </si>
  <si>
    <t>739XH</t>
  </si>
  <si>
    <t>WOS:000288754500052</t>
  </si>
  <si>
    <t>Warén, A; Nakano, T; Sellanes, J</t>
  </si>
  <si>
    <t>Waren, Anders; Nakano, Tomoyuki; Sellanes, Javier</t>
  </si>
  <si>
    <t>A new species of Iothia (Gastropoda: Lepetidae) from Chilean methane seeps, with comments on the accompanying gastropod fauna</t>
  </si>
  <si>
    <t>Molecular phylogeny; Chile</t>
  </si>
  <si>
    <t>HYDROTHERMAL VENTS; DEEP-WATER; AREA; PATELLOGASTROPODA; COMMUNITIES; CONCEPCION; INFERENCE; BIVALVIA; LIMPETS; VESICOMYIDAE</t>
  </si>
  <si>
    <t>A new species of the limpet genus Iothia, I. megalodon new species, is described from a cold-seep locality, in central Chile. It differs from other species of Iothia by the enlarged functional radular teeth. Iothia megalodon feeds on bacterial film and sediment as indicated by the gut content. Iothia emarginuloides (Philippi, 1868) is re-instated as the name to be used for the Antarctic South American species previously known as Iothia coppingeri (E.A. Smith, 1881). A COI analysis of eight species of Lepetidae is included to elucidate the generic position of the new species. The gastropod fauna of the type locality, the recently discovered bathyal methane seeps off Central Chile, is reviewed in order to place Iothia megalodon in its ecological context. Margarites huloti Vilvens, 2006, Bathybembix macdonaldi (Dall, 1891), Calliotropis ceciliae Vilvens and Sellanes, 2019, and Cantrainea panamense (Dall, 1908) are known to have relatives in seeps or other chemosynthetic environments. The presence of I. megalodon within this community and its gut content support its inclusion as a member of the seep fauna.</t>
  </si>
  <si>
    <t>[Waren, Anders] Swedish Museum Nat Hist, SE-10405 Stockholm, Sweden; [Nakano, Tomoyuki] Natl Museum Nat &amp; Sci, Dept Geol &amp; Paleontol, Shinjuku Ku, Tokyo 1690073, Japan; [Sellanes, Javier] Univ Catolica Norte, Dept Biol Marina, Larrondo 1281, Coquimbo, Chile; [Sellanes, Javier] Univ Concepcion, Ctr Invest Oceanog Pacifico Sur Oriental COPAS, Concepcion, Chile</t>
  </si>
  <si>
    <t>Swedish Museum of Natural History; National Museum of Nature and Science; Universidad Catolica del Norte; Universidad de Concepcion</t>
  </si>
  <si>
    <t>Warén, A (corresponding author), Swedish Museum Nat Hist, Box 50007, SE-10405 Stockholm, Sweden.</t>
  </si>
  <si>
    <t>anders.waren@nrm.se; tomo@kahaku.go.jp; sellanes@ucn.ci</t>
  </si>
  <si>
    <t>Sellanes, Javier/I-5722-2012; Sellanes, Javier/P-4699-2019</t>
  </si>
  <si>
    <t>Sellanes, Javier/0000-0002-6942-0762; Sellanes, Javier/0000-0002-6942-0762</t>
  </si>
  <si>
    <t>FONDECYT [1061217, 110066]</t>
  </si>
  <si>
    <t>FONDECYT(Comision Nacional de Investigacion Cientifica y Tecnologica (CONICYT)CONICYT FONDECYT)</t>
  </si>
  <si>
    <t>AW thanks the Magnus Bergvall Foundation for economic support. We all thank the Captain and crew of R/V VIDAL GORMAZ, who made this project possible. Diego Zelaya, Museo de La Plata, Argentina; Enrico Schwabe. Zoologische Staatssammlung, Munchen. Germany; Fredrik Pleijel. Stromstad, Sweden. Takuma Haga. National Museum of Nature and Science. Tokyo. Japan. and Shigeo Higuchi. Sendai, Japan contributed important specimens for the taxonomical work. Support to JS was provided by FONDECYT projects 1061217 and 110066.</t>
  </si>
  <si>
    <t>MAR 24</t>
  </si>
  <si>
    <t>743MU</t>
  </si>
  <si>
    <t>WOS:000289023200001</t>
  </si>
  <si>
    <t>Alexander, SP; Klekociuk, AR; Pitts, MC; McDonald, AJ; Arevalo-Torres, A</t>
  </si>
  <si>
    <t>Alexander, S. P.; Klekociuk, A. R.; Pitts, M. C.; McDonald, A. J.; Arevalo-Torres, A.</t>
  </si>
  <si>
    <t>The effect of orographic gravity waves on Antarctic polar stratospheric cloud occurrence and composition</t>
  </si>
  <si>
    <t>NITRIC-ACID TRIHYDRATE; MOUNTAIN WAVES; ARCTIC STRATOSPHERE; OZONE DEPLETION; DENITRIFICATION; MICROPHYSICS; CHEMISTRY; SATELLITE; CALIPSO; SYSTEM</t>
  </si>
  <si>
    <t>A seasonal analysis of the relationship between mesoscale orographic gravity wave activity and polar stratospheric cloud (PSC) composition occurrence around the whole of Antarctica is presented. Gravity wave variances are derived from temperature measurements made with the Constellation Observing System for Meteorology, Ionosphere and Climate (COSMIC) Global Positioning System Radio Occultation (GPS-RO) satellites. Data from the Cloud-Aerosol Lidar with Orthogonal Polarization (CALIOP) instrument onboard the Cloud-Aerosol Lidar and Infrared Pathfinder Satellite Observations (CALIPSO) satellite are used to determine the PSC composition class distribution and spatial volume. The results show intermittent large wave activity above the Antarctic Peninsula which is coincident with large volumes of H2O ice PSCs. These ice PSC volumes advect downstream, where increases in nitric acid trihydrate (NAT) PSC volumes occur, supporting the mountain wave seeding hypothesis. During winter 2007 in the latitude range 60 degrees S-70 degrees S, near the edge of the vortex and where temperatures are close to PSC formation thresholds, 30% of all PSCs are attributable to orographic gravity waves. In the separate composition classes, around 50% of both H2O ice PSCs and a high NAT number density liquid-NAT mixture class of PSCs are due to these waves. While we show that planetary waves are the major determinant of PSC presence at temperatures close to the NAT formation threshold, we also demonstrate the important role of mesoscale, intermittent orographic gravity wave activity in accounting for the composition and distribution of PSCs around Antarctica.</t>
  </si>
  <si>
    <t>[Alexander, S. P.; Klekociuk, A. R.] Australian Antarctic Div, Kingston, Tas 7050, Australia; [Pitts, M. C.] NASA, Langley Res Ctr, Hampton, VA 23681 USA; [McDonald, A. J.; Arevalo-Torres, A.] Univ Canterbury, Dept Phys &amp; Astron, Christchurch 8020, New Zealand</t>
  </si>
  <si>
    <t>Australian Antarctic Division; National Aeronautics &amp; Space Administration (NASA); NASA Langley Research Center; University of Canterbury</t>
  </si>
  <si>
    <t>Klekociuk, Andrew/0000-0003-3335-0034; Alexander, Simon/0000-0001-6823-8857; McDonald, Adrian/0000-0002-1456-6254</t>
  </si>
  <si>
    <t>Antarctica New Zealand; University of Canterbury; SEP-DRGI</t>
  </si>
  <si>
    <t>The CALIPSO CALIOP v2.01 level 1B profile data products were obtained through the NASA Langley Atmospheric Science Data Center (ASDC). The COSMIC version 2.0 dry temperature data from the COSMIC Data Analysis and Archive Center (CDAAC). Aura MLS data used in this study were acquired as part of NASA's Earth-Sun System Division and archived and distributed by the Goddard Earth Sciences (GES) Data and Information Services Center (DISC) Distributed Active Archive Center (DAAC). This research was conducted for projects 737 and 3140 of the Australian Antarctic program and partially supported by Antarctica New Zealand. One of the authors (A.A.-T.) is supported under a University of Canterbury and SEP-DRGI postgraduate research fund. We thank three anonymous reviewers for their valuable comments on an earlier version of this manuscript.</t>
  </si>
  <si>
    <t>MAR 23</t>
  </si>
  <si>
    <t>D06109</t>
  </si>
  <si>
    <t>10.1029/2010JD015184</t>
  </si>
  <si>
    <t>741LR</t>
  </si>
  <si>
    <t>WOS:000288865700003</t>
  </si>
  <si>
    <t>Collier, AB; Lichtenberger, J; Clilverd, MA; Rodger, CJ; Steinbach, P</t>
  </si>
  <si>
    <t>Collier, A. B.; Lichtenberger, J.; Clilverd, M. A.; Rodger, C. J.; Steinbach, P.</t>
  </si>
  <si>
    <t>Source region for whistlers detected at Rothera, Antarctica</t>
  </si>
  <si>
    <t>LIGHTNING-LOCATION; VLF PROPAGATION; UNITED-STATES; WAVES; ELECTRON; MODE; FREQUENCY; NETWORK; SYSTEM; EARTH</t>
  </si>
  <si>
    <t>The accepted mechanism for whistler generation implicitly assumes that the causative lightning stroke occurs within reasonable proximity to the conjugate foot point of the guiding magnetic field line and that nighttime whistlers are prevalent because of low transionospheric attenuation. However, these assumptions are not necessarily valid. In this study we consider whistler observations from Rothera, a station on the Antarctic Peninsula, and contrast their occurrence with global lightning activity from the World Wide Lightning Location Network. The correlation of one-hop whistlers observed at Rothera with global lightning yields a few regions of significant positive correlation. The most probable source region was found over the Gulf Stream, displaced slightly equatorward from the conjugate point. The proximity of the source region to the conjugate point is in accord with the broadly accepted whistler production mechanism. However, there is an unexpected bias toward oceanic lightning rather than the nearby continental lightning. The relationship between the diurnal pattern of the Rothera whistlers and the conjugate lightning exhibits anomalous features which have yet to be resolved: the peak whistler rate occurs when it is daytime at both the source and the receiver and when source lightning activity is at its lowest. As a result, we propose that preferential whistler-wave amplification in the morning sector is a possible cause of the high whistler occurrence, although this does not account for the bias toward oceanic lightning.</t>
  </si>
  <si>
    <t>[Collier, A. B.] Hermanus Magnet Observ, ZA-7200 Hermanus, South Africa; [Clilverd, M. A.] British Antarctic Survey, Div Phys Sci, Cambridge CB3 0ET, England; [Lichtenberger, J.] Eotvos Lorand Univ, Space Res Grp, H-1518 Budapest, Hungary; [Rodger, C. J.] Univ Otago, Dept Phys, Dunedin 9054, New Zealand; [Steinbach, P.] Eotvos Lorand Univ, Hungarian Acad Sci, Res Grp Geol Geophys &amp; Space Sci, H-1518 Budapest, Hungary; [Collier, A. B.] Univ KwaZulu Natal, Sch Phys, Durban, South Africa</t>
  </si>
  <si>
    <t>Council for Scientific &amp; Industrial Research (CSIR) - South Africa; UK Research &amp; Innovation (UKRI); Natural Environment Research Council (NERC); NERC British Antarctic Survey; Eotvos Lorand University; University of Otago; Eotvos Lorand University; Hungarian Academy of Sciences; University of Kwazulu Natal</t>
  </si>
  <si>
    <t>Collier, AB (corresponding author), Hermanus Magnet Observ, POB 32, ZA-7200 Hermanus, South Africa.</t>
  </si>
  <si>
    <t>collierab@gmail.com; lityi@sas.elte.hu; macl@bas.ac.uk; crodger@physics.otago.ac.nz; steinb@sas.elte.hu</t>
  </si>
  <si>
    <t>Collier, Andrew B/H-3752-2011; Rodger, Craig/A-1501-2011; Lichtenberger, Janos/K-1034-2018</t>
  </si>
  <si>
    <t>Lichtenberger, Janos/0000-0001-9175-9255; Rodger, Craig J./0000-0002-6770-2707; Steinbach, Peter/0000-0003-2524-8494</t>
  </si>
  <si>
    <t>A03219</t>
  </si>
  <si>
    <t>10.1029/2010JA016197</t>
  </si>
  <si>
    <t>741OK</t>
  </si>
  <si>
    <t>WOS:000288872800007</t>
  </si>
  <si>
    <t>Lannuzel, D; Bowie, AR; van der Merwe, PC; Townsend, AT; Schoemann, V</t>
  </si>
  <si>
    <t>Lannuzel, Delphine; Bowie, Andrew R.; van der Merwe, Pier C.; Townsend, Ashley T.; Schoemann, Veronique</t>
  </si>
  <si>
    <t>Distribution of dissolved and particulate metals in Antarctic sea ice</t>
  </si>
  <si>
    <t>MARINE CHEMISTRY</t>
  </si>
  <si>
    <t>Bioactive metals; Biogeochemistry; Pack ice; Southern Ocean</t>
  </si>
  <si>
    <t>ROSS SEA; SOUTHERN-OCEAN; TRACE-METALS; IRON LIMITATION; TEMPORAL DISTRIBUTION; WATER COLUMN; CADMIUM; CU; PHOSPHATE; MANGANESE</t>
  </si>
  <si>
    <t>Samples were collected in East Antarctic sea ice in late winter/early austral spring 2007 to assess the distributions of Al, Cr, Mn, Cu, Zn, Mo. Cd and Ba. Total dissolved (&lt;02 mu m) and particulate (&gt;0.2 mu m) concentrations were measured by Inductively Coupled Plasma-Sector Field Mass Spectrometry (ICP-SFMS) in snow, pack ice and fast ice. Particulate concentrations were also determined in underlying seawater for these elements. The concentrations of particulate metals were one to two orders of magnitude higher in sea ice than in snow and seawater, except for Mo and Cr. Barite maxima in sea ice vertical profiles at all sites may indicate heterotrophic activity. Particulate Al and Mn distributions suggest a signal from Antarctica's shelf sediments. Dissolved metals were one order of magnitude higher in sea ice as compared to snow, although they were not enriched in sea ice as compared to data reported in the literature for Antarctic surface waters. An analysis of dissolved-to-total metal ratios showed that all studied metals were found almost exclusively in the dissolved phase in Antarctic pack ice. Dissolved metals distributions indicate that spatial variability does not seem to be strong. Our results also demonstrate that dissolved Al, Cr, Mo and Ba behaved conservatively with bulk ice salinity gradients. This would confirm the main source of trace metals to Antarctic sea ice comes from seawater and not from direct atmospheric deposition. Dissolved bioactive metals Mn, Cu, Zn and Cd concentrations were scattered when plotted against bulk ice salinity, but did not show a seasonal decrease nor reach limitation status. Finally, seasonal ice melt does not seem to contribute significantly to the supply of dissolved bioactive metals, other than Fe, to Antarctic surface waters. (C) 2011 Elsevier B.V. All rights reserved.</t>
  </si>
  <si>
    <t>[Lannuzel, Delphine] Inst Marine &amp; Antarctic Studies, Hobart, Tas 7000, Australia; [Lannuzel, Delphine; Bowie, Andrew R.; van der Merwe, Pier C.] Univ Tasmania, Antarctic Climate &amp; Ecosyst CRC, Hobart, Tas 7001, Australia; [Townsend, Ashley T.] Univ Tasmania, Cent Sci Lab, Hobart, Tas 7001, Australia; [Schoemann, Veronique] Royal Netherlands Inst Sea Res, Dept Biol Oceanog, NL-1790 AB Den Burg, Texel, Netherlands</t>
  </si>
  <si>
    <t>University of Tasmania; University of Tasmania; University of Tasmania; Utrecht University; Royal Netherlands Institute for Sea Research (NIOZ)</t>
  </si>
  <si>
    <t>Lannuzel, D (corresponding author), Inst Marine &amp; Antarctic Studies, Private Bag 129, Hobart, Tas 7000, Australia.</t>
  </si>
  <si>
    <t>delphine.lannuzel@utas.edu.au</t>
  </si>
  <si>
    <t>Townsend, Ashley/J-7445-2014; Bowie, Andrew/C-8677-2013; lannuzel, delphine/J-7937-2014; van der Merwe, Pier/C-9210-2015</t>
  </si>
  <si>
    <t>Townsend, Ashley/0000-0002-2972-2678; Bowie, Andrew/0000-0002-5144-7799; lannuzel, delphine/0000-0001-6154-1837; van der Merwe, Pier/0000-0002-7428-8030</t>
  </si>
  <si>
    <t>Australian Research Council (ARC); Scientific Committee on Antarctic Research program (SCAR); Australian Government Cooperative Research Centres through Antarctic Climate &amp; Ecosystems (ACE); CRC; Australian Antarctic Science (AAS) [2767, 3026]; NWO-NPP [851.20.046]</t>
  </si>
  <si>
    <t>Australian Research Council (ARC)(Australian Research Council); Scientific Committee on Antarctic Research program (SCAR); Australian Government Cooperative Research Centres through Antarctic Climate &amp; Ecosystems (ACE)(Australian GovernmentDepartment of Industry, Innovation and ScienceCooperative Research Centres (CRC) Programme); CRC(Australian GovernmentDepartment of Industry, Innovation and ScienceCooperative Research Centres (CRC) Programme); Australian Antarctic Science (AAS); NWO-NPP</t>
  </si>
  <si>
    <t>The authors would like to thank the officers and crew of the RV Aurora Australis for their logistic support during the SIPEX voyage. We are grateful to the voyage leader Tony Worby, Klaus Meiners and the SIPEX participants for the field support. We thank Tom Trull, Zanna Chase, Marie-Paule Jouandet and the two anonymous reviewers for their valuable comments on the manuscript. This work was co-funded by the Australian Research Council (ARC), the Scientific Committee on Antarctic Research program (SCAR), the Australian Government Cooperative Research Centres Programme through the Antarctic Climate &amp; Ecosystems (ACE) CRC and Australian Antarctic Science (AAS) projects #2767 and #3026. Dr. Veronique Schoemann was sponsored by an Ernest Frohlich fellowship and financed by NWO-NPP project 851.20.046.</t>
  </si>
  <si>
    <t>0304-4203</t>
  </si>
  <si>
    <t>1872-7581</t>
  </si>
  <si>
    <t>MAR CHEM</t>
  </si>
  <si>
    <t>Mar. Chem.</t>
  </si>
  <si>
    <t>MAR 20</t>
  </si>
  <si>
    <t>10.1016/j.marchem.2011.01.004</t>
  </si>
  <si>
    <t>Chemistry, Multidisciplinary; Oceanography</t>
  </si>
  <si>
    <t>Chemistry; Oceanography</t>
  </si>
  <si>
    <t>758WV</t>
  </si>
  <si>
    <t>WOS:000290199000015</t>
  </si>
  <si>
    <t>Siddaway, JM; Petelina, SV</t>
  </si>
  <si>
    <t>Siddaway, J. M.; Petelina, S. V.</t>
  </si>
  <si>
    <t>Transport and evolution of the 2009 Australian Black Saturday bushfire smoke in the lower stratosphere observed by OSIRIS on Odin</t>
  </si>
  <si>
    <t>BIOMASS BURNING PARTICLES; FOREST-FIRE SMOKE; MOUNT-PINATUBO; SAGE-II; AEROSOLS; SATELLITE; CLIMATOLOGY; RESERVOIR; CLOUDS; IMPACT</t>
  </si>
  <si>
    <t>We report the transport and evolution of the Victorian Black Saturday bushfire smoke plume in the lower stratosphere during the February-June 2009 period. Vertical profiles of limb-scattered spectral solar radiation measured by the Optical Spectrograph and Infrared Imager System (OSIRIS) instrument on the Odin satellite are used for this purpose. According to OSIRIS measurements, the main smoke material penetrated above the tropopause on 11 February 2009. It traveled westward and circled the globe in about 6 weeks from its first detection in the lower stratosphere, remaining in the tropical channel between 5 degrees S and 25 degrees S. The main plume gradually advected from similar to 19 km in mid-February to similar to 22 km in April, with a vertical extent varying from 2 to 6 km. The background radiances at corresponding altitudes and latitudes were subtracted from the plume-containing radiances to obtain net plume peak radiances. The latter parameter, governed by the number, size, and chemical composition of smoke particles, decreased by half every 19 days from 11 February until the end of April 2009. Pollution of the lower stratosphere at 18-22 km altitudes and 5 degrees S-25 degrees S latitudes, caused by the smoke plume dispersion, was up to 35% above the background. By mid-June 2009, OSIRIS radiances at these altitudes and latitudes had almost returned to their background levels.</t>
  </si>
  <si>
    <t>[Siddaway, J. M.; Petelina, S. V.] La Trobe Univ, Dept Phys, Bundoora, Vic 3086, Australia</t>
  </si>
  <si>
    <t>Siddaway, JM (corresponding author), La Trobe Univ, Dept Phys, Bundoora, Vic 3086, Australia.</t>
  </si>
  <si>
    <t>s.petelina@latrobe.edu.au</t>
  </si>
  <si>
    <t>Commonwealth Department of Environment, Water, Heritage and the Arts [2008/02103]</t>
  </si>
  <si>
    <t>Commonwealth Department of Environment, Water, Heritage and the Arts</t>
  </si>
  <si>
    <t>The authors are grateful to M. Fromm (NRL) and D. Degenstein and N. Lloyd (University of Saskatchewan) for valuable discussions. The authors also thank Andrew Klekociuk (Australian Antarctic Division) and Dale Simonich (Instituto Nacional de Pesquisas Espaciais) for sharing lidar results with the pyroCB discussion group. We would also like to thank Chris Mulherin for his kind permission to use his photograph of the Black Saturday bushfires. Odin OSIRIS data are currently provided by the European Space Agency. The archived wind data are freely provided by the European Centre for Medium-Range Weather Forecasts. This work was partly supported by the Commonwealth Department of Environment, Water, Heritage and the Arts, grant 2008/02103.</t>
  </si>
  <si>
    <t>MAR 19</t>
  </si>
  <si>
    <t>D06203</t>
  </si>
  <si>
    <t>10.1029/2010JD015162</t>
  </si>
  <si>
    <t>737YQ</t>
  </si>
  <si>
    <t>WOS:000288606900002</t>
  </si>
  <si>
    <t>Lund, DC; Adkins, JF; Ferrari, R</t>
  </si>
  <si>
    <t>Lund, D. C.; Adkins, J. F.; Ferrari, R.</t>
  </si>
  <si>
    <t>Abyssal Atlantic circulation during the Last Glacial Maximum: Constraining the ratio between transport and vertical mixing</t>
  </si>
  <si>
    <t>WESTERN NORTH-ATLANTIC; ATMOSPHERIC CO2; BENTHIC FORAMINIFERA; OCEAN CIRCULATION; BRAZIL BASIN; MEAN FLOW; WATER; VARIABILITY; RADIOCARBON; VENTILATION</t>
  </si>
  <si>
    <t>The ocean's role in regulating atmospheric carbon dioxide on glacial-interglacial timescales remains an unresolved issue in paleoclimatology. Reduced mixing between deep water masses may have aided oceanic storage of atmospheric CO2 during the Last Glacial Maximum (LGM), but data supporting this idea have remained elusive. The delta C-13 of benthic foraminifera indicate the Atlantic Ocean was more chemically stratified during the LGM, but the nonconservative nature of delta C-13 complicates interpretation of the LGM signal. Here we use benthic foraminiferal delta O-18 as a conservative tracer to constrain the ratio of meridional transport to vertical diffusivity in the deep Atlantic. Our calculations suggest that the ratio was at least twice as large at the LGM. We speculate that the primary cause was reduced mixing between northern and southern component waters, associated with movement of this water mass boundary away from the zone of intense mixing near the seafloor. The shallower water mass boundary yields an order of magnitude increase in the volume of southern component water, suggesting its residence time may have increased substantially. Our analysis supports the idea that an expanded volume of Antarctic Bottom Water and limited vertical mixing enhanced the abyssal ocean's ability to trap carbon during glacial times.</t>
  </si>
  <si>
    <t>[Lund, D. C.] Univ Michigan, Dept Geol Sci, Ann Arbor, MI 48109 USA; [Adkins, J. F.] CALTECH, Div Geol &amp; Planetary Sci, Pasadena, CA 91125 USA; [Ferrari, R.] MIT, Dept Earth Atmospher &amp; Planetary Sci, Cambridge, MA 02139 USA</t>
  </si>
  <si>
    <t>University of Michigan System; University of Michigan; California Institute of Technology; Massachusetts Institute of Technology (MIT)</t>
  </si>
  <si>
    <t>Lund, DC (corresponding author), Univ Michigan, Dept Geol Sci, 2534 CC Little Bldg,1100 N Univ Ave, Ann Arbor, MI 48109 USA.</t>
  </si>
  <si>
    <t>dclund@umich.edu</t>
  </si>
  <si>
    <t>Adkins, Jess/GYI-8778-2022; Ferrari, Raffaele/C-9337-2013</t>
  </si>
  <si>
    <t>Ferrari, Raffaele/0000-0002-3736-1956</t>
  </si>
  <si>
    <t>Directorate For Geosciences; Div Atmospheric &amp; Geospace Sciences [0903099] Funding Source: National Science Foundation</t>
  </si>
  <si>
    <t>Directorate For Geosciences; Div Atmospheric &amp; Geospace Sciences(National Science Foundation (NSF)NSF - Directorate for Geosciences (GEO))</t>
  </si>
  <si>
    <t>PA1213</t>
  </si>
  <si>
    <t>10.1029/2010PA001938</t>
  </si>
  <si>
    <t>737YO</t>
  </si>
  <si>
    <t>WOS:000288606700001</t>
  </si>
  <si>
    <t>Park, I; Cho, J</t>
  </si>
  <si>
    <t>Park, Inkyung; Cho, Jaiesoon</t>
  </si>
  <si>
    <t>The phytase from antarctic bacterial isolate, Pseudomonas sp JPK1 as a potential tool for animal agriculture to reduce manure phosphorus excretion</t>
  </si>
  <si>
    <t>AFRICAN JOURNAL OF AGRICULTURAL RESEARCH</t>
  </si>
  <si>
    <t>Antarctic; phytase; Pseudomonas sp.; phytate; feed additive</t>
  </si>
  <si>
    <t>MYOINOSITOL HEXAKISPHOSPHATE; MICROBIAL PHYTASE; PURIFICATION; ALIGNMENT; ENZYMES; CLONING</t>
  </si>
  <si>
    <t>Intracellular phytase activity was found in the Antarctic bacterial isolate, JPK1. Based on 16S rRNA gene sequence analysis, the strain was related to Pseudomonas sp. The optimal activity of JPK1 phytase occurred at 50 degrees C and pH 5.0 to 5.5. The enzyme was highly specific for phytate with little or no other phosphate conjugates. Enzyme activity was strongly inhibited by Cu2+ and Zn2+, and completely inactivated by sodium dodecyl sulfate. The enzyme effectively liberated inorganic phosphate from wheat bran, a main feedstuff with high phytate content. The enzyme may be a good candidate for use as an environmental-friendly feed additive to enhance the nutritive value of phytate and reduce phosphorus pollution.</t>
  </si>
  <si>
    <t>[Park, Inkyung; Cho, Jaiesoon] Konkuk Univ, Coll Anim Biosci &amp; Technol, Dept Anim Sci &amp; Environm, Seoul 143701, South Korea</t>
  </si>
  <si>
    <t>Konkuk University</t>
  </si>
  <si>
    <t>Cho, J (corresponding author), Konkuk Univ, Coll Anim Biosci &amp; Technol, Dept Anim Sci &amp; Environm, 1 Hwayang Dong, Seoul 143701, South Korea.</t>
  </si>
  <si>
    <t>chojs70@konkuk.ac.kr</t>
  </si>
  <si>
    <t>1991-637X</t>
  </si>
  <si>
    <t>AFR J AGR RES</t>
  </si>
  <si>
    <t>Afr. J. Agric. Res.</t>
  </si>
  <si>
    <t>MAR 18</t>
  </si>
  <si>
    <t>Agriculture, Multidisciplinary</t>
  </si>
  <si>
    <t>785UZ</t>
  </si>
  <si>
    <t>WOS:000292258100017</t>
  </si>
  <si>
    <t>Chen, LJ; Thorne, RM; Jordanova, VK; Thomsen, MF; Horne, RB</t>
  </si>
  <si>
    <t>Chen, Lunjin; Thorne, Richard M.; Jordanova, Vania K.; Thomsen, Michelle F.; Horne, Richard B.</t>
  </si>
  <si>
    <t>Magnetosonic wave instability analysis for proton ring distributions observed by the LANL magnetospheric plasma analyzer</t>
  </si>
  <si>
    <t>EQUATORIAL NOISE; MAGNETIC EQUATOR; ENERGETIC IONS; PROPAGATION; SPACECRAFT; CLUSTER; FIELD</t>
  </si>
  <si>
    <t>Energetic proton (1-45 keV) distributions measured by the magnetospheric plasma analyzer detector on Los Alamos National Laboratory geosynchronous orbiting satellites are analyzed to study the characteristics of proton ring development during the 2001 April storm. Distinct proton rings are formed over a broad spatial region from noon to premidnight, associated with individual or multiple substorm injections on the nightside. On the basis of observed proton distributions, the convective growth rate of magnetosonic waves is calculated. We find that these proton ring distributions can provide a source of free energy for exciting magnetosonic waves, with convective growth rate mostly in the range 10(-5)-10(-6) m(-1), over a broad range of frequency from a few times Omega(H+) up to similar to 35 Omega(H+) and over a broad magnetic local time range from 1000 to 2200.</t>
  </si>
  <si>
    <t>[Jordanova, Vania K.; Thomsen, Michelle F.] Los Alamos Natl Lab, Los Alamos, NM 87545 USA; [Horne, Richard B.] British Antarctic Survey, Nat Environm Res Council, Cambridge CB3 0ET, England; [Chen, Lunjin; Thorne, Richard M.] Univ Calif Los Angeles, Dept Atmospher &amp; Ocean Sci, Los Angeles, CA 90024 USA</t>
  </si>
  <si>
    <t>United States Department of Energy (DOE); Los Alamos National Laboratory; UK Research &amp; Innovation (UKRI); Natural Environment Research Council (NERC); NERC British Antarctic Survey; University of California System; University of California Los Angeles</t>
  </si>
  <si>
    <t>Chen, LJ (corresponding author), Univ Calif Los Angeles, Dept Atmospher Sci, Los Angeles, CA 90024 USA.</t>
  </si>
  <si>
    <t>clj@atmos.ucla.edu</t>
  </si>
  <si>
    <t>Horne, Richard B/U-3764-2019; Jordanova, Vania/AAE-9907-2020; Chen, Lunjin/L-1250-2013; Jordanova, Vania/E-3667-2018</t>
  </si>
  <si>
    <t>Horne, Richard B/0000-0002-0412-6407; Chen, Lunjin/0000-0003-2489-3571; Jordanova, Vania/0000-0003-0475-8743</t>
  </si>
  <si>
    <t>NASA [NNX08AQ88G, NNH08AJ01I, NNX08A135G]; U.S. Department of Energy; Natural Environment Research Council [bas0100023] Funding Source: researchfish; NASA [96860, NNX08AQ88G] Funding Source: Federal RePORTER; NERC [bas0100023] Funding Source: UKRI</t>
  </si>
  <si>
    <t>NASA(National Aeronautics &amp; Space Administration (NASA)); U.S. Department of Energy(United States Department of Energy (DOE)); Natural Environment Research Council(UK Research &amp; Innovation (UKRI)Natural Environment Research Council (NERC)); NASA(National Aeronautics &amp; Space Administration (NASA)); NERC(UK Research &amp; Innovation (UKRI)Natural Environment Research Council (NERC))</t>
  </si>
  <si>
    <t>The research was supported by NASA grants NNX08AQ88G, NNH08AJ01I, and NNX08A135G. Work at Los Alamos was conducted under the auspices of the U.S. Department of Energy. The authors thank SPDF OMNIWeb Plus service for providing the Dst and hAE indices, solar wind dynamic pressure, and Y and Z components of the interplanetary magnetic field.</t>
  </si>
  <si>
    <t>A03223</t>
  </si>
  <si>
    <t>10.1029/2010JA016068</t>
  </si>
  <si>
    <t>737YH</t>
  </si>
  <si>
    <t>WOS:000288606000002</t>
  </si>
  <si>
    <t>Jackson, DR; Orsolini, YJ; Engelsen, O</t>
  </si>
  <si>
    <t>Jackson, D. R.; Orsolini, Y. J.; Engelsen, O.</t>
  </si>
  <si>
    <t>Low-ozone events in the southern polar summer as indicated by Met Office ozone analyses</t>
  </si>
  <si>
    <t>STRATOSPHERIC TEMPERATURE; UV-RADIATION; ULTRAVIOLET-RADIATION; VORTEX OCCURRENCES; HEMISPHERE; ASSIMILATION; DISTURBANCES; DEPLETION; LATITUDES; DYNAMICS</t>
  </si>
  <si>
    <t>Southern summer low-ozone events (LOEs) are examined using Met Office ozone analyses for 2005-2007. At 31 hPa, tongues of low-ozone air are pulled out of the polar region and extend to lower latitudes. Low tongues are also seen at 100 hPa, but there the low ozone is transported from low to high latitudes. These low tongues are frequently superimposed on one another, meaning that there are often also reductions in total ozone. What is striking is that at high latitudes, summer total ozone is typically lower over the Weddell Sea than at other longitudes. The low-ozone tongues at 31 and 100 hPa are consistent with transport associated with planetary waves. Daily geopotential height fields show a poleward and westward wave tilt with height, indicating the presence of baroclinic waves. The tilt enables the superimposition of the low-ozone tongues at 100 and 31 hPa. Filtered geopotential height anomalies reveal the presence of waves reported in other studies and indicate the connection between tropospheric and stratospheric wave dynamics in driving the LOEs. There is also a high connection between the LOEs and ultraviolet (UV) Index. The Weddell Sea region gets up to 20-30% more UV than the zonal mean, and the tip of South America gets about 10-25% more. There have been numerous studies of the impacts of increased UV on the Antarctic marine ecosystem during the springtime ozone hole, and our results indicate there is a case for these studies being extended to the summer LOEs.</t>
  </si>
  <si>
    <t>[Jackson, D. R.] Met Off, Exeter EX1 3PB, Devon, England; [Orsolini, Y. J.; Engelsen, O.] Norwegian Inst Air Res, N-2027 Kjeller, Norway</t>
  </si>
  <si>
    <t>Met Office - UK; NILU</t>
  </si>
  <si>
    <t>Jackson, DR (corresponding author), Met Off, FitzRoy Rd, Exeter EX1 3PB, Devon, England.</t>
  </si>
  <si>
    <t>david.jackson@metoffice.gov.uk</t>
  </si>
  <si>
    <t>Jackson, David/0000-0001-6387-6876; Orsolini, Yvan/0000-0001-7454-026X</t>
  </si>
  <si>
    <t>NASA [613.3]; Norwegian Space Centre</t>
  </si>
  <si>
    <t>NASA(National Aeronautics &amp; Space Administration (NASA)); Norwegian Space Centre</t>
  </si>
  <si>
    <t>We thank the ozone processing team at NASA GSFC code 613.3 for providing free access to TOMS and OMI data. Y.O.R. and O.E.N. were partly supported by the Norwegian Space Centre (project SATLUFT).</t>
  </si>
  <si>
    <t>MAR 17</t>
  </si>
  <si>
    <t>D06302</t>
  </si>
  <si>
    <t>10.1029/2010JD014858</t>
  </si>
  <si>
    <t>737YG</t>
  </si>
  <si>
    <t>WOS:000288605900003</t>
  </si>
  <si>
    <t>Joshi, MK; Pandey, AC</t>
  </si>
  <si>
    <t>Joshi, Manish K.; Pandey, A. C.</t>
  </si>
  <si>
    <t>Trend and spectral analysis of rainfall over India during 1901-2000</t>
  </si>
  <si>
    <t>MONSOON-ENSO RELATIONSHIP; 40-50 DAY OSCILLATION; SUMMER MONSOON; VARIABILITY; MECHANISM; WIND</t>
  </si>
  <si>
    <t>The spectral analysis of gridded rainfall data obtained from 1384 rain gauge stations by India Meteorological Department demonstrates not much change in low-frequency components of decadal spectra of all India and its four subregions, namely, southwest, southeast, central, and northwest, during the last 10 decades. However, the dominant as well as the significant cycles lying between the periods 10-20 days, 20-30 days, 30-40 days, and 40-50 days are highly variable on an interdecadal basis. On close inspection, it can be inferred that the 40-50 day oscillations that corresponds to Madden-Julian Oscillations is mainly associated with the southern Indian region, namely southwest and southeast, and the 30-40 day oscillation of southeast region is gradually increasing on a decadal scale during the last 4 decades. The physical context of interdecadal variability of rainfall in India can be linked with the warm phase of Atlantic multidecadal oscillations and the cold phase of interdecadal Pacific oscillations. The correlogram analysis shows the presence of 15, (17, 19), and 17 year cycles for the southwest, central, and northwest regions, respectively. No significant trend is discernable during the last 10 decades, when the linear least squares fitting method and Mann-Kendall statistic to identify the trend and the normalized test statistic and statistical probability to quantify the significance of the trend are applied, on the annual rainfall data for all India and its subregions.</t>
  </si>
  <si>
    <t>[Joshi, Manish K.; Pandey, A. C.] Univ Allahabad, K Banerjee Ctr Atmospher &amp; Ocean Studies, Inst Interdisciplinary Studies, Allahabad 211002, Uttar Pradesh, India</t>
  </si>
  <si>
    <t>University of Allahabad</t>
  </si>
  <si>
    <t>Joshi, MK (corresponding author), Univ Allahabad, K Banerjee Ctr Atmospher &amp; Ocean Studies, Inst Interdisciplinary Studies, Allahabad 211002, Uttar Pradesh, India.</t>
  </si>
  <si>
    <t>manishkumarjoshi@gmail.com; dr.avinashcpandey@gmail.com</t>
  </si>
  <si>
    <t>Joshi, Manish K./T-8739-2019; Pandey, Arvind/AHC-6803-2022; Joshi, Manish/B-2711-2012; PANDEY, AVINASH CHANDRA/B-4600-2014</t>
  </si>
  <si>
    <t>Joshi, Manish K./0000-0001-6498-6962; Joshi, Manish/0000-0001-6498-6962; PANDEY, AVINASH CHANDRA/0000-0003-0700-3856</t>
  </si>
  <si>
    <t>National Center of Antarctic and Ocean Research, Goa</t>
  </si>
  <si>
    <t>We acknowledge our sincere thanks to National Center of Antarctic and Ocean Research, Goa, for the financial support. We are also heartily grateful to V. Krishnamurthy, T. Delsole, and Fred Kucharski for fruitful discussions in understanding the issues that helped us a lot in improving the manuscript. We also thank the anonymous reviewers for their useful comments, which improved our manuscript substantially.</t>
  </si>
  <si>
    <t>D06104</t>
  </si>
  <si>
    <t>10.1029/2010JD014966</t>
  </si>
  <si>
    <t>WOS:000288605900005</t>
  </si>
  <si>
    <t>Makinson, K; Holland, PR; Jenkins, A; Nicholls, KW; Holland, DM</t>
  </si>
  <si>
    <t>Makinson, Keith; Holland, Paul R.; Jenkins, Adrian; Nicholls, Keith W.; Holland, David M.</t>
  </si>
  <si>
    <t>Influence of tides on melting and freezing beneath Filchner-Ronne Ice Shelf, Antarctica</t>
  </si>
  <si>
    <t>OCEAN CIRCULATION BENEATH; BOTTOM WATER FORMATION; CONTINENTAL-SHELF; WEDDELL SEA; MODEL; THICKNESS; CURRENTS; NORTH</t>
  </si>
  <si>
    <t>An isopycnic coordinate ocean circulation model is applied to the ocean cavity beneath Filchner-Ronne Ice Shelf, investigating the role of tides on sub-ice shelf circulation and ice shelf basal mass balance. Including tidal forcing causes a significant intensification in the sub-ice shelf circulation, with an increase in melting (3-fold) and refreezing (6-fold); the net melt rate and seawater flux through the cavity approximately doubles. With tidal forcing, the spatial pattern and magnitude of basal melting and freezing generally match observations. The 0.22 m a(-1) net melt rate is close to satellite-derived estimates and at the lower end of oceanographic values. The Ice Shelf Water outflow mixes with shelf waters, forming a cold (&lt;-1.9 degrees C), dense overflow (0.83 Sv) that spills down the continental slope. These results demonstrate that tidal forcing is fundamental to both ice shelf-ocean interactions and deep-water formation in the southern Weddell Sea. Citation: Makinson, K., P. R. Holland, A. Jenkins, K. W. Nicholls, and D. M. Holland (2011), Influence of tides on melting and freezing beneath Filchner-Ronne Ice Shelf, Antarctica, Geophys. Res. Lett., 38, L06601, doi: 10.1029/2010GL046462.</t>
  </si>
  <si>
    <t>[Makinson, Keith; Holland, Paul R.; Jenkins, Adrian; Nicholls, Keith W.] British Antarctic Survey, Cambridge CB3 0ET, England; [Holland, David M.] NYU, Courant Inst Math Sci, New York, NY USA</t>
  </si>
  <si>
    <t>UK Research &amp; Innovation (UKRI); Natural Environment Research Council (NERC); NERC British Antarctic Survey; New York University</t>
  </si>
  <si>
    <t>Makinson, K (corresponding author), British Antarctic Survey, High Cross,Madingley Rd, Cambridge CB3 0ET, England.</t>
  </si>
  <si>
    <t>kmak@bas.ac.uk</t>
  </si>
  <si>
    <t>Holland, Paul R/G-2796-2012; Makinson, Keith/A-2495-2013; Jenkins, Adrian/IUN-2406-2023</t>
  </si>
  <si>
    <t>Makinson, Keith/0000-0002-5791-1767; Jenkins, Adrian/0000-0002-9117-0616</t>
  </si>
  <si>
    <t>Natural Environment Research Council [bas0100028] Funding Source: researchfish; Science and Technology Facilities Council [ST/F002289/1, ST/H008519/1] Funding Source: researchfish; NERC [bas0100028] Funding Source: UKRI; STFC [ST/H008519/1, ST/F002289/1] Funding Source: UKRI</t>
  </si>
  <si>
    <t>Natural Environment Research Council(UK Research &amp; Innovation (UKRI)Natural Environment Research Council (NERC)); Science and Technology Facilities Council(UK Research &amp; Innovation (UKRI)Science &amp; Technology Facilities Council (STFC)); NERC(UK Research &amp; Innovation (UKRI)Natural Environment Research Council (NERC)); STFC(UK Research &amp; Innovation (UKRI)Science &amp; Technology Facilities Council (STFC))</t>
  </si>
  <si>
    <t>MAR 16</t>
  </si>
  <si>
    <t>L06601</t>
  </si>
  <si>
    <t>10.1029/2010GL046462</t>
  </si>
  <si>
    <t>737XN</t>
  </si>
  <si>
    <t>WOS:000288603900001</t>
  </si>
  <si>
    <t>Cincinelli, A; Martellini, T; Innocenti, A; Scozzafava, A; Supuran, CT</t>
  </si>
  <si>
    <t>Cincinelli, Alessandra; Martellini, Tania; Innocenti, Alessio; Scozzafava, Andrea; Supuran, Claudiu T.</t>
  </si>
  <si>
    <t>Purification and inhibition studies with anions and sulfonamides of an α-carbonic anhydrase from the Antarctic seal Leptonychotes weddellii</t>
  </si>
  <si>
    <t>BIOORGANIC &amp; MEDICINAL CHEMISTRY</t>
  </si>
  <si>
    <t>Carbonic anhydrase; Anion inhibitor; Sulfonamide; Weddell seal; Bohr effect; Protein purification</t>
  </si>
  <si>
    <t>HETEROCYCLIC SULFONAMIDES; GAMMA-CLASS; ERYTHROCYTES; MEMBRANE; SITE</t>
  </si>
  <si>
    <t>A high activity a-carbonic anhydrase (CA, EC 4.2.1.1) has been purified from various tissues of the Antarctic seal Leptonychotes weddellii. The new enzyme, denominated IwCA, has a catalytic activity for the physiologic CO2 hydration to bicarbonate reaction, similar to that of the high activity human isoform hCA II, with a k(cat) of 1.1 x 10(6) s(-1), and a k(cat)/K-m of 1.4 x 10(8) M-1 s(-1). The enzyme was highly inhibited by cyanate, thiocyanate, cyanide, bicarbonate, carbonate, as well as sulfamide, sulfamate, phenylboronic/phenylarsonic acids (K(I)s in the range of 46-100 mu M). Many clinically used sulfonamides, such as acetazolamide, methazolamide, dorzolamide, brinzolamide and benzolamide were low nanomolar inhibitors, with K(I)s in the range of 5.7-67 nM. Dichlorophenamide, zonisamide, saccharin and hydrochlorothiazide were weaker inhibitors, with K(I)s in the range of 513-5390 nM. The inhibition profile with anions and sulfonamides of the seal enzyme was rather different from those of the human isoforms hCA I and II. The high sensitivity to bicarbonate inhibition of IwCA, unlike that of the human enzymes, may reflect an evolutionary adaptation to the deep water, high CO2 partial pressure and hypoxic conditions in which Weddell seals spend much of their life. (C) 2011 Elsevier Ltd. All rights reserved.</t>
  </si>
  <si>
    <t>[Cincinelli, Alessandra; Martellini, Tania; Innocenti, Alessio; Scozzafava, Andrea; Supuran, Claudiu T.] Univ Florence, Dipartimento Chim Ugo Schiff, Chim Bioorgan Lab, I-50019 Florence, Italy</t>
  </si>
  <si>
    <t>University of Florence</t>
  </si>
  <si>
    <t>Innocenti, A (corresponding author), Univ Florence, Dipartimento Chim Ugo Schiff, Chim Bioorgan Lab, Rm 188,Via Lastruccia 3, I-50019 Florence, Italy.</t>
  </si>
  <si>
    <t>alessio.innocenti@unifi.it; claudiu.supuran@unifi.it</t>
  </si>
  <si>
    <t>Martellini, Tania/AAD-1095-2020; Supuran, Claudiu/A-5151-2008; Cincinelli, Alessandra/A-8468-2011</t>
  </si>
  <si>
    <t>Martellini, Tania/0000-0001-6803-1928; Supuran, Claudiu/0000-0003-4262-0323; Cincinelli, Alessandra/0000-0002-6977-4595; Scozzafava, Andrea/0000-0001-5020-3322</t>
  </si>
  <si>
    <t>EU; Italian Antarctic Research Program (PNRA) in Terra Nova Bay, Antarctica</t>
  </si>
  <si>
    <t>EU(European Union (EU)); Italian Antarctic Research Program (PNRA) in Terra Nova Bay, Antarctica</t>
  </si>
  <si>
    <t>This research was financed in part by an EU project (Metoxia, to A.S. and C.T.S.) and by the XX Expedition of the Italian Antarctic Research Program (PNRA) in Terra Nova Bay, Antarctica (to A.C.).</t>
  </si>
  <si>
    <t>0968-0896</t>
  </si>
  <si>
    <t>1464-3391</t>
  </si>
  <si>
    <t>BIOORGAN MED CHEM</t>
  </si>
  <si>
    <t>Bioorg. Med. Chem.</t>
  </si>
  <si>
    <t>MAR 15</t>
  </si>
  <si>
    <t>10.1016/j.bmc.2011.02.015</t>
  </si>
  <si>
    <t>Biochemistry &amp; Molecular Biology; Chemistry, Medicinal; Chemistry, Organic</t>
  </si>
  <si>
    <t>Biochemistry &amp; Molecular Biology; Pharmacology &amp; Pharmacy; Chemistry</t>
  </si>
  <si>
    <t>732OO</t>
  </si>
  <si>
    <t>WOS:000288196900001</t>
  </si>
  <si>
    <t>Law, CS; Smith, MJ; Stevens, CL; Abraham, ER; Ellwood, MJ; Hill, P; Nodder, S; Peloquin, J; Pickmere, S; Safi, K; Walkington, CM</t>
  </si>
  <si>
    <t>Law, C. S.; Smith, M. J.; Stevens, C. L.; Abraham, E. R.; Ellwood, M. J.; Hill, P.; Nodder, S.; Peloquin, J.; Pickmere, S.; Safi, K.; Walkington, C. M.</t>
  </si>
  <si>
    <t>Did dilution limit the phytoplankton response to iron addition in HNLCLSi sub-Antarctic waters during the SAGE experiment?</t>
  </si>
  <si>
    <t>Iron addition experiment; SF6 tracer; Diffusion; Dilution; Iron; Silicic acid; Phytoplankton; Sub-Antarctic Pacific</t>
  </si>
  <si>
    <t>EQUATORIAL PACIFIC-OCEAN; SOUTHERN-OCEAN; FERTILIZATION EXPERIMENT; SULFUR-HEXAFLUORIDE; MIXED-LAYER; EXPERIMENT SOFEX; DISSOLVED IRON; ARCTIC PACIFIC; TRACER-RELEASE; BLOOM</t>
  </si>
  <si>
    <t>An in situ iron addition experiment (SAGE) was carried out in high-nitrate low-chlorophyll low-silicic acid (HNLCLSi) sub-Antarctic surface waters south-east of New Zealand. In contrast to other iron addition experiments, the phytoplankton response was minor, with a doubling of biomass relative to surrounding waters, with the temporal trends in dissolved iron and macronutrients instead dominated by physical factors such as mixing and dilution. The initial increase in patch surface area indicated a lateral dilution rate of 0.125 d(-1), with a second estimate from a model of the decline in peak SF6 concentration yielding a higher lateral dilution rate of 0.16-0.25 d(-1). The model was tested on the SOIREE SF6 dataset and provided a lateral dilution of 0.07 d(-1), consistent with previous published estimates. MODIS ocean colour images showed elevated chlorophyll coincident with the SF6 patch on day 10 and 12, and an elevated chlorophyll filament at the SAGE experiment location 3-4 days after ship departure, which provided additional lateral dilution estimates of 0.19 and 0.128 d(-1). Dissolved iron at the patch centre declined by 85% within two days of the initial infusion, of which dilution accounted for 50-65%; it also decreased rapidly after the 2nd and 3rd infusions but remained elevated after the fourth infusion. Despite decreases in nitrate and silicic acid from day 7 and 10, respectively, the final nutrient concentrations in the patch exceeded the initial concentrations due to supply from lateral intrusion and mixed-layer deepening. The low Si:N loss ratio suggested that the observed limited response to iron was primarily by non-siliceous phytoplankton. Algal growth rate exceeded the minimum dilution rate during two periods (days 3-6 and 10-14), and coincided with net chlorophyll accumulation. However, as the ratio of algal growth to dilution was the lowest reported for an iron addition experiment, dilution was clearly a significant factor in the SAGE experiment recording the lowest phytoplankton response to mesoscale iron addition. (C) 2010 Elsevier Ltd. All rights reserved.</t>
  </si>
  <si>
    <t>[Law, C. S.; Smith, M. J.; Stevens, C. L.; Abraham, E. R.; Hill, P.; Nodder, S.; Walkington, C. M.] NIWA, Wellington, New Zealand; [Ellwood, M. J.; Pickmere, S.; Safi, K.] NIWA, Hamilton, New Zealand; [Peloquin, J.] Coll William &amp; Mary, Virginia Inst Marine Sci, Gloucester Pt, VA USA</t>
  </si>
  <si>
    <t>National Institute of Water &amp; Atmospheric Research (NIWA) - New Zealand; National Institute of Water &amp; Atmospheric Research (NIWA) - New Zealand; William &amp; Mary; Virginia Institute of Marine Science</t>
  </si>
  <si>
    <t>Law, CS (corresponding author), NIWA, Wellington, New Zealand.</t>
  </si>
  <si>
    <t>c.law@niwa.cri.nz</t>
  </si>
  <si>
    <t>Ellwood, Michael J/G-7390-2011; Abraham, Edward R/D-7422-2011</t>
  </si>
  <si>
    <t>Abraham, Edward R/0000-0003-4490-6704; Stevens, Craig/0000-0002-4730-6985; Law, Cliff/0000-0002-7669-2475; Safi, Karl/0000-0002-7785-1909; Ellwood, Michael/0000-0003-4288-8530</t>
  </si>
  <si>
    <t>New Zealand Foundation for Research, Science and Technology (FRST) [C01X0204, C01X0223]</t>
  </si>
  <si>
    <t>New Zealand Foundation for Research, Science and Technology (FRST)(New Zealand Foundation for Research, Science and Technology)</t>
  </si>
  <si>
    <t>We thank the SAGE voyage leader Mike Harvey and scientific party, particularly Andrew Marriner, Bill Main and David Ho for assistance with the release, and the Officers and Crew of the R/V Tangaroa. We also thank Phil Boyd, Greg Foothead and NIWA Vessel Services for assistance with planning and mobilisation for the voyage, and Jill Schwarz and Matt Pinkerton for ocean colour image retrieval and analysis. SAGE was jointly funded through the New Zealand Foundation for Research, Science and Technology (FRST) programs (C01X0204) Drivers and Mitigation of Global Change and (C01X0223) Ocean Ecosystems: Their Contribution to NZ Marine Productivity.</t>
  </si>
  <si>
    <t>10.1016/j.dsr2.2010.10.018</t>
  </si>
  <si>
    <t>744WC</t>
  </si>
  <si>
    <t>WOS:000289124900004</t>
  </si>
  <si>
    <t>Kuparinen, J; Hall, J; Ellwood, M; Safi, K; Peloquin, J; Katz, D</t>
  </si>
  <si>
    <t>Kuparinen, J.; Hall, J.; Ellwood, M.; Safi, K.; Peloquin, J.; Katz, D.</t>
  </si>
  <si>
    <t>Bacterioplankton responses to iron enrichment during the SAGE experiment</t>
  </si>
  <si>
    <t>SAGE experiment; Iron enrichment; Bacterioplankton; Growth rate; Growth efficiency; Carbon production</t>
  </si>
  <si>
    <t>SUB-ARCTIC PACIFIC; HETEROTROPHIC BACTERIAL RESPONSE; MICROBIAL FOOD-WEB; SOUTHERN-OCEAN; GROWTH EFFICIENCY; PHYTOPLANKTON BLOOM; COASTAL WATERS; FERTILIZATION; CARBON; ANTARCTICA</t>
  </si>
  <si>
    <t>We studied the microbial food web in the upper 100 m of the water column in iron-limited sub-Antarctic HNLC waters south-east of New Zealand in the SAGE experiment in 2004, with focus on bacterioplankton. Samples were collected daily from inside and outside the iron enriched patch. Short term enrichment experiments were conducted on board in 4 L polycarbonate bottles with water outside the iron enriched patch to study single and combined effects of micronutrient additions on microbial food web. Low bacterial growth was recorded in the study area with community turnover times of 50 h or more during the study period. Measurements of bacterial standing stocks and production rates in the study show minor responses to the large scale iron enrichment, with increase in rates and stocks after the first enrichment and at the end of the study period after the third iron enrichment when solar radiation increased and wind mixing decreased. The average daily bacterial production rates were 31.5 and 33.7 mgCm(-2) d(-1) for the OUT and IN stations, respectively; thus overall there was not a significant difference between the control and the iron-enriched patch. In the bottle experiments bacterial thymidine incorporation showed responses to single iron and silicic acid enrichments and a major growth response to the combined iron and sucrose enrichments. Phytoplankton chlorophyll-a showed clear stimulation by single additions of iron and silicic acid and silicic acid enhanced the iron impact. Cobalt additions had no effect on bacteria growth and a negative effect on phytoplankton growth. Low bacterial in situ growth rates and the enrichment experiments suggest that bacteria are co-limited by iron and carbon, and that bacterial iron uptake is dependent on carbon supply by the food web. With the high iron quota (mu mol Fe mol C-1) bacteria may scavenge considerable amounts of the excess iron, and thus influence the relative importance of the microbial food web as a carbon sink. (C) 2010 Elsevier Ltd. All rights reserved.</t>
  </si>
  <si>
    <t>[Kuparinen, J.] Univ Helsinki, Dept Biol &amp; Environm Sci, FI-00014 Helsinki, Finland; [Hall, J.; Ellwood, M.; Safi, K.] Natl Inst Water &amp; Atmospher Res, Hamilton, New Zealand; [Peloquin, J.] Virginia Inst Marine Sci, Gloucester Point, VA 23062 USA; [Katz, D.] Univ Rhode Isl, Kingston, RI 02881 USA</t>
  </si>
  <si>
    <t>University of Helsinki; National Institute of Water &amp; Atmospheric Research (NIWA) - New Zealand; William &amp; Mary; Virginia Institute of Marine Science; University of Rhode Island</t>
  </si>
  <si>
    <t>Kuparinen, J (corresponding author), Univ Helsinki, Dept Biol &amp; Environm Sci, POB 65, FI-00014 Helsinki, Finland.</t>
  </si>
  <si>
    <t>jorma.kuparinen@helsinki.fi</t>
  </si>
  <si>
    <t>Ellwood, Michael J/G-7390-2011</t>
  </si>
  <si>
    <t>Safi, Karl/0000-0002-7785-1909; Katz, David/0000-0001-8952-6903; Ellwood, Michael/0000-0003-4288-8530</t>
  </si>
  <si>
    <t>Foundation for Research Science &amp; Technology New Zealand</t>
  </si>
  <si>
    <t>Foundation for Research Science &amp; Technology New Zealand(New Zealand Foundation for Research, Science and Technology)</t>
  </si>
  <si>
    <t>We are grateful to the crew of R/V Tangaroa for the help and support during the SAGE voyage. We also want to thank all SAGE participants, on board and in home laboratories for the constructive support and comments during the studies, workshops and manuscript preparations. This project was primarily supported and funded by Foundation for Research Science &amp; Technology New Zealand. The Finnish Teachers Unemployment Registry supported Jorma Kuparinen to stay in New Zealand for 5 months and participate for the cruise.</t>
  </si>
  <si>
    <t>10.1016/j.dsr2.2010.10.020</t>
  </si>
  <si>
    <t>WOS:000289124900005</t>
  </si>
  <si>
    <t>Peloquin, J; Hall, J; Safi, K; Smith, WO; Wright, S; van den Enden, R</t>
  </si>
  <si>
    <t>Peloquin, Jill; Hall, Julie; Safi, Karl; Smith, Walker O., Jr.; Wright, Simon; van den Enden, Rick</t>
  </si>
  <si>
    <t>The response of phytoplankton to iron enrichment in Sub-Antarctic HNLCLSi waters: Results from the SAGE experiment</t>
  </si>
  <si>
    <t>Iron enrichment experiment; SAGE; Phytoplankton; Iron; PAM; Silicic acid; Sub-Antarctic Pacific; HNLCLSi; pigments; CHEMTAX</t>
  </si>
  <si>
    <t>SOUTHERN-OCEAN; EUKARYOTIC PICOPLANKTON; MARINE-PHYTOPLANKTON; COMMUNITY STRUCTURE; LIGHT; LIMITATION; GROWTH; CARBON; FLUORESCENCE; SILICATE</t>
  </si>
  <si>
    <t>Areas of high nutrients and low chlorophyll a comprise nearly a third of the world's oceans, including the equatorial Pacific, the Southern Ocean and the Sub-Arctic Pacific. The SOLAS Sea-Air Gas Exchange (SAGE) experiment was conducted in late summer, 2004, off the east coast of the South Island of New Zealand. The objective was to assess the response of phytoplankton in waters with low iron and silicic acid concentrations to iron enrichment. We monitored the quantum yield of photochemistry (F-v/F-m) with pulse amplitude modulated fluorometry, chlorophyll a, primary productivity, and taxonomic composition. Measurements of F-v/F-m indicated that the phytoplankton within the amended patch were relieved from iron stress (F-v/F-m approached 0.65). Although there was no significant difference between IN and OUT stations at points during the experiment, the eventual enhancement in chlorophyll a and primary productivity was twofold by the end of the 15-day patch occupation. However, no change in particulate carbon or nitrogen pools was detected. Enhancement in primary productivity and chlorophyll a were approximately equal for all phytoplankton size classes, resulting in a stable phytoplankton size distribution. Initial seed stocks of diatoms were extremely low, &lt;1% of the assemblage based on HPLC pigment analysis, and did not respond to iron enrichment. The most dominant groups before and after iron enrichment were type 8 haptophytes and prasinophytes that were associated with similar to 75% of chlorophyll a. Twofold enhancement of biomass estimated by flow cytometry was detected only in eukaryotic picoplankton, likely prasinophytes, type 8 haptophytes and/or pelagophytes. These results suggest that factors other than iron, such as silicic acid, light or physical disturbance limited the phytoplankton assemblage during the SAGE experiment. Furthermore, these results suggest that additional iron supply to the Sub-Antarctic under similar seasonal conditions and seed stock will most likely favor phytoplankton &lt;2 mu m. This implies that any iron-mediated gain of fixed carbon will most likely be remineralized in shallow water rather than sink and be sequestered in the deep ocean. (C) 2010 Elsevier Ltd. All rights reserved.</t>
  </si>
  <si>
    <t>[Peloquin, Jill] ETH, Inst Biogeochem &amp; Pollutant Dynam, Zurich, Switzerland; [Peloquin, Jill; Smith, Walker O., Jr.] Coll William &amp; Mary, Virginia Inst Marine Sci, Gloucester Pt, VA USA; [Hall, Julie; Safi, Karl] Natl Inst Water &amp; Atmospher Res, Hamilton, New Zealand; [Wright, Simon; van den Enden, Rick] Australian Antarctic Div, Kingston, Tas, Australia; [Wright, Simon; van den Enden, Rick] Antarctic Climate &amp; Ecosyst Cooperat Res Ctr, Kingston, Tas, Australia</t>
  </si>
  <si>
    <t>Swiss Federal Institutes of Technology Domain; ETH Zurich; William &amp; Mary; Virginia Institute of Marine Science; National Institute of Water &amp; Atmospheric Research (NIWA) - New Zealand; Australian Antarctic Division; Antarctic Climate &amp; Ecosystems Cooperative Research Centre (ACE CRC)</t>
  </si>
  <si>
    <t>Peloquin, J (corresponding author), ETH, Inst Biogeochem &amp; Pollutant Dynam, Zurich, Switzerland.</t>
  </si>
  <si>
    <t>jill.peloquin@env.ethz.ch</t>
  </si>
  <si>
    <t>Safi, Karl/0000-0002-7785-1909</t>
  </si>
  <si>
    <t>Australian Government through the Antarctic Climate and Ecosystems Cooperative Research Centre (ACE CRC); New Zealand Foundation for Research, Science and Technology (FRST) [C01X0204, C01X0223]</t>
  </si>
  <si>
    <t>Australian Government through the Antarctic Climate and Ecosystems Cooperative Research Centre (ACE CRC)(Australian GovernmentDepartment of Industry, Innovation and ScienceCooperative Research Centres (CRC) Programme); New Zealand Foundation for Research, Science and Technology (FRST)(New Zealand Foundation for Research, Science and Technology)</t>
  </si>
  <si>
    <t>The authors would like to thank the Captain and Crew of the R/V Tangaroa and the SAGE science party. We would, in particular, like to acknowledge Chief Scientist Mike Harvey and Cliff Law for their leadership, insightful discussion and reviews of this manuscript. We thank B. Griffiths, L. Armand, and two anonymous reviewers for their efforts in reviewing this manuscript. We are grateful to G. Jones for the collection of the HPLC pigment samples, S. Pickmere for inorganic nutrient analysis and to S. Nodder for the collection of particulate nutrient samples. This work was supported by the Australian Government's Cooperative Research Centres Programme through the Antarctic Climate and Ecosystems Cooperative Research Centre (ACE CRC). SAGE was jointly funded through the New Zealand Foundation for Research, Science and Technology (FRST) programs (C01X0204) Drivers and Mitigation of Global Change and (C01X0223) Ocean Ecosystems: Their Contribution to NZ Marine Productivity. This paper is Contribution No. 2971 of the Virginia Institute of Marine Science, The College of William and Mary.</t>
  </si>
  <si>
    <t>10.1016/j.dsr2.2010.10.021</t>
  </si>
  <si>
    <t>WOS:000289124900006</t>
  </si>
  <si>
    <t>Currie, KI; Macaskill, B; Reid, MR; Law, CS</t>
  </si>
  <si>
    <t>Currie, K. I.; Macaskill, B.; Reid, M. R.; Law, C. S.</t>
  </si>
  <si>
    <t>Processes governing the carbon chemistry during the SAGE experiment</t>
  </si>
  <si>
    <t>CO2; Air-sea flux; Skin temperature; Sub-Antarctic surface water; Iron addition experiment</t>
  </si>
  <si>
    <t>OCEAN IRON FERTILIZATION; ENRICHMENT EXPERIMENT; GAS-EXCHANGE; SEA; CO2; SEAWATER; TEMPERATURE; DIOXIDE; WATER; FLUX</t>
  </si>
  <si>
    <t>Measurements of pCO(2), pH and alkalinity in the surface waters of an iron fertilised patch of sub-Antarctic water were made during SAGE (SOLAS SAGE: Surface-Ocean Lower Atmosphere Studies Air-Sea Gas Experiment). The iron addition induced a minor phytoplankton bloom, however the patch dynamics were dominated by physical processes which suppressed and masked the biological effects. The Lagrangian nature of the experiment allowed the carbonate chemistry in the patch to be followed for 15.5 days, and the relative importance of the biological and physical factors influencing the surface water pCO(2) was estimated. The pCO(2) of the surface waters of the patch increased from 327 mu atm prior to iron addition to 338 mu atm on Day 14, effects of vertical and horizontal mixing offset the 15 mu atm drawdown that would have occurred had the induced biological uptake been the sole factor to influence the pCO(2). The air-sea carbon flux calculated using the measured skin temperature and a piston velocity parameterisation determined during SAGE (Ho et al., 2006) was 98.5% of the flux determined using conventional bulk temperature measurement and the Wanninkhof (1992) piston velocity parameterisation. The skin temperature alone contributed to an 8% increase in the flux compared with that determined using bulk temperature. (C) 2010 Elsevier Ltd. All rights reserved.</t>
  </si>
  <si>
    <t>[Currie, K. I.] Natl Inst Water &amp; Atmospher Res, Dunedin, New Zealand; [Macaskill, B.] Natl Inst Water &amp; Atmospher Res, Hamilton, New Zealand; [Reid, M. R.] Univ Otago, Dept Chem, Dunedin, New Zealand; [Law, C. S.] Natl Inst Water &amp; Atmospher Res, Wellington, New Zealand</t>
  </si>
  <si>
    <t>National Institute of Water &amp; Atmospheric Research (NIWA) - New Zealand; National Institute of Water &amp; Atmospheric Research (NIWA) - New Zealand; University of Otago; National Institute of Water &amp; Atmospheric Research (NIWA) - New Zealand</t>
  </si>
  <si>
    <t>Currie, KI (corresponding author), Natl Inst Water &amp; Atmospher Res, Dunedin, New Zealand.</t>
  </si>
  <si>
    <t>k.currie@niwa.co.nz</t>
  </si>
  <si>
    <t>Reid, Malcolm/0000-0002-4129-0214; Law, Cliff/0000-0002-7669-2475</t>
  </si>
  <si>
    <t>New Zealand Foundation for Research, Science and Technology [CO1X0204]</t>
  </si>
  <si>
    <t>The authors would like to thank the captain and crew of the RV Tangaroa, and the many people involved in all aspects of the SAGE voyage. This work was funded by the New Zealand Foundation for Research, Science and Technology under contract number CO1X0204.</t>
  </si>
  <si>
    <t>10.1016/j.dsr2.2010.10.023</t>
  </si>
  <si>
    <t>WOS:000289124900009</t>
  </si>
  <si>
    <t>Lepidi, S; Cafarella, L; Pietrolungo, M; Santarelli, L</t>
  </si>
  <si>
    <t>Lepidi, S.; Cafarella, L.; Pietrolungo, M.; Santarelli, L.</t>
  </si>
  <si>
    <t>Azimuthal propagation of Pc5 geomagnetic field pulsations in the southern polar cap</t>
  </si>
  <si>
    <t>(2784) Solar wind-magnetosphere interactions; (2776) Polar cap phenomena; (2752) MHD waves and instabilities</t>
  </si>
  <si>
    <t>MAGNETIC PULSATIONS; LOW-LATITUDE; POLARIZATION PATTERN; DIPOLE TILT; ULF WAVES; CUSP; ANTARCTICA; FLUCTUATIONS; MICROPULSATIONS; MAGNETOTAIL</t>
  </si>
  <si>
    <t>A statistical analysis of low frequency geomagnetic fluctuations at the two Antarctic stations Mario Zucchelli Station (geographic coordinates: 74.7 degrees S, 164.1 degrees E; corrected geomagnetic coordinates: 80.0 degrees S, 306.8 degrees E) and Dumont D'Urville (geographic coordinates: 66.7 degrees S, 140.0 degrees E; corrected geomagnetic coordinates: 80.4 degrees S, 236.0 degrees E) is shown. The analysis focuses on power spectra, coherence and phase difference between the stations, which are both located in the polar cap, with a 5-h magnetic local time displacement along a geomagnetic parallel; in this situation, the phase difference between geomagnetic fluctuations indicates the direction of their azimuthal propagation. Coherent fluctuations have been found to occur preferably when both stations are on the same side (dawnward or duskward) with respect to the polar cusp; moreover, around local magnetic midnight, they occur essentially during open magnetospheric conditions. The phase difference for coherent fluctuations indicates a propagation direction away from local geomagnetic noon and midnight. Also the analysis of three individual pulsation events, occurring at different times during the day, is shown; they are characterized at the two stations by simultaneous, coherent fluctuations, whose phase difference finds correspondence with the statistical behaviour. (C) 2010 COSPAR. Published by Elsevier Ltd. All rights reserved.</t>
  </si>
  <si>
    <t>[Lepidi, S.; Cafarella, L.; Pietrolungo, M.; Santarelli, L.] Ist Nazl Geofis &amp; Vulcanol, I-00143 Rome, Italy</t>
  </si>
  <si>
    <t>Lepidi, S (corresponding author), Ist Nazl Geofis &amp; Vulcanol, I-67100 Laquila, Italy.</t>
  </si>
  <si>
    <t>lepidi@ingv.it</t>
  </si>
  <si>
    <t>Cafarella, Lili/HTO-5890-2023; Lepidi, Stefania/HGU-5046-2022; cafarella, lili/G-4160-2011</t>
  </si>
  <si>
    <t>Pietrolungo, Manuela/0000-0002-2965-592X; cafarella, lili/0000-0003-2005-8923; Lepidi, Stefania/0000-0002-5692-2560</t>
  </si>
  <si>
    <t>Italian PNRA (Programma Nazionale di Ricerche in Antartide); Ecole et Observatoire des Sciences de la Terre (EOST, France)</t>
  </si>
  <si>
    <t>Italian PNRA (Programma Nazionale di Ricerche in Antartide)(Ministry of Education, Universities and Research (MIUR)); Ecole et Observatoire des Sciences de la Terre (EOST, France)</t>
  </si>
  <si>
    <t>The research activity at TNB is supported by Italian PNRA (Programma Nazionale di Ricerche in Antartide). The results presented in this paper rely on the data collected at DRV. We thank the Ecole et Observatoire des Sciences de la Terre (EOST, France), for supporting its operation and INTERMAGNET for promoting high standards of magnetic observatory practice (www.intermagnet.org).</t>
  </si>
  <si>
    <t>10.1016/j.asr.2010.10.027</t>
  </si>
  <si>
    <t>739RN</t>
  </si>
  <si>
    <t>WOS:000288735800006</t>
  </si>
  <si>
    <t>Colombo-Hixson, SM; Olsen, RE; Milley, JE; Lall, SP</t>
  </si>
  <si>
    <t>Colombo-Hixson, Stefanie M.; Olsen, Rolf E.; Milley, Joyce E.; Lall, Santosh P.</t>
  </si>
  <si>
    <t>Lipid and fatty acid digestibility in Calanus copepod and krill oil by Atlantic halibut (Hippoglossus hippoglossus L.)</t>
  </si>
  <si>
    <t>Calanus finmarchicus; Euphausia superba; Digestibility; Lipid; Fatty acids; Atlantic halibut</t>
  </si>
  <si>
    <t>COD GADUS-MORHUA; RAINBOW-TROUT; EUPHAUSIA-SUPERBA; WAX ESTERS; ANTARCTIC KRILL; SALMO-SALAR; FISH-OIL; DIGESTIVE LIPASES; ARCTIC CHARR; ABSORPTION</t>
  </si>
  <si>
    <t>Marine zooplankton represent a significant biomass of marine lipid that could supply lipid in diets for farmed marine fish. Digestibility of lipid and fatty acids of the copepod, Calanus finmarchicus and Antarctic krill, Euphausia superba by farmed juvenile Atlantic halibut (Hippoglossus hippoglossus) was investigated. Halibut were fed diets containing one of the following test oils at 15% inclusion level: fish oil (FO), Calanus copepod oil (CO) and Euphausia krill oil (1(0). KO contained the highest level of saturates (SFA: 39%) and monounsaturates (MUFA; 38%), and was low in polyunsaturated fatty acids (PUFA; 24%) compared to CO (50%) and FO (43%). CO and FO contained lower levels of SFA (31% and 33%, respectively) and MUFA (19% and 24%, respectively). Lipid digestibility of the CO diet (81%) was significantly lower than that of KO (90%) and FO (93%) diets (P &lt; 0.05), likely due to wax esters in CO. Digestibility of SFA in the CO diet (70%) was significantly lower than FO (75%) and KO (77%) and MUFA in CO (84%) was significantly lower than KO (93%) and FO (93%). Digestibility of PUFA was significantly higher in FO (97%) than CO (94%) and KO (95%). Generally the CO diet was significantly less digestible than FO and KO diets. Crown Copyright (C) 2011 Published by Elsevier By. All rights reserved.</t>
  </si>
  <si>
    <t>[Colombo-Hixson, Stefanie M.] Dalhousie Univ, Dept Biol, Halifax, NS B3H 3J5, Canada; [Colombo-Hixson, Stefanie M.; Milley, Joyce E.; Lall, Santosh P.] CNR, Inst Marine Biosci, Halifax, NS B3H 3Z1, Canada; [Olsen, Rolf E.] Inst Marine Res, Matre Aquaculture Res Stn, N-5984 Marredal, Norway</t>
  </si>
  <si>
    <t>Dalhousie University; National Research Council Canada; Institute of Marine Research - Norway</t>
  </si>
  <si>
    <t>Colombo-Hixson, SM (corresponding author), Natl Res Council Canada, Inst Marine Biosci, 1411 Oxford St, Halifax, NS B3H 3Z1, Canada.</t>
  </si>
  <si>
    <t>Norwegian Research Council [172461]; Scotian Halibut Ltd.</t>
  </si>
  <si>
    <t>Norwegian Research Council(Research Council of Norway); Scotian Halibut Ltd.</t>
  </si>
  <si>
    <t>The project was supported by the Norwegian Research Council (no. 172461). Technical assistance by Sean Tibbetts, Laura Garrison, John Matab with experimental set-up, pelleting, fish feeding, and fecal sampling was gratefully appreciated. We also acknowledge the gracious donation of Scotian Halibut Ltd. for the use of their juvenile halibut.</t>
  </si>
  <si>
    <t>10.1016/j.aquaculture.2010.12.020</t>
  </si>
  <si>
    <t>743KZ</t>
  </si>
  <si>
    <t>Green Submitted, Green Accepted</t>
  </si>
  <si>
    <t>WOS:000289018500016</t>
  </si>
  <si>
    <t>Federico, PJ; Maria, BA; Oscar, RJ; Oscar, M</t>
  </si>
  <si>
    <t>Federico, Ponce Juan; Maria, Borromei Ana; Oscar, Rabassa Jorge; Oscar, Martinez</t>
  </si>
  <si>
    <t>Late Quaternary palaeoenvironmental change in western Staaten Island (54.5° S, 64° W), Fuegian Archipelago</t>
  </si>
  <si>
    <t>QUATERNARY INTERNATIONAL</t>
  </si>
  <si>
    <t>TIERRA-DEL-FUEGO; SOUTHERNMOST SOUTH-AMERICA; HOLOCENE VEGETATION; YOUNGER DRYAS; MULTIPROXY RECORD; CLIMATE; PATAGONIA; PEAT; FOREST; VARIABILITY</t>
  </si>
  <si>
    <t>Late Glacial - Holocene environmental conditions were interpreted in western Isla de los Estados (Staaten Island) from geomorphological and palynological analysis. The geomorphological data from Caleta Lacroix (54 degrees 50' S: 64 40' W) indicate the presence of a fossil dune field that suggest exposition of a larger land surface and stronger wind intensity predominantly from SW and W probably during Late Glacial times, when sea level was lower than today. Deglaciation and onset of peat formation in the western coastal area began prior to 12,600 cal BP in response to warmer conditions. The pollen data indicates initial treeless herbaceous and paludal vegetation with scarce Empetrum/Ericaceae type heaths and scrubs as a result of plant invasion and short-term succession vegetal communities spreading over the shoreline areas under locally more humid conditions. The vegetation between 10,300 and 8300 cal BP included dwarf shrub heaths, scrubs, cushion plants and grasses with scattered trees, under warmer and drier climate conditions than today. After 8300 cal BP, more humid conditions allowed the expansion of an open Nothofagus forest associated with dwarf shrub heath communities. It was followed at 6700 cal BP by a gradual closed forest development in association with Drimys winteri and shrub and herb vegetation indicative of Subantarctic Evergreen Forest-Magellanic Moorland vegetation transition under cold and wet conditions. After 5500 cal BP, the rate of evergreen beech forest greatly increased with the development of almost pure Subantarctic Evergreen Forest communities. These vegetation changes accompanied a modification of the climate toward colder and wetter conditions. After 2700 cal BP, the closed forest was replaced by an open Nothofagus forest indicative of warm and dry conditions. The minimum of Nothofagus pollen registered between 1000 and 500 cal BP may correspond to the Medieval Climate Anomaly (MCA) period. All these vegetation changes are in turn related to the positioning and intensity of the Southern Westerlies wind belt, sea-ice Antarctic extent and changes in the sea level. (C) 2010 Elsevier Ltd and INQUA. All rights reserved.</t>
  </si>
  <si>
    <t>[Federico, Ponce Juan; Oscar, Rabassa Jorge] CADIC CONICET, Tierra Del Fuego, Argentina; [Maria, Borromei Ana] Univ Nacl Sur, INGEOSUR CONICET, Dept Geol, RA-8000 Bahia Blanca, Buenos Aires, Argentina; [Oscar, Rabassa Jorge] Univ Nacl Patagonia San Juan Bosco, Ushuaia, Argentina; [Oscar, Martinez] Univ Nacl Patagonia San Juan Bosco, Esquel, Argentina</t>
  </si>
  <si>
    <t>Consejo Nacional de Investigaciones Cientificas y Tecnicas (CONICET); Consejo Nacional de Investigaciones Cientificas y Tecnicas (CONICET); National University of the South; Universidad Nacional de la Patagonia San Juan Bosco; Universidad Nacional de la Patagonia San Juan Bosco</t>
  </si>
  <si>
    <t>Federico, PJ (corresponding author), CADIC CONICET, V9410BFD Ushuaia, Tierra Del Fuego, Argentina.</t>
  </si>
  <si>
    <t>jfponce@cadic-conicet.gob.ar</t>
  </si>
  <si>
    <t>Agenda Nacional para la Promocion de la Ciencia y Tecnologia (SECyT, Argentina) [PICTR 67/02]</t>
  </si>
  <si>
    <t>Agenda Nacional para la Promocion de la Ciencia y Tecnologia (SECyT, Argentina)(Secretaria de Ciencia y Tecnologia (SECYT))</t>
  </si>
  <si>
    <t>We acknowledge Brain Menounos (University of Northern British Columbia) for his valuable suggestions and English revision of the manuscript and, two anonymous reviewers for their constructive comments. We thank Adrian Schiavini and colleagues for arranging travel and stay in Isla de los Estados. Argentine Navy and the crew of the Sobral ship are acknowledged for their logistical support and travel assistance to get to the island. To INGEOSUR-CONICET, Departamento de Geologia, Universidad Nacional del Sur and CADIC-CONICET for having made available the required space and facilities to enable the carrying out of experimental and lab activities. This paper was funded by the Agenda Nacional para la Promocion de la Ciencia y Tecnologia (SECyT, Argentina) PICTR 67/02 to Jorge Rabassa.</t>
  </si>
  <si>
    <t>1040-6182</t>
  </si>
  <si>
    <t>1873-4553</t>
  </si>
  <si>
    <t>QUATERN INT</t>
  </si>
  <si>
    <t>Quat. Int.</t>
  </si>
  <si>
    <t>10.1016/j.quaint.2010.10.011</t>
  </si>
  <si>
    <t>737QN</t>
  </si>
  <si>
    <t>WOS:000288583400002</t>
  </si>
  <si>
    <t>Hay, WW</t>
  </si>
  <si>
    <t>Hay, William W.</t>
  </si>
  <si>
    <t>Can humans force a return to a 'Cretaceous' climate?</t>
  </si>
  <si>
    <t>Cretaceous; Paleoclimate; Greenhouse gases; Future climate; Atmospheric circulation; Ocean structure</t>
  </si>
  <si>
    <t>ANTARCTIC ICE-SHEET; OCEANIC RED BEDS; ATMOSPHERIC CARBON-DIOXIDE; SEA-SURFACE TEMPERATURES; PALEOBOTANICAL EVIDENCE; CO2 CONCENTRATION; ISOTOPIC EVIDENCE; SOUTHERN TIBET; HEAT-TRANSPORT; LEVEL CHANGES</t>
  </si>
  <si>
    <t>The modern pole-to-equator sea-level temperature difference is about 50 degrees C; that of the mid-Cretaceous ranged from 30 degrees C to as little as 24 degrees C, implying a much more equable climate. This may have been caused by 1) reduction of the ice-forced albedo of the polar regions, 2) more efficient meridional energy transport by the atmosphere and ocean, and 3) increased atmospheric greenhouse gas concentrations. Earth's icy polar regions stabilize its present 'inequable' climate through the ice-albedo feedback effect The polar ice results in permanent atmospheric highs that stabilize Earth's wind systems. In turn the stable winds drive the ocean currents and determine the location of the frontal systems that separate the low- and high-latitude oceanic gyre systems and bound the region where water sinks into the ocean interior as thermocline and intermediate water masses. Increased ocean heat transport can assist in making a more equable climate, but unrealistic volume transports would be required to warm the polar regions to Cretaceous levels. The major factor forcing the equable climate of the Cretaceous is now thought to be increased greenhouse gas concentrations, dominated by CO2. The modern rate of change in atmospheric concentration is greater than 200 ppmv per century and increasing. This compares with 1 ppmv per century during the last deglaciation. At current rates of fossil fuel burning, atmospheric CO2 levels will reach Cretaceous levels of 2 times the pre-industrial level about 2070 and 8 times the pre-industrial level shortly after 2300. It is likely that Cretaceous atmospheric CO2 concentrations will last for many thousands to tens of thousands of years. In addition to increased atmospheric greenhouse gas concentrations, a return to climatic conditions resembling those of the Cretaceous would require ice-free poles and large changes in atmospheric and oceanic circulation. Arctic sea-ice is melting much more rapidly than had been expected, and the Arctic Ocean will soon be free of sea-ice in summer. The Greenland ice sheet is melting more rapidly than expected because of greenhouse warming. Surface meltwater forms lakes, and then flows down through crevasses and holes in the ice to lubricate the base, allowing ice steams to flow much more rapidly. The lifetime of the Greenland ice sheet may be only a few hundred years. The West Antarctic ice sheet is inherently unstable, being grounded on rock well below sea level. The ice shelves blocking ice streams off West Antarctica have begun to melt from beneath and break up as the southern ocean warms. The East Antarctic ice sheet has been regarded as highly stable but discovery of lakes beneath the ice and fast-flowing ice streams raises questions about whether the ice sheet will ultimately succumb to global warming and disintegrate. I conclude that a return to climatic conditions resembling those of the mid-Cretaceous is not only possible but also likely unless humanity can organize an effective campaign to stop CO2 emissions to the atmosphere and remove some of the excess CO2 already introduced. (C) 2010 Elsevier B.V. All rights reserved.</t>
  </si>
  <si>
    <t>Hay, WW (corresponding author), 2045 Windcliff Dr, Estes Pk, CO 80517 USA.</t>
  </si>
  <si>
    <t>whay@gmx.de</t>
  </si>
  <si>
    <t>10.1016/j.sedgeo.2010.04.015</t>
  </si>
  <si>
    <t>732ML</t>
  </si>
  <si>
    <t>WOS:000288189300002</t>
  </si>
  <si>
    <t>Harvey, MJ; Law, CS; Smith, MJ; Hall, JA; Abraham, ER; Stevens, CL; Hadfield, MG; Ho, DT; Ward, B; Archer, SD; Cainey, JM; Currie, KI; Devries, D; Ellwood, MJ; Hill, P; Jones, GB; Katz, D; Kuparinen, J; Macaskill, B; Main, W; Marriner, A; McGregor, J; McNeil, C; Minnett, PJ; Nodder, SD; Peloquin, J; Pickmere, S; Pinkerton, MH; Safi, KA; Thompson, R; Walkington, M; Wright, SW; Ziolkowski, LA</t>
  </si>
  <si>
    <t>Harvey, Mike J.; Law, Cliff S.; Smith, Murray J.; Hall, Julie A.; Abraham, Edward R.; Stevens, Craig L.; Hadfield, Mark G.; Ho, David T.; Ward, Brian; Archer, Stephen D.; Cainey, Jill M.; Currie, Kim I.; Devries, Dawn; Ellwood, Michael J.; Hill, Peter; Jones, Graham B.; Katz, Dave; Kuparinen, Jorma; Macaskill, Burns; Main, William; Marriner, Andrew; McGregor, John; McNeil, Craig; Minnett, Peter J.; Nodder, Scott D.; Peloquin, Jill; Pickmere, Stuart; Pinkerton, Matthew H.; Safi, Karl A.; Thompson, Rona; Walkington, Matthew; Wright, Simon W.; Ziolkowski, Lori A.</t>
  </si>
  <si>
    <t>The SOLAS air-sea gas exchange experiment (SAGE) 2004</t>
  </si>
  <si>
    <t>Air-sea gas exchange; Iron fertilisation; Ocean biogeochemistry; SOLAS</t>
  </si>
  <si>
    <t>MESOSCALE IRON ENRICHMENT; WIND-SPEED; PHYTOPLANKTON BLOOM; PACIFIC-OCEAN; SOUTHERN; FERTILIZATION; HYPOTHESIS; ECOSYSTEM; SILICATE; LIGHT</t>
  </si>
  <si>
    <t>The SOLAS air-sea gas exchange experiment (SAGE) was a multiple-objective study investigating gas-transfer processes and the influence of iron fertilisation on biologically driven gas exchange in high-nitrate low-silicic acid low-chlorophyll (HNLSiLC) Sub-Antarctic waters characteristic of the expansive subpolar zone of the southern oceans. This paper provides a general introduction and summary of the main experimental findings. The release site was selected from a pre-voyage desktop study of environmental parameters to be in the south-west Bounty Trough (46.5 degrees S 172.5 degrees E) to the south-east of New Zealand and the experiment was conducted between mid-March and mid-April 2004. In common with other mesoscale iron addition experiments (FeAX's), SAGE was designed as a Lagrangian study, quantifying key biological and physical drivers influencing the air-sea gas exchange processes of CO2, DMS and other biogenic gases associated with an iron-induced phytoplankton bloom. A dual tracer SF6/He-3 release enabled quantification of both the lateral evolution of a labelled volume (patch) of ocean and the air-sea tracer exchange at tenths of kilometer scale, in conjunction with the iron fertilisation. Estimates from the dual-tracer experiment found a quadratic dependency of the gas exchange coefficient on windspeed that is widely applicable and describe air-sea gas exchange in strong wind regimes. Within the patch, local and micrometeorological gas exchange process studies (100 m scale) and physical variables such as near-surface turbulence, temperature microstructure at the interface, wave properties and windspeed were quantified to further assist the development of gas exchange models for high-wind environments. There was a significant increase in the photosynthetic competence (F-v/F-m) of resident phytoplankton within the first day following iron addition, but in contrast to other FeAX's, rates of net primary production and column-integrated chlorophyll a concentrations had only doubled relative to the unfertilised surrounding waters by the end of the experiment. After 15 days and four iron additions totalling 1.1 ton Fe2+, this was a very modest response compared to other mesoscale iron enrichment experiments. An investigation of the factors limiting bloom development considered co-limitation by light and other nutrients, the phytoplankton seed-stock and grazing regulation. Whilst incident light levels and the initial Si:N ratio were the lowest recorded in all FeAXs to date, there was only a small seed-stock of diatoms (less than 1% of biomass) and the main response to iron addition was by the picophytoplankton. A high rate of dilution of the fertilised patch relative to phytoplankton growth rate, the greater than expected depth of the surface mixed layer and microzooplankton grazing were all considered as factors that prevented significant biomass accumulation. In line with the limited response, the enhanced biological draw-down of pCO(2) was small and masked by a general increase in pCO(2) due to mixing with higher pCO(2) waters. The DMS precursor DMSP was kept in check through grazing activity and in contrast to most FeAX's dissolved dimethylsulfide (DMS) concentration declined through the experiment. SAGE is an important low-end member in the range of responses to iron addition in FeAX's. In the context of iron fertilisation as a geoengineering tool for atmospheric CO2 removal, SAGE has clearly demonstrated that a significant proportion of the low iron ocean may not produce a phytoplankton bloom in response to iron addition. (C) 2010 Elsevier Ltd. All rights reserved.</t>
  </si>
  <si>
    <t>[Harvey, Mike J.; Law, Cliff S.; Smith, Murray J.; Abraham, Edward R.; Stevens, Craig L.; Hadfield, Mark G.; Hill, Peter; Main, William; Marriner, Andrew; McGregor, John; Nodder, Scott D.; Pinkerton, Matthew H.; Thompson, Rona; Walkington, Matthew] Natl Inst Water &amp; Atmospher Res NIWA, Wellington, New Zealand; [Hall, Julie A.; Ellwood, Michael J.; Macaskill, Burns; Pickmere, Stuart; Safi, Karl A.] Natl Inst Water &amp; Atmospher Res NIWA, Hamilton, New Zealand; [Ho, David T.] Columbia Univ, Lamont Doherty Earth Observ, Palisades, NY 10964 USA; [Ward, Brian] Woods Hole Oceanog Inst, Woods Hole, MA 02543 USA; [Archer, Stephen D.] Plymouth Marine Lab, Plymouth PL1 3DH, Devon, England; [Cainey, Jill M.] Bur Meteorol, Cape Grim BAPS, Smithton, Tas 7330, Australia; [Currie, Kim I.] Univ Otago, Natl Inst Water &amp; Atmospher Res NIWA, Ctr Chem &amp; Phys Oceanog, Dept Chem, Dunedin, New Zealand; [Devries, Dawn] Univ Colorado Denver, Denver, CO 80217 USA; [Jones, Graham B.] So Cross Univ, Ctr Climate Change Studies, Sch Environm Sci &amp; Management, Lismore, NSW 2480, Australia; [McNeil, Craig] Univ Rhode Isl, Grad Sch Oceanog, Narragansett, RI 02882 USA; [Kuparinen, Jorma] Univ Helsinki, Dept Biol &amp; Environm Sci, FI-00014 Helsinki, Finland; [Minnett, Peter J.] Univ Miami, Rosenstiel Sch Marine &amp; Atmospher Sci, Miami, FL 33149 USA; [Peloquin, Jill] Coll William &amp; Mary, Virginia Inst Marine Sci, Gloucester Point, VA 23062 USA; [Wright, Simon W.] Australian Antarctic Div, Kingston, Tas 7050, Australia; [Ziolkowski, Lori A.] Dalhousie Univ, Dept Oceanog, Halifax, NS B3H 4J1, Canada</t>
  </si>
  <si>
    <t>National Institute of Water &amp; Atmospheric Research (NIWA) - New Zealand; National Institute of Water &amp; Atmospheric Research (NIWA) - New Zealand; Columbia University; Woods Hole Oceanographic Institution; Plymouth Marine Laboratory; Bureau of Meteorology - Australia; University of Otago; University of Colorado System; University of Colorado Anschutz Medical Campus; University of Colorado Denver; Children's Hospital Colorado; Southern Cross University; University of Rhode Island; University of Helsinki; University of Miami; William &amp; Mary; Virginia Institute of Marine Science; Australian Antarctic Division; Dalhousie University</t>
  </si>
  <si>
    <t>Harvey, MJ (corresponding author), Natl Inst Water &amp; Atmospher Res NIWA, POB 14-901, Wellington, New Zealand.</t>
  </si>
  <si>
    <t>m.harvey@niwa.co.nz</t>
  </si>
  <si>
    <t>Abraham, Edward R/D-7422-2011; Harvey, Mike/A-5354-2010; Ziolkowski, Lori/C-6752-2012; Ellwood, Michael J/G-7390-2011; Archer, Stephen/H-5490-2012; Ho, David T./A-3154-2011</t>
  </si>
  <si>
    <t>Abraham, Edward R/0000-0003-4490-6704; Harvey, Mike/0000-0002-0979-0227; Ziolkowski, Lori/0000-0002-1799-385X; Thompson, Rona/0000-0001-9485-7176; Katz, David/0000-0001-8952-6903; Law, Cliff/0000-0002-7669-2475; Stevens, Craig/0000-0002-4730-6985; Archer, Stephen/0000-0001-6054-2424; Jones, Graham/0000-0002-2815-6395; Ward, Brian/0000-0002-6763-5778; Ellwood, Michael/0000-0003-4288-8530; Ho, David T./0000-0002-0944-6952; Safi, Karl/0000-0002-7785-1909; McNeil, Craig/0000-0002-7487-8823</t>
  </si>
  <si>
    <t>New Zealand Foundation for Research, Science and Technology (FRST) [C01X0204, C01X0223]; US National Science Foundation [OCE-0326814, OCE-0327779, OCE-0327188 OCE-0326814]; UK Natural Environment Research Council [NER/B/S/2003/00282]; New Zealand International Science and Technology (ISAT)</t>
  </si>
  <si>
    <t>New Zealand Foundation for Research, Science and Technology (FRST)(New Zealand Foundation for Research, Science and Technology); US National Science Foundation(National Science Foundation (NSF)); UK Natural Environment Research Council(UK Research &amp; Innovation (UKRI)Natural Environment Research Council (NERC)); New Zealand International Science and Technology (ISAT)</t>
  </si>
  <si>
    <t>This challenging experiment was made possible through the good quality of logistic support provided by the entire crew of R.V. Tangaroa and personnel at NIWA Vessels Ltd. We thank Greg Foothead for his lead with logistics co-ordination. SAGE was jointly funded through the New Zealand Foundation for Research, Science and Technology (FRST) programs (C01X0204) Drivers and Mitigation of Global Change and (C01X0223) Ocean Ecosystems: Their Contribution to NZ Marine Productivity. Funding was also provided for specific collaborations by the US National Science Foundation from grants OCE-0326814 (Ward), OCE-0327779 (Ho), and OCE-0327188 OCE-0326814 (Minnett) and the UK Natural Environment Research Council NER/B/S/2003/00282 (Archer). The New Zealand International Science and Technology (ISAT) linkages fund provided additional funding (Archer and Ziolkowski), and many collaborator institutions also provided valuable support.</t>
  </si>
  <si>
    <t>10.1016/j.dsr2.2010.10.015</t>
  </si>
  <si>
    <t>WOS:000289124900001</t>
  </si>
  <si>
    <t>Peloquin, J; Hall, J; Safi, K; Ellwood, M; Law, CS; Thompson, K; Kuparinen, J; Harvey, M; Pickmere, S</t>
  </si>
  <si>
    <t>Peloquin, Jill; Hall, Julie; Safi, Karl; Ellwood, Michael; Law, Cliff S.; Thompson, Karen; Kuparinen, Jorma; Harvey, Michael; Pickmere, Stuart</t>
  </si>
  <si>
    <t>Control of the phytoplankton response during the SAGE experiment: A synthesis</t>
  </si>
  <si>
    <t>Iron addition experiment; SAGE; SOLAS; Phytoplankton; Silicic acid; Light limitation; Sub-Antarctic Pacific; Growth rate; Microzooplankton grazing</t>
  </si>
  <si>
    <t>CHLOROPHYLL-A FLUORESCENCE; ANTARCTIC POLAR FRONT; SUB-ARCTIC PACIFIC; MESOSCALE IRON ENRICHMENT; MARGINAL ICE-ZONE; SOUTHERN-OCEAN; NEW-ZEALAND; EQUATORIAL PACIFIC; COMMUNITY STRUCTURE; GRAZING IMPACT</t>
  </si>
  <si>
    <t>The SOLAS Air-Sea Gas Exchange (SAGE) experiment was conducted in Sub-Antarctic waters off the east coast of the South Island of New Zealand in the late summer of 2004. This mesoscale iron enrichment experiment was unique in that chlorophyll a (chl a) and primary productivity were only 2 x OUT stations values toward the end of the experiment and this enhancement was due to increased activity of non-diatomaceous species. In addition, this enhancement in activity appeared to occur without a significant build up of particulate organic carbon. Picoeukaryotes ( &lt; 2 mu m) were the only members of the phytoplankton assemblage that showed a statistically significant increase, a doubling in biomass. To better understand the controls of phytoplankton growth and biomass, we present results from a series of on-deck perturbation experiments conducted during SAGE. Results suggest that the pico-dominated phytoplankton assemblage was only weakly inhibited by iron. Diatoms with high growth rates comprised a small ( &lt; 1%) fraction of the phytoplankton assemblage, were likely iron limited, and potentially further limited by silicic acid and therefore did not significantly contribute to bloom dynamics. On deck experiments and comparison of SAGE with other iron addition experiments suggested that neither light availability nor deep mixed layers limited phytoplankton growth. Although no substantial increase in grazing rate or specific phytoplankton growth rate was detected, microzooplankton biomass doubled over SAGE as a result of an increase in cell size. The importance of microzooplankton grazing was highlighted by the fact that they were capable of consuming 15-49% of the total phytoplankton production per day. Removal was highest on eukaryotic picophytoplankton production with a mean value of 72% (29-143%). Patch dilution played an important role during SAGE; the mean patch net algal growth:dilution rate, 1.13 (0.4-2.2) was the lowest reported for a mesoscale iron enrichment experiment. Phytoplankton biomass, estimated by chlorophyll a, only accumulated when phytoplankton growth exceeded grazing and when net algal growth exceeded dilution rate. The SAGE results highlight the function of the smallest phytoplankton size fraction described by the ecumenical Iron Hypothesis. Thus, adding iron to HNLC-low silicic acid regions during certain times of the year may simply transfer more carbon through the microbial food web. A primary implication of this study is that any iron-mediated gain in fixed carbon with this set of environmental conditions has a high probability of being recycled in surface waters. (C) 2010 Elsevier Ltd. All rights reserved.</t>
  </si>
  <si>
    <t>[Peloquin, Jill] Swiss Fed Inst Technol, Inst Biogeochem &amp; Pollutant Dynam, Zurich, Switzerland; [Peloquin, Jill] Coll William &amp; Mary, Virginia Inst Marine Sci, Gloucester Pt, VA USA; [Hall, Julie; Law, Cliff S.; Harvey, Michael] NIWA, Wellington, New Zealand; [Safi, Karl; Ellwood, Michael; Thompson, Karen; Pickmere, Stuart] NIWA, Hamilton, New Zealand; [Kuparinen, Jorma] Univ Helsinki, Dept Biol &amp; Environm Sci, Helsinki, Finland</t>
  </si>
  <si>
    <t>Swiss Federal Institutes of Technology Domain; ETH Zurich; William &amp; Mary; Virginia Institute of Marine Science; National Institute of Water &amp; Atmospheric Research (NIWA) - New Zealand; National Institute of Water &amp; Atmospheric Research (NIWA) - New Zealand; University of Helsinki</t>
  </si>
  <si>
    <t>Peloquin, J (corresponding author), Swiss Fed Inst Technol, Inst Biogeochem &amp; Pollutant Dynam, Zurich, Switzerland.</t>
  </si>
  <si>
    <t>Harvey, Mike/A-5354-2010; Ellwood, Michael J/G-7390-2011</t>
  </si>
  <si>
    <t>Harvey, Mike/0000-0002-0979-0227; Ellwood, Michael/0000-0003-4288-8530; Safi, Karl/0000-0002-7785-1909; Law, Cliff/0000-0002-7669-2475</t>
  </si>
  <si>
    <t>New Zealand Foundation for Research, Science and Technology (FRST) [C01X0204, CC01X0223]</t>
  </si>
  <si>
    <t>We extend our thanks to the SAGE science party and the skilled Captain and Crew of the R/V Tangaroa. SAGE was jointly funded by the New Zealand Foundation for Research, Science and Technology (FRST) programs (C01X0204) Drivers and Mitigation of Global Change (CC01X0223) and Ocean Ecosystems: Their Contribution to NZ Marine Productivity. This manuscript was greatly improved by an anonymous reviewer and Michael Landry.</t>
  </si>
  <si>
    <t>10.1016/j.dsr2.2010.10.019</t>
  </si>
  <si>
    <t>WOS:000289124900007</t>
  </si>
  <si>
    <t>Archer, SD; Safi, K; Hall, A; Cummings, DG; Harvey, M</t>
  </si>
  <si>
    <t>Archer, S. D.; Safi, K.; Hall, A.; Cummings, D. G.; Harvey, M.</t>
  </si>
  <si>
    <t>Grazing suppression of dimethylsulphoniopropionate (DMSP) accumulation in iron-fertilised, sub-Antarctic waters</t>
  </si>
  <si>
    <t>Dimethyl sulphide (DMS); Dimethylsulphonioproprionate (DMSP); production and consumption; Iron fertilisation; Southern Ocean</t>
  </si>
  <si>
    <t>NORTHERN NORTH-SEA; DIMETHYL SULFIDE; EMILIANIA-HUXLEYI; EQUATORIAL PACIFIC; PARTICULATE DIMETHYLSULPHONIOPROPIONATE; PHYTOPLANKTON; DYNAMICS; CLIMATE; SULFUR; DIMETHYLSULFONIOPROPIONATE</t>
  </si>
  <si>
    <t>The impact of in situ iron fertilisation on the production of particulate dimethylsulphoniopropionate (DMSPp) and its breakdown product dimethyl sulphide (DMS) was monitored during the SOLAS air-sea gas exchange experiment (SAGE). The experiment was conducted in the high nitrate, low chlorophyll (HNLC) waters of the sub-Antarctic Southern Ocean (46.7 degrees S 172.5 degrees E) to the south-east of New Zealand, during March-April, 2004. In addition to monitoring net changes in the standing stocks of DMSPp and DMS, a series of dilution experiments were used to determine the DMSPp production and consumption rates in relation to increased iron availability. In contrast to previous experiments in the Southern Ocean, DMS concentrations decreased over the course of the 15-d iron-fertilisation experiment, from an integrated volume-specific concentration in the mixed layer on day 0 of 0.78 nM (measured values 0.65-0.91 nM) to 0.46 nM (measured values 0.42-0.47 nM) by day 15, in parallel with the surrounding waters. DMSPp, chlorophyll a and the abundance of photosynthetic picoeukaryotes exhibited indiscernible or only moderate increases in response to the raised iron availability, despite an obvious physiological response by the phytoplankton. High specific growth rates of DMSPp, equivalent to 0.8-1.2 doublings d(-1), occurred at the simulated 60% light level of the dilution experiments. Despite the high production rates, DMSPp accumulation was suppressed in part by microzooplankton grazers who consumed between 61% d(-1) and 126% d(-1) of the DMSPp production. Temporal trends in the rates of production and consumption illustrated a close coupling between the DMSP-producing phytoplankton and their microzooplankton grazers. Similar grazing and production rates were observed for the eukaryotic picophytoplankton that dominated the phytoplankton biomass, partial evidence that picoeukaryotes contributed a substantial proportion of the DMSP synthesis. These rates for DMSPp and picoeukaryotes were considerably higher than for chlorophyll a, indicating higher cycling rates of the DMSP-producing taxa than for the bulk phytoplankton community. When compared to the total phytoplankton community, there was no evidence of selection against the DMSP-containing phytoplankton by the microzooplankton grazers; the opposite appeared to be the case. SAGE demonstrated that increased iron availability in the HNLC waters of the Southern Ocean does not invariably lead to enhanced DMS sea-air flux. The potential suppression of DMSPp accumulation by grazers needs to be taken into account in future attempts to elevate DMS emission through in situ iron fertilisation and in understanding the hypothesised link between levels of Aeolian iron deposition in the Southern Ocean, DMS emission and global albedo. (C) 2010 Elsevier Ltd. All rights reserved.</t>
  </si>
  <si>
    <t>[Archer, S. D.; Cummings, D. G.] Plymouth Marine Lab, Plymouth PL1 3DH, Devon, England; [Safi, K.; Hall, A.] NIWA, Hamilton, New Zealand; [Harvey, M.] NIWA, Wellington, New Zealand</t>
  </si>
  <si>
    <t>Plymouth Marine Laboratory; National Institute of Water &amp; Atmospheric Research (NIWA) - New Zealand; National Institute of Water &amp; Atmospheric Research (NIWA) - New Zealand</t>
  </si>
  <si>
    <t>Archer, SD (corresponding author), Plymouth Marine Lab, Prospect Pl, Plymouth PL1 3DH, Devon, England.</t>
  </si>
  <si>
    <t>stda@pml.ac.uk</t>
  </si>
  <si>
    <t>Harvey, Mike/A-5354-2010; Archer, Stephen/H-5490-2012</t>
  </si>
  <si>
    <t>Harvey, Mike/0000-0002-0979-0227; Archer, Stephen/0000-0001-6054-2424; Safi, Karl/0000-0002-7785-1909</t>
  </si>
  <si>
    <t>Royal Society of New Zealand [04-BRFP-ENGL-HARV]; Natural Environment Research Council, UK [NER/B/S/2003/00282]; Natural Environment Research Council [NE/F010656/1, pml010002] Funding Source: researchfish; NERC [pml010002, NE/F010656/1] Funding Source: UKRI</t>
  </si>
  <si>
    <t>Royal Society of New Zealand(Royal Society of New Zealand); Natural Environment Research Council, UK(UK Research &amp; Innovation (UKRI)Natural Environment Research Council (NERC)); Natural Environment Research Council(UK Research &amp; Innovation (UKRI)Natural Environment Research Council (NERC)); NERC(UK Research &amp; Innovation (UKRI)Natural Environment Research Council (NERC))</t>
  </si>
  <si>
    <t>We would like to thank the captain and crew of the R.V. Tangaroa for their considerable assistance during the cruise. We also thank Cliff Law, Andrew Mariner, Peter Hill and Bill Main for creation and experiment. Three anonymous reviewers are thanked for their useful comments on an earlier draft of the manuscript. SA and MH would like to acknowledge the financial support provided by a Royal Society of New Zealand, International Science and Technology (ISAT) linkages fund (04-BRFP-ENGL-HARV) and SA acknowledges the financial support of the Natural Environment Research Council, UK (NER/B/S/2003/00282).</t>
  </si>
  <si>
    <t>10.1016/j.dsr2.2010.10.022</t>
  </si>
  <si>
    <t>WOS:000289124900008</t>
  </si>
  <si>
    <t>Morley, SA; Lemmon, V; Obermüller, BE; Spicer, JI; Clark, MS; Peck, LS</t>
  </si>
  <si>
    <t>Morley, S. A.; Lemmon, V.; Obermueller, B. E.; Spicer, J. I.; Clark, M. S.; Peck, L. S.</t>
  </si>
  <si>
    <t>Duration tenacity: A method for assessing acclimatory capacity of the Antarctic limpet, Nacella concinna</t>
  </si>
  <si>
    <t>Acclimation; Antarctic limpet; Nacella concinna; Tenacity; Thermal window</t>
  </si>
  <si>
    <t>CLIMATE-CHANGE; THERMAL TOLERANCE; LIMITS; TEMPERATURE; EVOLUTION; ADHESION; RANGE</t>
  </si>
  <si>
    <t>The limpet, Nacella concinna, collected from the Antarctic Peninsula (67 S), was incubated at -0.3 degrees C and 2.9 degrees C for 9 months to test if the previously reported absence of acclimation capacity in Antarctic marine ectotherms could be due to the extended time it takes for them to adjust their physiology to a new stable state. Acclimation was tested through acute measurements of upper lethal limit and a modified measure of tenacity, that tested muscle capacity by measuring the length of time that N. concinna were able to remain attached to the substratum at different temperatures. Both measures acclimated in response to incubation to the higher temperature. Lethal limits were elevated in N. concinna incubated at 2.9 degrees C (8.1 +/- 0.3 degrees C) compared to those incubated at -0.3 degrees C (6.9 +/- 0.4 degrees C). 2.9 degrees C incubated N. concinna also had a maximum tenacity at 2.1 degrees C. a higher temperature than the maximum tenacity of those incubated at -0.3 degrees C, which occurred at -1.0 degrees C. This study is the first to show that the Antarctic limpet can acclimate its physiology, but that it requires a greater period of time for acclimation to occur than previous studies have allowed for. (C) 2011 Elsevier B.V. All rights reserved.</t>
  </si>
  <si>
    <t>[Morley, S. A.; Obermueller, B. E.; Clark, M. S.; Peck, L. S.] British Antarctic Survey, Natl Environm Res Council, Cambridge CB3 0ET, Cambs, England; [Lemmon, V.; Spicer, J. I.] Univ Plymouth, Marine Biol &amp; Ecol Res Ctr, Sch Marine Sci &amp; Engn, Plymouth PL4 8AA, Devon, England</t>
  </si>
  <si>
    <t>UK Research &amp; Innovation (UKRI); Natural Environment Research Council (NERC); NERC British Antarctic Survey; University of Plymouth</t>
  </si>
  <si>
    <t>Morley, SA (corresponding author), British Antarctic Survey, Natl Environm Res Council, Madingley Rd, Cambridge CB3 0ET, Cambs, England.</t>
  </si>
  <si>
    <t>Lemmon, Vance/A-7410-2010; Clark, Melody/D-7371-2014</t>
  </si>
  <si>
    <t>Lemmon, Vance/0000-0003-3550-7576; Clark, Melody/0000-0002-3442-3824</t>
  </si>
  <si>
    <t>Natural Environment Council; University of Plymouth; Natural Environment Research Council [bas0100025] Funding Source: researchfish; NERC [bas0100025] Funding Source: UKRI</t>
  </si>
  <si>
    <t>Natural Environment Council; University of Plymouth; Natural Environment Research Council(UK Research &amp; Innovation (UKRI)Natural Environment Research Council (NERC)); NERC(UK Research &amp; Innovation (UKRI)Natural Environment Research Council (NERC))</t>
  </si>
  <si>
    <t>This study is part of the British Antarctic Survey's Polar Science for Planet Earth programme (Ecosystems/Adaptations and Physiology), funded by the Natural Environment Council. VL was supported by the University of Plymouth. We thank the Rothera Antarctic team, particularly Kelvin Murray, for collecting the limpets and the crew of the Shackelton, including Sue Gregory, for transporting them to the UK. Sandy Cordiner-Laurie, Lucy Conway, Guy Hillyard and Manuella Truebano all helped maintain the limpets upon their arrival in the UK. These experiments comply with current UK legislation. [SS]</t>
  </si>
  <si>
    <t>10.1016/j.jembe.2011.01.013</t>
  </si>
  <si>
    <t>745QC</t>
  </si>
  <si>
    <t>WOS:000289179700006</t>
  </si>
  <si>
    <t>Wang, CS; Hu, XM; Huang, YJ; Wagreich, M; Scott, R; Hay, W</t>
  </si>
  <si>
    <t>Wang, Chengshan; Hu, Xiumian; Huang, Yongjian; Wagreich, Michael; Scott, Robert; Hay, William</t>
  </si>
  <si>
    <t>Cretaceous oceanic red beds as possible consequence of oceanic anoxic events</t>
  </si>
  <si>
    <t>Cretaceous; Black shales; Oceanic red beds; Oceanic anoxic events; Paleoceanography; Paleoclimate</t>
  </si>
  <si>
    <t>ATMOSPHERIC CO2; ORGANIC-MATTER; BLACK SHALES; EASTERN ALPS; IRON; PHOSPHORUS; SEDIMENTS; ATLANTIC; CYCLE; STRATIGRAPHY</t>
  </si>
  <si>
    <t>Oceanic Anoxic Events (OAEs) represent brief periods of burial of large amounts of organic carbon in the oceans during Cretaceous time. Burial of organic carbon, which preferentially sequestered isotopically lighter carbon during OAEs, resulted in positive delta C-13 excursions of 2-3% recognizable in global ocean. These deposits are typically dark-grey to black shales, considered to be the result of interaction between extreme warm climate, ocean circulation, high bioproductivity and organic carbon preservation. Less interest has been given to periods between OAEs, when oxic deep sea deposits such as red marls and red shales were deposited during mid- and Late Cretaceous. The latter deposits are associated with very low content of organic carbon and oxic depositional environments which dominated western Tethys in post Turonian time, up to the early Eocene. Feedbacks among geochemical cycles in response to decreasing global temperatures, increasing deep ocean circulation forced by high-latitude deep water formation along the Antarctic margin, and widening and deepening of the interconnections between the oceanic basins may have been responsible for the major paleoceanographic change from deposition of organic carbon-rich black shales during mid-Cretaceous, to world-wide deposition of Cretaceous Oceanic Red Beds (CORBs) in the Late Cretaceous. The presence of CORBs sandwiched between mid-Cretaceous OAEs may reflect major climate and paleoceanographic changes. In a contrast to extremely warm climates during the OAEs, the CORBs suggest cold periods, and therefore oscillating climate shifts, that have seldom been considered during modeling of Cretaceous greenhouse climate and global carbon cycling. Crown Copyright (C) 2010 Published by Elsevier B.V. All rights reserved.</t>
  </si>
  <si>
    <t>[Wang, Chengshan; Huang, Yongjian] China Univ Geosci, State Key Lab Geol Proc &amp; Mineral Resources, Beijing 100083, Peoples R China; [Hu, Xiumian] Nanjing Univ, Dept Earth Sci, Nanjing 210093, Peoples R China; [Wagreich, Michael] Univ Vienna, Dept Geodynam &amp; Sedimentol, A-1090 Vienna, Austria; [Scott, Robert] Univ Tulsa, Cleveland, OK 74020 USA; [Hay, William] Univ Colorado, Dept Geol Sci, Boulder, CO 80309 USA</t>
  </si>
  <si>
    <t>China University of Geosciences; Nanjing University; University of Vienna; University of Tulsa; University of Colorado System; University of Colorado Boulder</t>
  </si>
  <si>
    <t>Wang, CS (corresponding author), China Univ Geosci, State Key Lab Geol Proc &amp; Mineral Resources, Beijing 100083, Peoples R China.</t>
  </si>
  <si>
    <t>chshwang@cugb.edu.cn; huxm@nju.edu.cn; huangyj@cugb.edu.cn; michael.wagreich@univie.ac.at; rwscott@ix.netcom.com; whay@gmx.de</t>
  </si>
  <si>
    <t>Wagreich, Michael/D-2279-2013; Hu, Xiumian/A-8785-2011; Wang, Chengshan/F-1230-2018</t>
  </si>
  <si>
    <t>Wagreich, Michael/0000-0002-8828-0857; Wang, Chengshan/0000-0002-7403-0582; Hu, Xiumian/0000-0002-5401-8682</t>
  </si>
  <si>
    <t>National Key Basic Research Program of China [2006CB701400]; 111 Project of China [B07011]; Chinese National Science Foundation [40332020]</t>
  </si>
  <si>
    <t>National Key Basic Research Program of China(National Basic Research Program of China); 111 Project of China(Ministry of Education, China - 111 Project); Chinese National Science Foundation(National Natural Science Foundation of China (NSFC))</t>
  </si>
  <si>
    <t>We thank the fellows from IGCP 463/494/555, and particularly to co-leaders Lubomir Jansa from in Canada, and Massimo Sarti in Italy, for valuable help concerning Cretaceous oceanic red beds deposition. We thank Karl Follmi of the University of Lausanne, Switzerland, for providing phosphorus accumulation data. Thanks Mr. Ma Chao and Dr. Xi Chen who prepared Figs. 1 and 2. This manuscript benefited from the constructive reviews by guest editor Prof. Brad Sageman and one anonymous reviewer. This work was financially supported by National Key Basic Research Program of China Grant 2006CB701400, 111 Project of China Grant B07011 and Chinese National Science Foundation Grant 40332020.</t>
  </si>
  <si>
    <t>10.1016/j.sedgeo.2010.06.025</t>
  </si>
  <si>
    <t>WOS:000288189300003</t>
  </si>
  <si>
    <t>Horváth, G; Barta, A; Pomozi, I; Suhai, B; Hegedüs, R; Åkesson, S; Meyer-Rochow, B; Wehner, R</t>
  </si>
  <si>
    <t>Horvath, Gabor; Barta, Andras; Pomozi, Istvan; Suhai, Bence; Hegedues, Ramon; Akesson, Susanne; Meyer-Rochow, Benno; Wehner, Ruediger</t>
  </si>
  <si>
    <t>On the trail of Vikings with polarized skylight: experimental study of the atmospheric optical prerequisites allowing polarimetric navigation by Viking seafarers</t>
  </si>
  <si>
    <t>PHILOSOPHICAL TRANSACTIONS OF THE ROYAL SOCIETY B-BIOLOGICAL SCIENCES</t>
  </si>
  <si>
    <t>Viking navigation; sky polarization; imaging polarimetry; atmospheric optics</t>
  </si>
  <si>
    <t>CLOUDY CONDITIONS; CLEAR; SKIES; ANGLE</t>
  </si>
  <si>
    <t>Between AD 900 and AD 1200 Vikings, being able to navigate skillfully across the open sea, were the dominant seafarers of the North Atlantic. When the Sun was shining, geographical north could be determined with a special sundial. However, how the Vikings could have navigated in cloudy or foggy situations, when the Sun's disc was unusable, is still not fully known. A hypothesis was formulated in 1967, which suggested that under foggy or cloudy conditions, Vikings might have been able to determine the azimuth direction of the Sun with the help of skylight polarization, just like some insects. This hypothesis has been widely accepted and is regularly cited by researchers, even though an experimental basis, so far, has not been forthcoming. According to this theory, the Vikings could have determined the direction of the skylight polarization with the help of an enigmatic birefringent crystal, functioning as a linearly polarizing filter. Such a crystal is referred to as 'sunstone' in one of the Viking's sagas, but its exact nature is unknown. Although accepted by many, the hypothesis of polarimetric navigation by Vikings also has numerous sceptics. In this paper, we summarize the results of our own celestial polarization measurements and psychophysical laboratory experiments, in which we studied the atmospheric optical prerequisites of possible sky-polarimetric navigation in Tunisia, Finland, Hungary and the high Arctic.</t>
  </si>
  <si>
    <t>[Horvath, Gabor; Barta, Andras; Pomozi, Istvan; Suhai, Bence] Eotvos Lorand Univ, Inst Phys, Dept Biol Phys, Environm Opt Lab, H-1117 Budapest, Hungary; [Hegedues, Ramon] Univ Girona, Comp Vis &amp; Robot Grp, Girona 17071, Spain; [Akesson, Susanne] Lund Univ, Dept Anim Ecol, SE-22362 Lund, Sweden; [Meyer-Rochow, Benno] Jacobs Univ Bremen, Fac Sci &amp; Engn, D-28725 Bremen, Germany; [Meyer-Rochow, Benno] Univ Oulu, Dept Zool, Inst Biol, FIN-90570 Oulu, Finland; [Wehner, Ruediger] Univ Zurich, Brain Res Inst, CH-8057 Zurich, Switzerland; [Wehner, Ruediger] Univ Wurzburg, Bioctr, D-97074 Wurzburg, Germany</t>
  </si>
  <si>
    <t>Eotvos Lorand University; Universitat de Girona; Lund University; Jacobs University; University of Oulu; University of Zurich; University of Wurzburg</t>
  </si>
  <si>
    <t>Horváth, G (corresponding author), Eotvos Lorand Univ, Inst Phys, Dept Biol Phys, Environm Opt Lab, Pazmany Setany 1, H-1117 Budapest, Hungary.</t>
  </si>
  <si>
    <t>gh@arago.elte.hu</t>
  </si>
  <si>
    <t>Åkesson, Susanne/F-3175-2015</t>
  </si>
  <si>
    <t>Åkesson, Susanne/0000-0001-9039-2180</t>
  </si>
  <si>
    <t>Alexander von Humboldt Foundation; Swiss Science Foundation; University of Oulu; Swedish Research Council; SCAR; International Polar Foundation; European Commission</t>
  </si>
  <si>
    <t>Alexander von Humboldt Foundation(Alexander von Humboldt Foundation); Swiss Science Foundation(Swiss National Science Foundation (SNSF)); University of Oulu; Swedish Research Council(Swedish Research Council); SCAR; International Polar Foundation; European Commission(European Union (EU)European Commission Joint Research Centre)</t>
  </si>
  <si>
    <t>Our research was supported by an equipment donation from the Alexander von Humboldt Foundation to G.H. The Tunisian expedition was financed by the Swiss Science Foundation. The Finnish measuring campaign was supported by the University of Oulu through a grant to B. Meyer-Rochow. The Beringia 2005 expedition was organized by the Swedish Polar Research Secretariat and Lund University, and participation by S.A. and G.H. was financed by a grant from the Swedish Research Council. Ramon Hegedus is a SCAR 6CI (Scientific Committee on Antarctic Research, International Polar Year's 6th Continent Initiative) fellow and holder of a Marie-Curie post-doctoral grant. He is thankful to SCAR, the International Polar Foundation and the European Commission for their support. Many thanks are due to Dr Jozsef Ga1 (Jacobs University, Bremen, Germany) and Dr Robert Horvath (University of Roskilde, Denmark) for organizing some of the psychophysical laboratory experiments in Bremen and Roskilde. We thank Dr David Selmeczi (University of Roskilde, Denmark) for translating some publications of Thorkild Ramskou from Danish into Hungarian.</t>
  </si>
  <si>
    <t>0962-8436</t>
  </si>
  <si>
    <t>PHILOS T R SOC B</t>
  </si>
  <si>
    <t>Philos. Trans. R. Soc. B-Biol. Sci.</t>
  </si>
  <si>
    <t>MAR 12</t>
  </si>
  <si>
    <t>10.1098/rstb.2010.0194</t>
  </si>
  <si>
    <t>713FW</t>
  </si>
  <si>
    <t>WOS:000286721400020</t>
  </si>
  <si>
    <t>Walter, JI; Brodsky, EE; Tulaczyk, S; Schwartz, SY; Pettersson, R</t>
  </si>
  <si>
    <t>Walter, Jacob I.; Brodsky, Emily E.; Tulaczyk, Slawek; Schwartz, Susan Y.; Pettersson, Rickard</t>
  </si>
  <si>
    <t>Transient slip events from near-field seismic and geodetic data on a glacier fault, Whillans Ice Plain, West Antarctica</t>
  </si>
  <si>
    <t>STICK-SLIP; BASAL MECHANICS; SIPLE DOME; STREAM B; EARTHQUAKES; BENEATH; BEHAVIOR; RUPTURE; MOTION; ZONE</t>
  </si>
  <si>
    <t>Bidaily, tidally modulated stick-slip speed-ups of the Whillans Ice Plain (WIP) provide insight into glacier dynamics and failure at a naturally repeating fault asperity. We installed a network of continuously operating GPS receivers in 2007 and deployed on-ice broadband seismometers during the austral summer of 2008 on Whillans Ice Stream (WIS), West Antarctica, and recorded 26 glacier speed-up events. Previous work during the 2004 field season suggested that these speed-ups initiate as failure of an asperity on or near ice raft A that triggers rupture across the entire WIP. Our results for 2008 locate the slip initiation farther to the south of this feature, closer to the grounding line and the southernmost extent of the Ross Ice Shelf. The initiation may be controlled by a discontinuity in basal boundary conditions at the suture between two ice streams. A strong correlation between the amplitude of seismic waves generated at the rupture front and the total slip achieved over the duration of the slip event (similar to 30 min) suggests slip-predictable behavior, i.e., the ability to forecast the eventual slip based on the first minute of seismic radiation. Successive slip events propagate with different rupture speeds (100-300 m/s) that strongly correlate (R-2 = 0.73) with the interevent duration. In addition, the amount of slip achieved during each event appears to be correlated with the rupture speed. We use these observations to constrain basal shear stress to be 4 kPa by calculating conditions for basal freezing. Our observations yield information regarding mechanics and dynamics of ice streambeds at the scale of tens to hundreds of kilometers. Subglacial processes are notoriously difficult to constrain on these large scales, which are relevant to the understanding of regional and continental ice motion.</t>
  </si>
  <si>
    <t>[Walter, Jacob I.; Brodsky, Emily E.; Tulaczyk, Slawek; Schwartz, Susan Y.] Univ Calif Santa Cruz, Dept Earth &amp; Planetary Sci, Santa Cruz, CA 95064 USA; [Pettersson, Rickard] Uppsala Univ, Dept Earth Sci, SE-75236 Uppsala, Sweden</t>
  </si>
  <si>
    <t>University of California System; University of California Santa Cruz; Uppsala University</t>
  </si>
  <si>
    <t>Walter, JI (corresponding author), Univ Calif Santa Cruz, Dept Earth &amp; Planetary Sci, 1156 High St, Santa Cruz, CA 95064 USA.</t>
  </si>
  <si>
    <t>jwalter@ucsc.edu; brodsky@pmc.ucsc.edu; tulaczyk@pmc.ucsc.edu; susan@pmc.ucsc.edu; rickard.pettersson@geo.uu.se</t>
  </si>
  <si>
    <t>Brodsky, Emily/B-9139-2014; Walter, Jacob/C-6806-2015; Tulaczyk, Slawek/O-7375-2018</t>
  </si>
  <si>
    <t>Walter, Jacob/0000-0001-7127-9422; Tulaczyk, Slawek/0000-0002-9711-4332; Brodsky, Emily/0000-0002-6855-6860</t>
  </si>
  <si>
    <t>NSF Antarctic Sciences Division [0636970]; NASA; National Science Foundation [0552316]; NASA under NSF [EAR-0735156]; Department of Energy National Nuclear Security Administration; Division Of Earth Sciences; Directorate For Geosciences [0552316] Funding Source: National Science Foundation</t>
  </si>
  <si>
    <t>NSF Antarctic Sciences Division; NASA(National Aeronautics &amp; Space Administration (NASA)); National Science Foundation(National Science Foundation (NSF)); NASA under NSF; Department of Energy National Nuclear Security Administration(National Nuclear Security AdministrationUnited States Department of Energy (DOE)); Division Of Earth Sciences; Directorate For Geosciences(National Science Foundation (NSF)NSF - Directorate for Geosciences (GEO))</t>
  </si>
  <si>
    <t>Thorough and thoughtful reviews by the Associate Editor, Martin Truffer, Fabian Walter, and Paul Winberry considerably improved this paper. This work was funded primarily by NSF Antarctic Sciences Division grant 0636970. A NASA Earth and Space Science Fellowship provided support for J.I.W. We would like to thank John Woodward and Saffia Hossainzadeh for assistance in the field. We thank Dan Sampson for providing technical assistance prior to fieldwork and Doug Wiens for loaning some of the passive seismic sensors. Raytheon Polar Services provided field support and logistics. The GPS stations were provided by the UNAVCO Facility with support from the National Science Foundation and NASA under NSF Cooperative Agreement EAR-0735156. Some of the instruments used in the field program were provided by the PASSCAL facility of the Incorporated Research Institutions for Seismology (IRIS) through the PASSCAL Instrument Center at New Mexico Tech. Data collected during this experiment will be available through the IRIS Data Management Center. The facilities of the IRIS Consortium are supported by the National Science Foundation under Cooperative Agreement EAR-0552316 and by the Department of Energy National Nuclear Security Administration.</t>
  </si>
  <si>
    <t>MAR 11</t>
  </si>
  <si>
    <t>F01021</t>
  </si>
  <si>
    <t>10.1029/2010JF001754</t>
  </si>
  <si>
    <t>734IQ</t>
  </si>
  <si>
    <t>WOS:000288328200002</t>
  </si>
  <si>
    <t>Levine, JG; Wolff, EW; Jones, AE; Hutterli, MA; Wild, O; Carver, GD; Pyle, JA</t>
  </si>
  <si>
    <t>Levine, J. G.; Wolff, E. W.; Jones, A. E.; Hutterli, M. A.; Wild, O.; Carver, G. D.; Pyle, J. A.</t>
  </si>
  <si>
    <t>In search of an ice core signal to differentiate between source-driven and sink-driven changes in atmospheric methane</t>
  </si>
  <si>
    <t>LAST GLACIAL MAXIMUM; CHEMICAL-TRANSPORT MODEL; MEAN OH CONCENTRATION; PAST 800,000 YEARS; TROPOSPHERIC OZONE; CARBON-MONOXIDE; SCALE FEATURES; SULFUR CYCLE; CH4 GRADIENT; POLAR ICE</t>
  </si>
  <si>
    <t>The concentration of atmospheric methane increased from around 360 ppbv at the last glacial maximum (similar to 20 ka before present) to about 700 ppbv in the pre-industrial era (similar to 200 years before present). The sources and/or sinks of methane must therefore have changed during this period; however, the relative sizes of the source- and sink-driven changes in methane concentration remain uncertain. We take the first bottom-up approach to identifying any chemical signals preserved in the ice record that could help us to determine these. Using an atmospheric chemistry-transport model, we explore the effects of source- and sink-driven changes in methane on a wide range of chemical species in the Antarctic boundary layer. Though we identify several potentially useful atmospheric signals, a simple and robust constraint on the sizes of the source- and sink-driven changes cannot be readily identified, owing to their preservation in the ice, limitations to the information they hold, and/or ambiguity surrounding their interpretation. This includes the mass-independent fractionation of oxygen isotopes in sulfates, and the concentration of formaldehyde, in which there has been considerable interest. Our exploration is confined to a domain in which NOx emissions and climate remain constant. However, given the uncertainties associated with the changes in these factors, we would anticipate that their inclusion would make it harder still to identify a robust signal. Finally, though formaldehyde cannot provide this, we propose how it might be used to synchronize the gas- and aqueous-phase Antarctic ice records and thus determine the relative phasing of glacial-interglacial changes in Southern Hemisphere CO2 and temperature.</t>
  </si>
  <si>
    <t>[Levine, J. G.; Wolff, E. W.; Jones, A. E.] British Antarctic Survey, Cambridge CB3 0ET, England; [Wild, O.] Univ Lancaster, Lancaster Environm Ctr, Lancaster LA1 4YQ, England; [Carver, G. D.; Pyle, J. A.] Univ Cambridge, Dept Chem, Ctr Atmospher Sci, Cambridge CB2 1EW, England; [Carver, G. D.; Pyle, J. A.] Univ Cambridge, Natl Ctr Atmospher Sci, Cambridge CB2 1EW, England</t>
  </si>
  <si>
    <t>UK Research &amp; Innovation (UKRI); Natural Environment Research Council (NERC); NERC British Antarctic Survey; Lancaster University; University of Cambridge; University of Cambridge; UK Research &amp; Innovation (UKRI); Natural Environment Research Council (NERC); NERC National Centre for Atmospheric Science</t>
  </si>
  <si>
    <t>Levine, JG (corresponding author), British Antarctic Survey, Madingley Rd, Cambridge CB3 0ET, England.</t>
  </si>
  <si>
    <t>javi@bas.ac.uk</t>
  </si>
  <si>
    <t>Wolff, Eric W/D-7925-2014; Levine, James/KCZ-2135-2024; Wild, Oliver/A-4909-2009</t>
  </si>
  <si>
    <t>Wolff, Eric W/0000-0002-5914-8531; Levine, James/0000-0002-0932-9115; Carver, Glenn/0000-0001-7582-6497; Wild, Oliver/0000-0002-6227-7035</t>
  </si>
  <si>
    <t>Natural Environment Research Council; French Institut National des Sciences de l'Univers; NERC [bas0100024, NE/E007600/1] Funding Source: UKRI; Natural Environment Research Council [ceh010010, ncas10009, bas0100024, NE/E007600/1] Funding Source: researchfish</t>
  </si>
  <si>
    <t>Natural Environment Research Council(UK Research &amp; Innovation (UKRI)Natural Environment Research Council (NERC)); French Institut National des Sciences de l'Univers; NERC(UK Research &amp; Innovation (UKRI)Natural Environment Research Council (NERC)); Natural Environment Research Council(UK Research &amp; Innovation (UKRI)Natural Environment Research Council (NERC))</t>
  </si>
  <si>
    <t>This study is part of the British Antarctic Survey Polar Science for Planet Earth Programme and a contribution to the Dynamics of the Earth System and the Ice core Record project, the latter being jointly funded by the Natural Environment Research Council's program, Quantifying and Understanding the Earth System, and the French Institut National des Sciences de l'Univers; we gratefully acknowledge their support. The authors also wish to thank: Paul Valdes of the School of Geographical Sciences, University of Bristol, for the PI emissions; Nicola Warwick of the Centre for Atmospheric Science, University of Cambridge, for her help in implementing these emissions in the Cambridge p-TOMCAT model; and three anonymous reviewers for their insightful comments.</t>
  </si>
  <si>
    <t>D05305</t>
  </si>
  <si>
    <t>10.1029/2010JD014878</t>
  </si>
  <si>
    <t>734HJ</t>
  </si>
  <si>
    <t>WOS:000288324900003</t>
  </si>
  <si>
    <t>Munneke, PK; van den Broeke, MR; Lenaerts, JTM; Flanner, MG; Gardner, AS; van de Berg, WJ</t>
  </si>
  <si>
    <t>Munneke, P. Kuipers; van den Broeke, M. R.; Lenaerts, J. T. M.; Flanner, M. G.; Gardner, A. S.; van de Berg, W. J.</t>
  </si>
  <si>
    <t>A new albedo parameterization for use in climate models over the Antarctic ice sheet</t>
  </si>
  <si>
    <t>SURFACE; RADIATION; SHELF; SNOW; TEMPERATURE; GREENLAND; COLLAPSE; BALANCE; ENERGY</t>
  </si>
  <si>
    <t>A parameterization for broadband snow surface albedo, based on snow grain size evolution, cloud optical thickness, and solar zenith angle, is implemented into a regional climate model for Antarctica and validated against field observations of albedo for the period 1995-2004. Over the Antarctic continent, modeled snow grain size exhibits expected behavior. The agreement between modeled and observed albedo at Neumayer, Dronning Maud Land, is very good, and subtle variability in albedo is well captured by the model. December-February mean differences in modeled and observed net shortwave radiation range from -8.7 to +3.8 W m(-2) between 1995 and 2004, with a mean value of -2.7 W m(-2). This is a considerable improvement compared to the previous albedo parameterization in the model, which led to overestimates of the net shortwave fluxes by +15.0 to +22.7 W m(-2), or 40-55% of the observed net shortwave flux, in the same period.</t>
  </si>
  <si>
    <t>[Munneke, P. Kuipers; van den Broeke, M. R.; Lenaerts, J. T. M.; van de Berg, W. J.] Univ Utrecht, Inst Marine &amp; Atmospher Res, NL-3508 TA Utrecht, Netherlands; [Flanner, M. G.; Gardner, A. S.] Univ Michigan, Dept Atmospher Ocean &amp; Space Sci, Ann Arbor, MI 48109 USA; [Gardner, A. S.] Univ Alberta, Dept Earth &amp; Atmospher Sci, Edmonton, AB, Canada</t>
  </si>
  <si>
    <t>Utrecht University; University of Michigan System; University of Michigan; University of Alberta</t>
  </si>
  <si>
    <t>Munneke, PK (corresponding author), Univ Utrecht, Inst Marine &amp; Atmospher Res, NL-3508 TA Utrecht, Netherlands.</t>
  </si>
  <si>
    <t>p.kuipersmunneke@uu.nl</t>
  </si>
  <si>
    <t>van de Berg, Willem Jan/H-4385-2011; Van den Broeke, Michiel R./F-7867-2011; Flanner, Mark/C-6139-2011; Lenaerts, Jan/D-9423-2012</t>
  </si>
  <si>
    <t>van de Berg, Willem Jan/0000-0002-8232-2040; Van den Broeke, Michiel R./0000-0003-4662-7565; Flanner, Mark/0000-0003-4012-174X; Lenaerts, Jan/0000-0003-4309-4011; Gardner, Alex/0000-0002-8394-8889; Kuipers Munneke, Peter/0000-0001-5555-3831</t>
  </si>
  <si>
    <t>NWO/ALW [818.01.016]</t>
  </si>
  <si>
    <t>NWO/ALW(Netherlands Organization for Scientific Research (NWO))</t>
  </si>
  <si>
    <t>The authors would like to thank three anonymous reviewers for their suggestions to improve this manuscript. This research was partly funded by NWO/ALW grant 818.01.016.</t>
  </si>
  <si>
    <t>MAR 10</t>
  </si>
  <si>
    <t>D05114</t>
  </si>
  <si>
    <t>10.1029/2010JD015113</t>
  </si>
  <si>
    <t>734HD</t>
  </si>
  <si>
    <t>WOS:000288324300006</t>
  </si>
  <si>
    <t>Archibald, AT; Levine, JG; Abraham, NL; Cooke, MC; Edwards, PM; Heard, DE; Jenkin, ME; Karunaharan, A; Pike, RC; Monks, PS; Shallcross, DE; Telford, PJ; Whalley, LK; Pyle, JA</t>
  </si>
  <si>
    <t>Archibald, A. T.; Levine, J. G.; Abraham, N. L.; Cooke, M. C.; Edwards, P. M.; Heard, D. E.; Jenkin, M. E.; Karunaharan, A.; Pike, R. C.; Monks, P. S.; Shallcross, D. E.; Telford, P. J.; Whalley, L. K.; Pyle, J. A.</t>
  </si>
  <si>
    <t>Impacts of HOx regeneration and recycling in the oxidation of isoprene: Consequences for the composition of past, present and future atmospheres</t>
  </si>
  <si>
    <t>TROPICAL OZONE CLIMATOLOGY; TROPOSPHERIC OZONE; EMISSIONS; FOREST; CHEMISTRY; CAMPAIGN; BUDGETS; SUMMER; MODEL</t>
  </si>
  <si>
    <t>A global chemistry-climate model is used to assess the impact on atmospheric composition of the regeneration and recycling of HOx in the photo-oxidation of isoprene. The impact is explored subject to present-day, pre-industrial and future climate/emission scenarios. Our calculations show that, in all cases, the inclusion of uni-molecular iso-merisations of the isoprene hydroxy-peroxy radicals leads to enhanced production of HOx radicals and ozone. The global burden of ozone increases by 25-36 Tg (8-18%), depending on the climate/emissions scenario, whilst the changes in OH lead to decreases in the methane lifetime of between 11% in the future and 35% in the pre-industrial. Critically the size of the change in methane lifetime depends on the VOC/NOx emission ratio. The results of the present-day calculations suggest a certain amount of parameter refinement is still needed to reconcile the updated chemistry with field observations (particularly for HO2+RO2). However, the updated chemistry could have far-reaching implications for: future-climate predictions; projections of future oxidising capacity; and our understanding of past changes in oxidising capacity. Citation: Archibald, A. T., et al. (2011), Impacts of HOx regeneration and recycling in the oxidation of isoprene: Consequences for the composition of past, present and future atmospheres, Geophys. Res. Lett., 38, L05804, doi: 10.1029/2010GL046520.</t>
  </si>
  <si>
    <t>[Archibald, A. T.; Abraham, N. L.; Heard, D. E.; Jenkin, M. E.; Monks, P. S.; Telford, P. J.; Whalley, L. K.; Pyle, J. A.] Natl Ctr Atmospher Sci, Cambridge, England; [Cooke, M. C.; Jenkin, M. E.; Shallcross, D. E.] Univ Bristol, Atmospher Chem Res Grp, Sch Chem, Bristol BS8 1TS, Avon, England; [Edwards, P. M.; Heard, D. E.; Whalley, L. K.] Univ Leeds, Sch Chem, Leeds LS2 9JT, W Yorkshire, England; [Karunaharan, A.; Monks, P. S.] Univ Leicester, Dept Chem, Leicester LE1 7RH, Leics, England; [Levine, J. G.] British Antarctic Survey, Cambridge CB3 0ET, England; [Archibald, A. T.; Abraham, N. L.; Pike, R. C.; Telford, P. J.; Pyle, J. A.] Univ Cambridge, Dept Chem, Cambridge CB2 1EW, England</t>
  </si>
  <si>
    <t>UK Research &amp; Innovation (UKRI); Natural Environment Research Council (NERC); NERC National Centre for Atmospheric Science; University of Cambridge; University of Bristol; University of Leeds; University of Leicester; UK Research &amp; Innovation (UKRI); Natural Environment Research Council (NERC); NERC British Antarctic Survey; University of Cambridge</t>
  </si>
  <si>
    <t>Archibald, AT (corresponding author), Natl Ctr Atmospher Sci, Cambridge, England.</t>
  </si>
  <si>
    <t>ata27@cam.ac.uk</t>
  </si>
  <si>
    <t>Whalley, Lisa/IXD-2165-2023; Archibald, Alexander/GRR-5452-2022; Monks, Paul/H-6468-2016; Edwards, Peter M/H-5236-2013; Levine, James/KCZ-2135-2024; Heard, Dwayne/M-3624-2017</t>
  </si>
  <si>
    <t>Monks, Paul/0000-0001-9984-4390; Levine, James/0000-0002-0932-9115; Jenkin, Michael/0000-0002-7669-2985; Whalley, Lisa/0000-0002-4486-9029; Heard, Dwayne/0000-0002-0357-6238; Abraham, Nathan Luke/0000-0003-3750-3544; Archibald, Alexander/0000-0001-9302-4180; Edwards, Peter M./0000-0002-1076-6793</t>
  </si>
  <si>
    <t>NCAS; NERC [NE/D002192/1]; NCAS FGAM; Natural Environment Research Council [NE/C001672/1, ncas10006, NE/D002192/1, ncas10009, bas0100024] Funding Source: researchfish; NERC [ncas10006, bas0100024, NE/D002192/1] Funding Source: UKRI</t>
  </si>
  <si>
    <t>NCAS; NERC(UK Research &amp; Innovation (UKRI)Natural Environment Research Council (NERC)); NCAS FGAM; Natural Environment Research Council(UK Research &amp; Innovation (UKRI)Natural Environment Research Council (NERC)); NERC(UK Research &amp; Innovation (UKRI)Natural Environment Research Council (NERC))</t>
  </si>
  <si>
    <t>We thank two anonymous referees for their comments of the original manuscript. ATA, NLA, PJT and JAP thank NCAS climate for funding. JGL's contribution comprises part of the British Antarctic Survey Polar Science for Planet Earth Programme, he gratefully acknowledges the NERC for it support. PSM, AK, LKW, PME and DEH thank the NERC OP3 project (NE/D002192/1) and NCAS FGAM for funding. DES and MEJ also acknowledge funding from NERC QUEST (QUAAC and Deglaciation). We also thank Paul Young for help in preparing the ozone comparison figure.</t>
  </si>
  <si>
    <t>MAR 9</t>
  </si>
  <si>
    <t>L05804</t>
  </si>
  <si>
    <t>10.1029/2010GL046520</t>
  </si>
  <si>
    <t>734IJ</t>
  </si>
  <si>
    <t>WOS:000288327500003</t>
  </si>
  <si>
    <t>Thomson, NR; Clilverd, MA; Rodger, CJ</t>
  </si>
  <si>
    <t>Thomson, Neil R.; Clilverd, Mark A.; Rodger, Craig J.</t>
  </si>
  <si>
    <t>Daytime midlatitude D region parameters at solar minimum from short-path VLF phase and amplitude</t>
  </si>
  <si>
    <t>IONOSPHERIC PARAMETERS; ENHANCEMENTS</t>
  </si>
  <si>
    <t>Observed phases and amplitudes of VLF radio signals propagating on a short (similar to 360 km) path are used to find improved parameters for the lowest edge of the (D region of the) Earth's ionosphere at a geomagnetic latitude of similar to 53.5 degrees in midsummer near solar minimum. The phases, relative to GPS 1 s pulses, and the amplitudes were measured both near (similar to 110 km from) the transmitter, where the direct ground wave is very dominant, and at distances of similar to 360 km near where the ionospherically reflected waves form a (modal) minimum with the ( direct) ground wave. The signals came from the 24.0 kHz transmitter, NAA, on the coast of Maine near the U.S.-Canada border, propagating similar to 360 km E-NE, mainly over the sea, to Saint John and Prince Edward Island. The bottom edge of the midday, midsummer, ionosphere at similar to 53.5 degrees geomagnetic latitude was thus found to be well modeled by H' = 71.8 +/- 0.6 km and beta = 0.335 +/- 0.025 km(-1) where H' and beta are Wait's traditional height and sharpness parameters used by the U.S. Navy in their Earth-ionosphere VLF radio waveguide programs. The variation of beta with latitude is also estimated with the aid of interpolation using measured galactic cosmic ray fluxes.</t>
  </si>
  <si>
    <t>[Thomson, Neil R.; Rodger, Craig J.] Univ Otago, Dept Phys, Dunedin, New Zealand; [Clilverd, Mark A.] British Antarctic Survey, Nat Environm Res Council, Cambridge CB3 0ET, England</t>
  </si>
  <si>
    <t>University of Otago; UK Research &amp; Innovation (UKRI); Natural Environment Research Council (NERC); NERC British Antarctic Survey</t>
  </si>
  <si>
    <t>Thomson, NR (corresponding author), Univ Otago, Dept Phys, POB 56, Dunedin, New Zealand.</t>
  </si>
  <si>
    <t>n_thomson@physics.otago.ac.nz</t>
  </si>
  <si>
    <t>Rodger, Craig/A-1501-2011</t>
  </si>
  <si>
    <t>Rodger, Craig J./0000-0002-6770-2707</t>
  </si>
  <si>
    <t>A03310</t>
  </si>
  <si>
    <t>10.1029/2010JA016248</t>
  </si>
  <si>
    <t>734JS</t>
  </si>
  <si>
    <t>WOS:000288331000007</t>
  </si>
  <si>
    <t>Raven, JA</t>
  </si>
  <si>
    <t>Raven, John A.</t>
  </si>
  <si>
    <t>Climate: Baselines for the Biological Effects of Environmental Change</t>
  </si>
  <si>
    <t>STOMATAL DENSITY; CO2; SUPPORTS; INDEX; LIFE</t>
  </si>
  <si>
    <t>Establishing biological baselines requires access to organisms which lived earlier in, or before, the present episode of anthropogenic change. Specimens of a bryozoan collected on Scott's Antarctic expeditions, and subsequently, provide clear evidence of recent increases in growth rate after 80 years of constancy.</t>
  </si>
  <si>
    <t>Univ Dundee, Scottish Crop Res Inst, Div Plant Sci, Dundee DD2 5DA, Scotland</t>
  </si>
  <si>
    <t>University of Dundee; James Hutton Institute</t>
  </si>
  <si>
    <t>Raven, JA (corresponding author), Univ Dundee, Scottish Crop Res Inst, Div Plant Sci, Dundee DD2 5DA, Scotland.</t>
  </si>
  <si>
    <t>j.a.raven@dundee.ac.uk</t>
  </si>
  <si>
    <t>Raven, John/JFS-3447-2023</t>
  </si>
  <si>
    <t>MAR 8</t>
  </si>
  <si>
    <t>R190</t>
  </si>
  <si>
    <t>R192</t>
  </si>
  <si>
    <t>10.1016/j.cub.2011.01.055</t>
  </si>
  <si>
    <t>733XX</t>
  </si>
  <si>
    <t>WOS:000288298900009</t>
  </si>
  <si>
    <t>Józwiak, P; Blazewicz-Paszkowycz, M</t>
  </si>
  <si>
    <t>Jozwiak, Piotr; Blazewicz-Paszkowycz, Magdalena</t>
  </si>
  <si>
    <t>New records of the family Agathotanaidae (Crustacea: Tanaidacea) in the Antarctic, with remarks on Arthrura monacantha (Vanhoffen, 1914)</t>
  </si>
  <si>
    <t>Libanius; Arthrura; Paranarthrura; Paragathotanais; ANDEEP; BIOPEARL; USAP; Antarctic; Southern Ocean; abyssal</t>
  </si>
  <si>
    <t>NORTHEAST ATLANTIC; PERACARIDA; REVISION</t>
  </si>
  <si>
    <t>Based on the material collected during the ANDEEP III, BIOPEARL and USAP Expeditions, two new species of the family Agathotanaidae (Paranathrura arctowskii n. sp. and Paragathotanais ipy n. sp.) are described, together with new records of Paranarthrura fortispina Sieg, 1986. Additionally the first record of a male of Arthrura monacantha (Vanhoffen, 1914) is presented. The possibility of the development of eggs and mancas outside the marsupium is considered.</t>
  </si>
  <si>
    <t>[Jozwiak, Piotr; Blazewicz-Paszkowycz, Magdalena] Univ Lodz, Dept Polar Biol &amp; Oceanobiol, PL-90237 Lodz, Poland</t>
  </si>
  <si>
    <t>Józwiak, P (corresponding author), Univ Lodz, Dept Polar Biol &amp; Oceanobiol, PL-90237 Lodz, Poland.</t>
  </si>
  <si>
    <t>pjozwiak@biol.uni.lodz.pl</t>
  </si>
  <si>
    <t>Błażewicz, Magdalena/J-5175-2017</t>
  </si>
  <si>
    <t>Blazewicz, Magdalena/0000-0002-4753-3424; Jozwiak, Piotr/0000-0002-5171-3145</t>
  </si>
  <si>
    <t>SYNTHESYS Project [DE-TAF-3998]; MNiSW [507/040057]</t>
  </si>
  <si>
    <t>SYNTHESYS Project; MNiSW(Ministry of Science and Higher Education, Poland)</t>
  </si>
  <si>
    <t>We are grateful to the crustacean curators: Dr Saskia Brix (ZMUH) and Bill Moser (NMNH) for their efforts to make those collections available for our studies. We thank British Antarctic Survey, Natural Environment Research Council, for the loan of samples from the BIOPEARL I scientific cruise. We appreciate to Dr Roger Bamber for improving English through the text and two anonymous reviewers for their critical comments. The research was financially supported by SYNTHESYS Project DE-TAF-3998 and grant MNiSW 507/040057.</t>
  </si>
  <si>
    <t>730ZB</t>
  </si>
  <si>
    <t>WOS:000288075000002</t>
  </si>
  <si>
    <t>Naftz, DL; Schuster, PF; Johnson, CA</t>
  </si>
  <si>
    <t>Naftz, David L.; Schuster, Paul F.; Johnson, Craig A.</t>
  </si>
  <si>
    <t>A 50-year record of NOx and SO2 sources in precipitation in the Northern Rocky Mountains, USA</t>
  </si>
  <si>
    <t>GEOCHEMICAL TRANSACTIONS</t>
  </si>
  <si>
    <t>UPPER FREMONT GLACIER; ANTARCTIC ICE CORE; ATMOSPHERIC NITRATE; ISOTOPIC COMPOSITION; NITROGEN ISOTOPES; SULFUR ISOTOPES; DEPOSITION; SULFATE; SNOW; CHEMISTRY</t>
  </si>
  <si>
    <t>Ice-core samples from Upper Fremont Glacier (UFG), Wyoming, were used as proxy records for the chemical composition of atmospheric deposition. Results of analysis of the ice-core samples for stable isotopes of nitrogen (delta N-15, NO3-) and sulfur (delta S-34, SO42), as well as NO3- and SO42 deposition rates from the late-1940s thru the early-1990s, were used to enhance and extend existing National Atmospheric Deposition Program/National Trends Network (NADP/NTN) data in western Wyoming. The most enriched delta S-34 value in the UFG ice-core samples coincided with snow deposited during the 1980 eruption of Mt. St. Helens, Washington. The remaining delta S-34 values were similar to the isotopic composition of coal from southern Wyoming. The delta N-15 values in ice-core samples representing a similar period of snow deposition were negative, ranging from -5.9 to -3.2 parts per thousand and all fall within the delta N-15 values expected from vehicle emissions. Ice-core nitrate and sulfate deposition data reflect the sharply increasing U.S. emissions data from 1950 to the mid-1970s.</t>
  </si>
  <si>
    <t>[Naftz, David L.] US Geol Survey, Salt Lake City, UT 84119 USA; [Schuster, Paul F.] US Geol Survey, Boulder, CO 80303 USA; [Johnson, Craig A.] US Geol Survey, Denver Fed Ctr, Denver, CO 80225 USA</t>
  </si>
  <si>
    <t>United States Department of the Interior; United States Geological Survey; United States Department of the Interior; United States Geological Survey; United States Department of the Interior; United States Geological Survey</t>
  </si>
  <si>
    <t>Naftz, DL (corresponding author), US Geol Survey, 2329 W Orton Circle, Salt Lake City, UT 84119 USA.</t>
  </si>
  <si>
    <t>dlnaftz@usgs.gov</t>
  </si>
  <si>
    <t>Schuster, Paul/V-5965-2019</t>
  </si>
  <si>
    <t>Schuster, Paul/0000-0002-8314-1372</t>
  </si>
  <si>
    <t>USGS; National Atmospheric Deposition/National Trends Network</t>
  </si>
  <si>
    <t>USGS(United States Geological Survey); National Atmospheric Deposition/National Trends Network</t>
  </si>
  <si>
    <t>Use of brand names in this article is for identification purposes only and does not constitute endorsement by the USGS. Funding for this study was provided by the USGS and National Atmospheric Deposition/National Trends Network. Analytical assistance by Craig A. Stricker and Cayce A. Gulbransen during the isotopic analyses is greatly appreciated. The sharing of isotopic data derived from monitoring sites in Wyoming by Carol Kendall is gratefully acknowledged. The manuscript was improved substantially from technical reviews by Philip Gardner and Anthony Ranalli (U. S. Geological Survey), Tyler Cruickshank (Utah Department of Environmental Quality), and two anonymous reviewers.</t>
  </si>
  <si>
    <t>1467-4866</t>
  </si>
  <si>
    <t>GEOCHEM T</t>
  </si>
  <si>
    <t>Geochem. Trans.</t>
  </si>
  <si>
    <t>MAR 7</t>
  </si>
  <si>
    <t>10.1186/1467-4866-12-4</t>
  </si>
  <si>
    <t>737FE</t>
  </si>
  <si>
    <t>WOS:000288553700001</t>
  </si>
  <si>
    <t>Vallina, SM; Le Quéré, C</t>
  </si>
  <si>
    <t>Vallina, Sergio M.; Le Quere, Corinne</t>
  </si>
  <si>
    <t>Stability of complex food webs: Resilience, resistance and the average interaction strength</t>
  </si>
  <si>
    <t>Food web complexity; Resilience; Resistance; Stability; Nutrient recycling</t>
  </si>
  <si>
    <t>FUNCTIONAL-RESPONSES; ECOLOGICAL-SYSTEMS; DYNAMICS; BIODIVERSITY; ECOSYSTEMS; MODEL; COMMUNITIES; VARIABILITY; DIVERSITY; PERTURBATIONS</t>
  </si>
  <si>
    <t>In the face of stochastic climatic perturbations, the overall stability of an ecosystem will be determined by the balance between its resilience and its resistance, but their relative importance is still unknown. Using aquatic food web models we study ecosystem stability as a function of food web complexity. We measured three dynamical stability properties: resilience, resistance, and variability. Specifically, we evaluate how a decrease in the strength of predator-prey interactions with food web complexity, reflecting a decrease in predation efficiency with the number of prey per predator, affects the overall stability of the ecosystem. We find that in mass conservative ecosystems, a lower interaction strength slows down the mass cycling rate in the system and this increases its resistance to perturbations of the growth rate of primary producers. Furthermore, we show that the overall stability of the food webs is mostly given by their resistance, and not by their resilience. Resilience and resistance display opposite trends, although they are shown not to be simply opposite concepts but rather independent properties. The ecological implication is that weaker predator-prey interactions in closed ecosystems can stabilize food web dynamics by increasing its resistance to climatic perturbations. (c) 2010 Elsevier Ltd. All rights reserved.</t>
  </si>
  <si>
    <t>[Vallina, Sergio M.] MIT, Cambridge, MA 02139 USA; [Vallina, Sergio M.; Le Quere, Corinne] Univ E Anglia, Sch Environm Sci, Norwich NR4 7TJ, Norfolk, England; [Le Quere, Corinne] British Antarctic Survey, Cambridge CB3 0ET, England</t>
  </si>
  <si>
    <t>Massachusetts Institute of Technology (MIT); University of East Anglia; UK Research &amp; Innovation (UKRI); Natural Environment Research Council (NERC); NERC British Antarctic Survey</t>
  </si>
  <si>
    <t>Vallina, SM (corresponding author), MIT, 77 Massachusetts Ave, Cambridge, MA 02139 USA.</t>
  </si>
  <si>
    <t>vallina@mit.edu</t>
  </si>
  <si>
    <t>Le Quéré, Corinne/C-2631-2017</t>
  </si>
  <si>
    <t>Le Quéré, Corinne/0000-0003-2319-0452; VALLINA, Sergio/0000-0002-1335-9237</t>
  </si>
  <si>
    <t>Natural Environment Research Council (NERC) [R8/H10/19]; European Commission; Natural Environment Research Council [bas010013] Funding Source: researchfish; NERC [bas010013] Funding Source: UKRI</t>
  </si>
  <si>
    <t>Natural Environment Research Council (NERC)(UK Research &amp; Innovation (UKRI)Natural Environment Research Council (NERC)); European Commission(European Union (EU)European Commission Joint Research Centre); Natural Environment Research Council(UK Research &amp; Innovation (UKRI)Natural Environment Research Council (NERC)); NERC(UK Research &amp; Innovation (UKRI)Natural Environment Research Council (NERC))</t>
  </si>
  <si>
    <t>Our special thanks to Anje M. Neutel, Robert A. Armstrong, and many other participants of the 7th Green Ocean Workshop, 2008 held at Villefranche-sur-Mer (France) for their useful comments and fruitful discussions. We also would like to thank two anonymous reviewers for their very relevant critics and suggestions which have highly improved the quality of this work. This research was supported by the Natural Environment Research Council (NERC grant number R8/H10/19) through a postdoctoral fellowship and by the European Commission through a Marie Curie OIF fellowship (both to S.M. Vallina).</t>
  </si>
  <si>
    <t>10.1016/j.jtbi.2010.11.043</t>
  </si>
  <si>
    <t>719RX</t>
  </si>
  <si>
    <t>WOS:000287227700017</t>
  </si>
  <si>
    <t>Kouketsu, S; Doi, T; Kawano, T; Masuda, S; Sugiura, N; Sasaki, Y; Toyoda, T; Igarashi, H; Kawai, Y; Katsumata, K; Uchida, H; Fukasawa, M; Awaji, T</t>
  </si>
  <si>
    <t>Kouketsu, Shinya; Doi, Toshimasa; Kawano, Takeshi; Masuda, Shuhei; Sugiura, Nozomi; Sasaki, Yuji; Toyoda, Takahiro; Igarashi, Hiromichi; Kawai, Yoshimi; Katsumata, Katsuro; Uchida, Hiroshi; Fukasawa, Masao; Awaji, Toshiyuki</t>
  </si>
  <si>
    <t>Deep ocean heat content changes estimated from observation and reanalysis product and their influence on sea level change</t>
  </si>
  <si>
    <t>WESTERN SOUTH-ATLANTIC; BOTTOM WATER; ANTARCTIC BOTTOM; CIRCULATION; PACIFIC; ABYSSAL; VARIABILITY; TEMPERATURE; DIFFUSIVITY; TRANSPORT</t>
  </si>
  <si>
    <t>We calculated basin-scale and global ocean decadal temperature change rates from the 1990s to the 2000s for waters below 3000 m. Large temperature increases were detected around Antarctica, and a relatively large temperature increase was detected along the northward path of Circumpolar Deep Water in the Pacific. The global heat content (HC) change estimated from the temperature change rates below 3000 m was 0.8 x 10(22) J decade(-1); a value that cannot be neglected for precise estimation of the global heat balance. We reproduced the observed temperature changes in the deep ocean using a data assimilation system and examined virtual observations in the reproduced data field to evaluate the uncertainty of the HC changes estimated from the actual temporally and spatially sparse observations. From the analysis of the virtual observations, it is shown that the global HC increase below 3000 m during recent decades can be detected using the available observation system of periodic revisits to the same sampling sections, although the uncertainty is large.</t>
  </si>
  <si>
    <t>[Kouketsu, Shinya; Doi, Toshimasa; Kawano, Takeshi; Masuda, Shuhei; Kawai, Yoshimi; Katsumata, Katsuro; Uchida, Hiroshi; Fukasawa, Masao] JAMSTEC, Res Inst Global Change, Yokosuka, Kanagawa 2370061, Japan; [Sugiura, Nozomi; Sasaki, Yuji; Igarashi, Hiromichi; Awaji, Toshiyuki] JAMSTEC, Data Res Ctr Marine Earth Sci, Data Management &amp; Engn Dept, Yokohama, Kanagawa 2360001, Japan; [Toyoda, Takahiro] Meteorol Res Inst, Tsukuba, Ibaraki 3050052, Japan; [Awaji, Toshiyuki] Kyoto Univ, Dept Geophys, Kyoto, Japan</t>
  </si>
  <si>
    <t>Japan Agency for Marine-Earth Science &amp; Technology (JAMSTEC); Japan Agency for Marine-Earth Science &amp; Technology (JAMSTEC); Meteorological Research Institute - Japan; Kyoto University</t>
  </si>
  <si>
    <t>Kouketsu, S (corresponding author), JAMSTEC, Res Inst Global Change, 2-15 Natsushima Chou, Yokosuka, Kanagawa 2370061, Japan.</t>
  </si>
  <si>
    <t>skouketsu@jamstec.go.jp</t>
  </si>
  <si>
    <t>Katsumata, Katsuro/AAR-5034-2020; Kawai, Yoshimi/AAK-1539-2020</t>
  </si>
  <si>
    <t>Katsumata, Katsuro/0000-0002-4683-7610; Kouketsu, Shinya/0000-0002-8217-5888; Sugiura, Nozomi/0000-0001-6634-1340</t>
  </si>
  <si>
    <t>MAR 5</t>
  </si>
  <si>
    <t>C03012</t>
  </si>
  <si>
    <t>10.1029/2010JC006464</t>
  </si>
  <si>
    <t>731ES</t>
  </si>
  <si>
    <t>WOS:000288089700004</t>
  </si>
  <si>
    <t>Hecht, J</t>
  </si>
  <si>
    <t>Hecht, Jeff</t>
  </si>
  <si>
    <t>Did Antarctic ice defy warmer world?</t>
  </si>
  <si>
    <t>NEW SCIENTIST</t>
  </si>
  <si>
    <t>REED BUSINESS INFORMATION LTD</t>
  </si>
  <si>
    <t>SUTTON</t>
  </si>
  <si>
    <t>QUADRANT HOUSE THE QUADRANT, SUTTON SM2 5AS, SURREY, ENGLAND</t>
  </si>
  <si>
    <t>0262-4079</t>
  </si>
  <si>
    <t>NEW SCI</t>
  </si>
  <si>
    <t>New Sci.</t>
  </si>
  <si>
    <t>10.1016/S0262-4079(11)60478-8</t>
  </si>
  <si>
    <t>733BI</t>
  </si>
  <si>
    <t>WOS:000288235000006</t>
  </si>
  <si>
    <t>Rignot, E; Velicogna, I; van den Broeke, MR; Monaghan, A; Lenaerts, J</t>
  </si>
  <si>
    <t>Rignot, E.; Velicogna, I.; van den Broeke, M. R.; Monaghan, A.; Lenaerts, J.</t>
  </si>
  <si>
    <t>Acceleration of the contribution of the Greenland and Antarctic ice sheets to sea level rise</t>
  </si>
  <si>
    <t>JAKOBSHAVN ISBRAE; MASS-BALANCE; VELOCITY; SNOWFALL</t>
  </si>
  <si>
    <t>Ice sheet mass balance estimates have improved substantially in recent years using a variety of techniques, over different time periods, and at various levels of spatial detail. Considerable disparity remains between these estimates due to the inherent uncertainties of each method, the lack of detailed comparison between independent estimates, and the effect of temporal modulations in ice sheet surface mass balance. Here, we present a consistent record of mass balance for the Greenland and Antarctic ice sheets over the past two decades, validated by the comparison of two independent techniques over the last 8 years: one differencing perimeter loss from net accumulation, and one using a dense time series of time-variable gravity. We find excellent agreement between the two techniques for absolute mass loss and acceleration of mass loss. In 2006, the Greenland and Antarctic ice sheets experienced a combined mass loss of 475 +/- 158 Gt/yr, equivalent to 1.3 +/- 0.4 mm/yr sea level rise. Notably, the acceleration in ice sheet loss over the last 18 years was 21.9 +/- 1 Gt/yr(2) for Greenland and 14.5 +/- 2 Gt/yr(2) for Antarctica, for a combined total of 36.3 +/- 2 Gt/yr(2). This acceleration is 3 times larger than for mountain glaciers and ice caps (12 +/- 6 Gt/yr(2)). If this trend continues, ice sheets will be the dominant contributor to sea level rise in the 21st century. Citation: Rignot, E., I. Velicogna, M. R. van den Broeke, A. Monaghan, and J. Lenaerts (2011), Acceleration of the contribution of the Greenland and Antarctic ice sheets to sea level rise, Geophys. Res. Lett., 38, L05503, doi:10.1029/2011GL046583.</t>
  </si>
  <si>
    <t>[Rignot, E.; Velicogna, I.] Univ Calif Irvine, Irvine, CA 92697 USA; [Rignot, E.; Velicogna, I.] CALTECH, Jet Prop Lab, Pasadena, CA USA; [van den Broeke, M. R.; Lenaerts, J.] Univ Utrecht, Inst Marine &amp; Atmospher Res, NL-3584 CC Utrecht, Netherlands; [Monaghan, A.] Natl Ctr Atmospher Res, Boulder, CO 80307 USA</t>
  </si>
  <si>
    <t>University of California System; University of California Irvine; National Aeronautics &amp; Space Administration (NASA); NASA Jet Propulsion Laboratory (JPL); California Institute of Technology; Utrecht University; National Center Atmospheric Research (NCAR) - USA</t>
  </si>
  <si>
    <t>Rignot, E (corresponding author), Univ Calif Irvine, 226 Croul Hall, Irvine, CA 92697 USA.</t>
  </si>
  <si>
    <t>Van den Broeke, Michiel R./F-7867-2011; Velicogna, Isabella/R-5561-2018; Lenaerts, Jan/D-9423-2012; Rignot, Eric/A-4560-2014</t>
  </si>
  <si>
    <t>Van den Broeke, Michiel R./0000-0003-4662-7565; Lenaerts, Jan/0000-0003-4309-4011; Rignot, Eric/0000-0002-3366-0481; Monaghan, Andrew/0000-0002-8170-2359</t>
  </si>
  <si>
    <t>National Aeronautics and Space Administration; National Science Foundation; Utrecht University; Netherlands Polar Programme</t>
  </si>
  <si>
    <t>National Aeronautics and Space Administration(National Aeronautics &amp; Space Administration (NASA)); National Science Foundation(National Science Foundation (NSF)); Utrecht University; Netherlands Polar Programme</t>
  </si>
  <si>
    <t>This work was performed at the Earth System Science Department of Physical Sciences, University of California Irvine and at the California Institute of Technology's Jet Propulsion Laboratory under a contract with the National Aeronautics and Space Administration's Cryospheric Science Program. NCAR is funded by the National Science Foundation. This work was financially supported by Utrecht University and the Netherlands Polar Programme.</t>
  </si>
  <si>
    <t>MAR 4</t>
  </si>
  <si>
    <t>L05503</t>
  </si>
  <si>
    <t>10.1029/2011GL046583</t>
  </si>
  <si>
    <t>731DR</t>
  </si>
  <si>
    <t>WOS:000288087000005</t>
  </si>
  <si>
    <t>Emmel, B; Kumar, R; Ueda, K; Jacobs, J; Daszinnies, MC; Thomas, RJ; Matola, R</t>
  </si>
  <si>
    <t>Emmel, B.; Kumar, R.; Ueda, K.; Jacobs, J.; Daszinnies, M. C.; Thomas, R. J.; Matola, R.</t>
  </si>
  <si>
    <t>Thermochronological history of an orogen-passive margin system: An example from northern Mozambique</t>
  </si>
  <si>
    <t>APATITE FISSION-TRACK; DRONNING-MAUD-LAND; AFRICAN-ANTARCTIC OROGEN; ONSHORE ROVUMA BASIN; EAST-AFRICAN; GONDWANA BREAKUP; RIFTED MARGIN; GEOCHRONOLOGY; MADAGASCAR; EVOLUTION</t>
  </si>
  <si>
    <t>In this paper, we present a conceptual model to describe the post-Pan-African (</t>
  </si>
  <si>
    <t>[Emmel, B.; Kumar, R.; Ueda, K.; Jacobs, J.] Univ Bergen, Dept Earth Sci, N-5007 Bergen, Norway; [Daszinnies, M. C.] SINTEF Petr &amp; Energy, Basin Modelling Grp, N-7465 Trondheim, Norway; [Thomas, R. J.] British Geol Survey, Nottingham NG12 5GG, England; [Matola, R.] Direccao Nacl Geol, Maputo, Mozambique</t>
  </si>
  <si>
    <t>University of Bergen; SINTEF; UK Research &amp; Innovation (UKRI); Natural Environment Research Council (NERC); NERC British Geological Survey</t>
  </si>
  <si>
    <t>Emmel, B (corresponding author), Univ Bergen, Dept Earth Sci, Allegaten 41, N-5007 Bergen, Norway.</t>
  </si>
  <si>
    <t>emmel.bu@gmail.com</t>
  </si>
  <si>
    <t>Ueda, Kosuke/G-9174-2011</t>
  </si>
  <si>
    <t>Emmel, Benjamin/0000-0002-7138-6831; Ueda, Kosuke/0000-0002-2367-1339</t>
  </si>
  <si>
    <t>NFR [102051]; NERC [bgs010024] Funding Source: UKRI; Natural Environment Research Council [bgs010024] Funding Source: researchfish</t>
  </si>
  <si>
    <t>NFR(Research Council of Norway); NERC(UK Research &amp; Innovation (UKRI)Natural Environment Research Council (NERC)); Natural Environment Research Council(UK Research &amp; Innovation (UKRI)Natural Environment Research Council (NERC))</t>
  </si>
  <si>
    <t>This study was funded by NFR grant 102051. The authors thank colleagues working on the World Bank mapping program in Mozambique for providing samples for this study. R.J.T. publishes with the permission of the Executive Director, British Geological Survey. The reviews of Matthias Bernet and an anonymous college helped to improve the quality of the paper. O. Oncken is thanked for the editorial handling.</t>
  </si>
  <si>
    <t>TC2002</t>
  </si>
  <si>
    <t>10.1029/2010TC002714</t>
  </si>
  <si>
    <t>731CH</t>
  </si>
  <si>
    <t>WOS:000288083400001</t>
  </si>
  <si>
    <t>Butchart, N; Charlton-Perez, AJ; Cionni, I; Hardiman, SC; Haynes, PH; Krüger, K; Kushner, PJ; Newman, PA; Osprey, SM; Perlwitz, J; Sigmond, M; Wang, L; Akiyoshi, H; Austin, J; Bekki, S; Baumgaertner, A; Braesicke, P; Brühl, C; Chipperfield, M; Dameris, M; Dhomse, S; Eyring, V; Garcia, R; Garny, H; Jöckel, P; Lamarque, JF; Marchand, M; Michou, M; Morgenstern, O; Nakamura, T; Pawson, S; Plummer, D; Pyle, J; Rozanov, E; Scinocca, J; Shepherd, TG; Shibata, K; Smale, D; Teyssèdre, H; Tian, W; Waugh, D; Yamashita, Y</t>
  </si>
  <si>
    <t>Butchart, N.; Charlton-Perez, A. J.; Cionni, I.; Hardiman, S. C.; Haynes, P. H.; Krueger, K.; Kushner, P. J.; Newman, P. A.; Osprey, S. M.; Perlwitz, J.; Sigmond, M.; Wang, L.; Akiyoshi, H.; Austin, J.; Bekki, S.; Baumgaertner, A.; Braesicke, P.; Bruehl, C.; Chipperfield, M.; Dameris, M.; Dhomse, S.; Eyring, V.; Garcia, R.; Garny, H.; Joeckel, P.; Lamarque, J-F; Marchand, M.; Michou, M.; Morgenstern, O.; Nakamura, T.; Pawson, S.; Plummer, D.; Pyle, J.; Rozanov, E.; Scinocca, J.; Shepherd, T. G.; Shibata, K.; Smale, D.; Teyssedre, H.; Tian, W.; Waugh, D.; Yamashita, Y.</t>
  </si>
  <si>
    <t>Multimodel climate and variability of the stratosphere</t>
  </si>
  <si>
    <t>QUANTITATIVE PERFORMANCE METRICS; VERTICALLY EXTENDED VERSION; MIDDLE-ATMOSPHERE; PART I; METEOROLOGICAL ANALYSES; TRANSIENT SIMULATION; ARCTIC STRATOSPHERE; SUDDEN WARMINGS; TECHNICAL NOTE; MODEL SOCOL</t>
  </si>
  <si>
    <t>The stratospheric climate and variability from simulations of sixteen chemistry-climate models is evaluated. On average the polar night jet is well reproduced though its variability is less well reproduced with a large spread between models. Polar temperature biases are less than 5 K except in the Southern Hemisphere (SH) lower stratosphere in spring. The accumulated area of low temperatures responsible for polar stratospheric cloud formation is accurately reproduced for the Antarctic but underestimated for the Arctic. The shape and position of the polar vortex is well simulated, as is the tropical upwelling in the lower stratosphere. There is a wide model spread in the frequency of major sudden stratospheric warnings (SSWs), late biases in the breakup of the SH vortex, and a weak annual cycle in the zonal wind in the tropical upper stratosphere. Quantitatively, metrics indicate a wide spread in model performance for most diagnostics with systematic biases in many, and poorer performance in the SH than in the Northern Hemisphere (NH). Correlations were found in the SH between errors in the final warming, polar temperatures, the leading mode of variability, and jet strength, and in the NH between errors in polar temperatures, frequency of major SSWs, and jet strength. Models with a stronger QBO have stronger tropical upwelling and a colder NH vortex. Both the qualitative and quantitative analysis indicate a number of common and long-standing model problems, particularly related to the simulation of the SH and stratospheric variability.</t>
  </si>
  <si>
    <t>[Butchart, N.; Hardiman, S. C.] Met Off Hadley Ctr, Exeter EX1 3PB, Devon, England; [Charlton-Perez, A. J.] Univ Reading, Dept Meteorol, Reading RG6 6BB, Berks, England; [Cionni, I.; Dameris, M.; Eyring, V.; Garny, H.] Deutsch Zentrum Luft &amp; Raumfahrt, Inst Phys Atmosphare, D-82234 Oberpfaffenhofen, Germany; [Haynes, P. H.; Braesicke, P.; Pyle, J.] Univ Cambridge, Natl Ctr Atmospher Sci, Cambridge CB2 1SZ, England; [Krueger, K.] Univ Kiel, Leibniz Inst Marine Sci, IFM GEOMAR, D-24148 Kiel, Germany; [Kushner, P. J.; Sigmond, M.; Wang, L.; Shepherd, T. G.] Univ Toronto, Dept Phys, Toronto, ON M5S 1A1, Canada; [Newman, P. A.; Pawson, S.] NASA, Goddard Space Flight Ctr, Greenbelt, MD 20771 USA; [Osprey, S. M.] Univ Oxford, Dept Phys, Natl Ctr Atmospher Sci, Oxford OX1 2JD, England; [Perlwitz, J.] Univ Colorado, Cooperat Inst Res Environm Sci, Div Phys Sci, Boulder, CO 80309 USA; [Perlwitz, J.] NOAA, Earth Syst Res Lab, Boulder, CO 80309 USA; [Akiyoshi, H.; Nakamura, T.; Yamashita, Y.] Natl Inst Environm Studies, Tsukuba, Ibaraki 3058506, Japan; [Austin, J.] NOAA, Geophys Fluid Dynam Lab, Princeton, NJ 08540 USA; [Bekki, S.; Marchand, M.] Univ Paris 06, Inst Pierre Simon Laplace, LATMOS, F-75252 Paris 05, France; [Baumgaertner, A.; Bruehl, C.; Garny, H.; Joeckel, P.] Max Planck Inst Chem, D-55128 Mainz, Germany; [Chipperfield, M.; Dhomse, S.; Tian, W.] Univ Leeds, Sch Earth &amp; Environm, Leeds LS2 9JT, W Yorkshire, England; [Garcia, R.; Lamarque, J-F] Natl Ctr Atmospher Res, Boulder, CO 80307 USA; [Michou, M.] Meteo France, CNRS, GAME CNRM, F-31057 Toulouse 01, France; [Morgenstern, O.; Smale, D.] Natl Inst Water &amp; Atmospher Res, Lauder, New Zealand; [Plummer, D.] Environm Canada, Toronto, ON M3H 5T4, Canada; [Rozanov, E.] World Radiat Ctr, Phys Meteorol Observ, CH-7260 Davos, Switzerland; [Scinocca, J.] Univ Victoria, Meteorol Serv Canada, Victoria, BC V8W 2Y2, Canada; [Shibata, K.] Meteorol Res Inst, Tsukuba, Ibaraki 3050052, Japan; [Waugh, D.] Johns Hopkins Univ, Dept Earth &amp; Planetary Sci, Baltimore, MD 21218 USA</t>
  </si>
  <si>
    <t>Met Office - UK; Hadley Centre; University of Reading; Helmholtz Association; German Aerospace Centre (DLR); UK Research &amp; Innovation (UKRI); Natural Environment Research Council (NERC); NERC National Centre for Atmospheric Science; University of Cambridge; University of Kiel; Helmholtz Association; GEOMAR Helmholtz Center for Ocean Research Kiel; University of Toronto; National Aeronautics &amp; Space Administration (NASA); NASA Goddard Space Flight Center; UK Research &amp; Innovation (UKRI); Natural Environment Research Council (NERC); NERC National Centre for Atmospheric Science; University of Oxford; University of Colorado System; University of Colorado Boulder; National Oceanic Atmospheric Admin (NOAA) - USA; National Institute for Environmental Studies - Japan; National Oceanic Atmospheric Admin (NOAA) - USA; Sorbonne Universite; Universite Paris Saclay; Universite Paris Cite; Centre National de la Recherche Scientifique (CNRS); CNRS - National Institute for Earth Sciences &amp; Astronomy (INSU); Max Planck Society; University of Leeds; National Center Atmospheric Research (NCAR) - USA; Centre National de la Recherche Scientifique (CNRS); Meteo France; National Institute of Water &amp; Atmospheric Research (NIWA) - New Zealand; Environment &amp; Climate Change Canada; Environment &amp; Climate Change Canada; Meteorological Service of Canada; University of Victoria; Meteorological Research Institute - Japan; Johns Hopkins University</t>
  </si>
  <si>
    <t>Butchart, N (corresponding author), Met Off Hadley Ctr, FitzRoy Rd, Exeter EX1 3PB, Devon, England.</t>
  </si>
  <si>
    <t>neal.butchart@metoffice.gov.uk; a.j.charlton@reading.ac.uk</t>
  </si>
  <si>
    <t>Sigmond, Michael/Q-7202-2019; Dhomse, Sandip/C-8198-2011; Wang, Lei/AAE-7991-2020; Rozanov, Eugene/A-9857-2012; Charlton-Perez, Andrew/F-4079-2010; Osprey, Scott/GQI-3483-2022; Jöckel, Patrick/C-3687-2009; Eyring, Veronika/O-9999-2016; Rozanov, Eugene/V-1881-2018; Osprey, Scott/P-6621-2016; Akiyoshi, Hideharu/H-8170-2018; Braesicke, Peter/D-8330-2016; bekki, slimane/J-7221-2015; Sigmond, Michael/K-3169-2012; Waugh, Darryn W/K-3688-2016; Hardiman, Steven/HDO-0165-2022; Baumgaertner, Andreas/C-4830-2011; Osprey, Scott/S-7908-2019; Kushner, Paul J/H-6716-2016; Pawson, Steven/I-1865-2014; Chipperfield, Martyn/H-6359-2013; CIONNI, Irene/E-8204-2017; Yamashita, Yousuke/AAB-4754-2019; Lamarque, Jean-Francois/L-2313-2014; Perlwitz, Judith/B-7201-2008; Newman, Paul A./D-6208-2012; Nakamura, Tetsu/M-7914-2015</t>
  </si>
  <si>
    <t>Sigmond, Michael/0000-0003-2191-9756; Dhomse, Sandip/0000-0003-3854-5383; Wang, Lei/0000-0002-1618-1796; Rozanov, Eugene/0000-0003-0479-4488; Charlton-Perez, Andrew/0000-0001-8179-6220; Osprey, Scott/0000-0002-8751-1211; Jöckel, Patrick/0000-0002-8964-1394; Eyring, Veronika/0000-0002-6887-4885; Rozanov, Eugene/0000-0003-0479-4488; Osprey, Scott/0000-0002-8751-1211; Braesicke, Peter/0000-0003-1423-0619; bekki, slimane/0000-0002-5538-0800; Baumgaertner, Andreas/0000-0002-4740-0701; Osprey, Scott/0000-0002-8751-1211; Chipperfield, Martyn/0000-0002-6803-4149; CIONNI, Irene/0000-0002-0591-9193; Yamashita, Yousuke/0000-0002-6813-4668; Perlwitz, Judith/0000-0003-4061-2442; Garny, Hella/0000-0003-4960-2304; Dameris, Martin/0000-0001-6700-0628; Haynes, Peter/0000-0002-7726-6988; Newman, Paul A./0000-0003-1139-2508; Morgenstern, Olaf/0000-0002-9967-9740; Nakamura, Tetsu/0000-0002-2056-7392; Akiyoshi, Hideharu/0000-0001-6463-9004</t>
  </si>
  <si>
    <t>Joint DECC/Defra Met Office Hadley Centre [GA01101]; Ministry of the Environment of Japan [A-071, A-0903]; European Commission; NERC [NE/D003563/1, NE/D002753/1] Funding Source: UKRI; Natural Environment Research Council [NE/D002753/1, ncas10009, NE/D003563/1, NE/C511248/1] Funding Source: researchfish; Div Atmospheric &amp; Geospace Sciences; Directorate For Geosciences [0905863] Funding Source: National Science Foundation</t>
  </si>
  <si>
    <t>Joint DECC/Defra Met Office Hadley Centre; Ministry of the Environment of Japan(Ministry of the Environment, Japan); European Commission(European Union (EU)European Commission Joint Research Centre); NERC(UK Research &amp; Innovation (UKRI)Natural Environment Research Council (NERC)); Natural Environment Research Council(UK Research &amp; Innovation (UKRI)Natural Environment Research Council (NERC)); Div Atmospheric &amp; Geospace Sciences; Directorate For Geosciences(National Science Foundation (NSF)NSF - Directorate for Geosciences (GEO))</t>
  </si>
  <si>
    <t>We acknowledge the Chemistry-Climate Model Validation Activity (CCMVal) of the World Climate Research Programme's (WCRP) Stratospheric Processes and their Role in Climate (SPARC) project for organizing and coordinating the model data analysis, and the British Atmospheric Data Centre (BADC) for collecting and archiving the CCMVal model output. ECMWF ERA-Interim data used in this study have been provided by ECMWF. The contribution from Neal Butchart and Steven Hardiman was supported by the Joint DECC/Defra Met Office Hadley Centre Climate Programme (GA01101). The ERA-Interim results shown in Figure 10 were kindly provided by William Seviour of the University of Cambridge. CCSRNIES research was supported by the Global Environmental Research Fund of the Ministry of the Environment of Japan (A-071 and A-0903) and the simulations were completed with the super computer at CGER, NIES. The MRI simulation was made with the supercomputer at the National Institute for Environmental Studies, Japan. The contribution from the LATMOS-IPSL was supported by the European Commission through the funding of the RECONCILE and GEOMON projects.</t>
  </si>
  <si>
    <t>MAR 3</t>
  </si>
  <si>
    <t>D05102</t>
  </si>
  <si>
    <t>10.1029/2010JD014995</t>
  </si>
  <si>
    <t>731DX</t>
  </si>
  <si>
    <t>Green Accepted, Green Published, Bronze</t>
  </si>
  <si>
    <t>WOS:000288087600001</t>
  </si>
  <si>
    <t>Fujita, K</t>
  </si>
  <si>
    <t>Fujita, Koji</t>
  </si>
  <si>
    <t>CLIMATE CHANGE Another Antarctic rhythm</t>
  </si>
  <si>
    <t>GREENLAND; RECORD</t>
  </si>
  <si>
    <t>Nagoya Univ, Grad Sch Environm Studies, Chikusa Ku, Nagoya, Aichi 4648601, Japan</t>
  </si>
  <si>
    <t>Nagoya University</t>
  </si>
  <si>
    <t>Fujita, K (corresponding author), Nagoya Univ, Grad Sch Environm Studies, Chikusa Ku, Nagoya, Aichi 4648601, Japan.</t>
  </si>
  <si>
    <t>cozy@nagoya-u.jp</t>
  </si>
  <si>
    <t>Fujita, Koji/E-6104-2010</t>
  </si>
  <si>
    <t>Fujita, Koji/0000-0003-3753-4981</t>
  </si>
  <si>
    <t>10.1038/471045a</t>
  </si>
  <si>
    <t>729BY</t>
  </si>
  <si>
    <t>WOS:000287924100028</t>
  </si>
  <si>
    <t>Laepple, T; Werner, M; Lohmann, G</t>
  </si>
  <si>
    <t>Laepple, Thomas; Werner, Martin; Lohmann, Gerrit</t>
  </si>
  <si>
    <t>Synchronicity of Antarctic temperatures and local solar insolation on orbital timescales</t>
  </si>
  <si>
    <t>VOSTOK ICE CORE; SOUTHERN-HEMISPHERE; CLIMATE SENSITIVITY; RECORDS; CO2; ACCUMULATION; SEASONALITY; CYCLES; OCEAN; RISE</t>
  </si>
  <si>
    <t>The Milankovitch theory states that global climate variability on orbital timescales from tens to hundreds of thousands of years is dominated by the summer insolation at high northern latitudes(1,2). The supporting evidence includes reconstructed air temperatures in Antarctica that are nearly in phase with boreal summer insolation and out of phase with local summer insolation(3-5). Antarctic climate is therefore thought to be driven by northern summer insolation(5). A clear mechanism that links the two hemispheres on orbital timescales is, however, missing. We propose that key Antarctic temperature records derived from ice cores are biased towards austral winter because of a seasonal cycle in snow accumulation. Using present-day estimates of this bias in the 'recorder' system, here we show that the local insolation can explain the orbital component of the temperature record without having to invoke a link to the Northern Hemisphere. Therefore, the Antarctic ice-core-derived temperature record, one of the best-dated records of the late Pleistocene temperature evolution, cannot be used to support or contradict the Milankovitch hypothesis that global climate changes are driven by Northern Hemisphere summer insolation variations.</t>
  </si>
  <si>
    <t>[Laepple, Thomas; Werner, Martin; Lohmann, Gerrit] Alfred Wegener Inst Polar &amp; Marine Res, Bremerhaven, Germany</t>
  </si>
  <si>
    <t>Laepple, T (corresponding author), Alfred Wegener Inst Polar &amp; Marine Res, Bremerhaven, Germany.</t>
  </si>
  <si>
    <t>thomas.laepple@awi.de</t>
  </si>
  <si>
    <t>Werner, Martin/C-8067-2014; Lohmann, Gerrit/M-7453-2016; Laepple, Thomas/M-8783-2015</t>
  </si>
  <si>
    <t>Werner, Martin/0000-0002-6473-0243; Lohmann, Gerrit/0000-0003-2089-733X; Laepple, Thomas/0000-0001-8108-7520</t>
  </si>
  <si>
    <t>10.1038/nature09825</t>
  </si>
  <si>
    <t>WOS:000287924100040</t>
  </si>
  <si>
    <t>Granadeiro, JP; Phillips, RA; Brickle, P; Catry, P</t>
  </si>
  <si>
    <t>Granadeiro, Jose P.; Phillips, Richard A.; Brickle, Paul; Catry, Paulo</t>
  </si>
  <si>
    <t>Albatrosses Following Fishing Vessels: How Badly Hooked Are They on an Easy Meal?</t>
  </si>
  <si>
    <t>PELAGIC LONGLINE FISHERY; BLACK-BROWED ALBATROSS; DIOMEDEA-EXULANS; FALKLAND ISLANDS; GPS TRACKING; SEABIRDS; PETRELS; RESPONSES; TRAWLERS; RATES</t>
  </si>
  <si>
    <t>Fisheries have major impacts on seabirds, both by changing food availability and by causing direct mortality of birds during trawling and longline setting. However, little is known about the nature and the spatial-temporal extent of the interactions between individual birds and vessels. By studying a system in which we had fine-scale data on bird movements and activity, and near real-time information on vessel distribution, we provide new insights on the association of a threatened albatross with fisheries. During early chick-rearing, black-browed albatrosses Thalassarche melanophris from two different colonies (separated by only 75 km) showed significant differences in the degree of association with fisheries, despite being nearly equidistant to the Falklands fishing fleet. Most foraging trips from either colony did not bring tracked individuals close to vessels, and proportionally little time and foraging effort was spent near ships. Nevertheless, a few individuals repeatedly visited fishing vessels, which may indicate they specialise on fisheries-linked food sources and so are potentially more vulnerable to bycatch. The evidence suggests that this population has little reliance on fisheries discards at a critical stage of its nesting cycle, and hence measures to limit fisheries waste on the Patagonian shelf that also reduce vessel attractiveness and the risk of incidental mortality, would be of high overall conservation benefit.</t>
  </si>
  <si>
    <t>[Granadeiro, Jose P.] Univ Lisbon, Museu Nacl Hist Nat, CESAM, Lisbon, Portugal; [Phillips, Richard A.] British Antarctic Survey, NERC, Cambridge CB3 0ET, England; [Catry, Paulo] ISPA, Ecoethol Res Unit, Lisbon, Portugal</t>
  </si>
  <si>
    <t>Universidade de Lisboa; UK Research &amp; Innovation (UKRI); Natural Environment Research Council (NERC); NERC British Antarctic Survey; Instituto Superior Psicologia Aplicada (ISPA)</t>
  </si>
  <si>
    <t>Granadeiro, JP (corresponding author), Univ Lisbon, Museu Nacl Hist Nat, CESAM, Lisbon, Portugal.</t>
  </si>
  <si>
    <t>jpgranadeiro@fc.ul.pt</t>
  </si>
  <si>
    <t>Granadeiro, José Pedro/E-8060-2011; Catry, Paulo/I-5408-2013</t>
  </si>
  <si>
    <t>Granadeiro, José Pedro/0000-0002-7207-3474; Catry, Paulo/0000-0003-3000-0522; Brickle, Paul/0000-0002-9870-3518</t>
  </si>
  <si>
    <t>Fundacao para a Ciencia e Tecnologia [PTDC/MAR/099366/2008]; Programa Plurianual [UID 331/94]; Falkland Islands Government; NERC [bas0100025] Funding Source: UKRI; Natural Environment Research Council [bas0100025] Funding Source: researchfish; Fundação para a Ciência e a Tecnologia [PTDC/MAR/099366/2008] Funding Source: FCT</t>
  </si>
  <si>
    <t>Fundacao para a Ciencia e Tecnologia(Fundacao para a Ciencia e a Tecnologia (FCT)); Programa Plurianual; Falkland Islands Government; NERC(UK Research &amp; Innovation (UKRI)Natural Environment Research Council (NERC)); Natural Environment Research Council(UK Research &amp; Innovation (UKRI)Natural Environment Research Council (NERC)); Fundação para a Ciência e a Tecnologia(Fundacao para a Ciencia e a Tecnologia (FCT))</t>
  </si>
  <si>
    <t>This study was financed by Fundacao para a Ciencia e Tecnologia (www.fct.mctes.pt, Portugal) through Project PTDC/MAR/099366/2008 and as part of the Programa Plurianual (UI&amp;D 331/94) and by the Falkland Islands Government (http://www.falklands.gov.fk/). The funders had no role in study design, data collection and analysis, decision to publish, or preparation of the manuscript.</t>
  </si>
  <si>
    <t>MAR 2</t>
  </si>
  <si>
    <t>e17467</t>
  </si>
  <si>
    <t>10.1371/journal.pone.0017467</t>
  </si>
  <si>
    <t>729FF</t>
  </si>
  <si>
    <t>WOS:000287933300025</t>
  </si>
  <si>
    <t>Kaczmarek, L; Goldyn, B; Prokop, ZM; Michalczyk, L</t>
  </si>
  <si>
    <t>Kaczmarek, Lukasz; Goldyn, Bartlomiej; Prokop, Zofia M.; Michalczyk, Lukasz</t>
  </si>
  <si>
    <t>New records of Tardigrada from Bulgaria with the description of Macrobiotus binieki sp nov (Eutardigrada: Macrobiotidae) and a key to the species of the harmsworthi group</t>
  </si>
  <si>
    <t>Tardigrades; Europe; taxonomy; fauna</t>
  </si>
  <si>
    <t>Fifteen moss samples collected in the Sophia Province (Bulgaria) were examined. In these samples six eutardigrade species were found: Hypsibius convergens, Isohypsibius prosostomus, Macrobiotus binieki sp. nov., M. hufelandi, M. pallarii and Ramazzottius oberhaeuseri. The new species belongs to the Macrobiotus harmsworthi group and differs from the most similar M. australis, M. coronatus, M. patiens, M. pseudocoronatus, M. radiatus, M. rigidus and M. simulans mainly by: egg processes covered by small bubbles (not smooth or reticulated), egg shell between processes covered by wrinkles not dots or stripes forming a large radiate crown, a higher number of processes on egg circumference and some morphometric characters of adults. In this paper a key to all species of the harmsworthi group is also given.</t>
  </si>
  <si>
    <t>[Kaczmarek, Lukasz] Adam Mickiewicz Univ, Dept Anim Taxon &amp; Ecol, PL-61614 Poznan, Poland; [Goldyn, Bartlomiej] Adam Mickiewicz Univ, Dept Gen Zool, PL-61614 Poznan, Poland; [Prokop, Zofia M.] Jagiellonian Univ, Inst Environm Sci, Mol &amp; Behav Ecol Grp, PL-30397 Krakow, Poland; [Michalczyk, Lukasz] Univ E Anglia, Sch Biol Sci, Ctr Ecol Evolut &amp; Conservat, Norwich NR4 7TJ, Norfolk, England</t>
  </si>
  <si>
    <t>Adam Mickiewicz University; Adam Mickiewicz University; Jagiellonian University; University of East Anglia</t>
  </si>
  <si>
    <t>Kaczmarek, L (corresponding author), Adam Mickiewicz Univ, Dept Anim Taxon &amp; Ecol, Umultowska 89, PL-61614 Poznan, Poland.</t>
  </si>
  <si>
    <t>kaczmar@amu.edu.pl; glodny@amu.edu.pl; zofia.prokop@uj.edu.pl; LM@tardigrada.net</t>
  </si>
  <si>
    <t>Prokop, Zofia/D-3812-2013; Gołdyn, Bartłomiej/A-6166-2011; Kaczmarek, Lukasz/A-2000-2008; Michalczyk, Lukasz/D-1362-2009</t>
  </si>
  <si>
    <t>Gołdyn, Bartłomiej/0000-0002-5470-6709; Kaczmarek, Lukasz/0000-0002-5260-6253; Michalczyk, Lukasz/0000-0002-2912-4870</t>
  </si>
  <si>
    <t>Foundation for Polish Science (FNP)</t>
  </si>
  <si>
    <t>Foundation for Polish Science (FNP)(Foundation for Polish Science)</t>
  </si>
  <si>
    <t>We are grateful to Peter Degma (Comenius University, Slovakia), Paul Bartels (Warren Wilson College, USA), an anonymous referee and Sandra McInnes (British Antarctic Survey, UK) for their valuable comments on the manuscript. This work was partially supported by funds from the Foundation for Polish Science (FNP) to LK.</t>
  </si>
  <si>
    <t>10.11646/zootaxa.2781.1.2</t>
  </si>
  <si>
    <t>728GM</t>
  </si>
  <si>
    <t>WOS:000287862600002</t>
  </si>
  <si>
    <t>Banno, T; Sato, H; Tsuda, T; Matsumura, S</t>
  </si>
  <si>
    <t>Banno, Taisuke; Sato, Hiroshi; Tsuda, Takayuki; Matsumura, Shuichi</t>
  </si>
  <si>
    <t>Synthesis and Properties of Green Sustainable Carbonate-type Nonionics Containing Polyoxyethylene Chains</t>
  </si>
  <si>
    <t>JOURNAL OF OLEO SCIENCE</t>
  </si>
  <si>
    <t>biodegradability; carbonate linkage; chemical recycling; green surfactant; surface activity</t>
  </si>
  <si>
    <t>CATIONIC GEMINI SURFACTANTS; DIMETHYL CARBONATE; CHEMICAL HYDROLYSIS; ATOM ECONOMY; ESTER; STABILITY; METHANOL; DIOXIDE; BETAINE</t>
  </si>
  <si>
    <t>A series of polyoxyethylene surfactants containing carbonate linkages as biodegradable and chemically recyclable segments was designed and synthesized by a green process. A two-step carbonate exchange reaction was used: dimethyl or diphenyl carbonate was reacted with 1-alkanol, and the product was reacted with poly (ethylene) glycol in the presence of a lipase or chemical catalyst. The obtained carbonate-type nonionics exhibited good surface-active properties such as a low critical micelle concentration value and a surface tension lowering action. They were readily biodegraded by activated sludge, furthermore, could be chemical recycled using a lipase.</t>
  </si>
  <si>
    <t>[Banno, Taisuke; Sato, Hiroshi; Tsuda, Takayuki; Matsumura, Shuichi] Keio Univ, Fac Sci &amp; Technol, Dept Appl Chem, Kohoku Ku, Yokohama, Kanagawa 2238522, Japan</t>
  </si>
  <si>
    <t>Keio University</t>
  </si>
  <si>
    <t>Matsumura, S (corresponding author), Keio Univ, Fac Sci &amp; Technol, Dept Appl Chem, Kohoku Ku, 3-14-1 Hiyoshi, Yokohama, Kanagawa 2238522, Japan.</t>
  </si>
  <si>
    <t>matumura@applc.keio.ac.jp</t>
  </si>
  <si>
    <t>Matsumura, Shuichi/C-7986-2013; Banno, Taisuke/AAB-3702-2019</t>
  </si>
  <si>
    <t>Banno, Taisuke/0000-0002-7480-4242</t>
  </si>
  <si>
    <t>Ministry of Education, Culture, Sports, Science, and Technology, Japan [21 4882]; MEXT</t>
  </si>
  <si>
    <t>Ministry of Education, Culture, Sports, Science, and Technology, Japan(Ministry of Education, Culture, Sports, Science and Technology, Japan (MEXT)); MEXT(Ministry of Education, Culture, Sports, Science and Technology, Japan (MEXT))</t>
  </si>
  <si>
    <t>Immobilized lipase from Candid, antarctic (lipase CA, Novozym 435) was kindly supplied by Novozymes Japan Ltd. (Chiba, Japan). This work was supported by a Grant-in-Aid for General Scientific Research and JSPS Fellows 21 4882 from the Ministry of Education, Culture, Sports, Science, and Technology, Japan. This work was also supported by High-Tech Research Center Project for Private Universities: matching fund subsidy from MEXT, 2006-2011.</t>
  </si>
  <si>
    <t>JAPAN OIL CHEMISTS SOC</t>
  </si>
  <si>
    <t>TOKYO</t>
  </si>
  <si>
    <t>YUSHI KOGYO KAIKAN BLDG, 13-11, NIHONBASHI 3-CHOME, CHUO-KU, TOKYO, 103-0027, JAPAN</t>
  </si>
  <si>
    <t>1345-8957</t>
  </si>
  <si>
    <t>1347-3352</t>
  </si>
  <si>
    <t>J OLEO SCI</t>
  </si>
  <si>
    <t>J. Oleo Sci.</t>
  </si>
  <si>
    <t>MAR</t>
  </si>
  <si>
    <t>10.5650/jos.60.117</t>
  </si>
  <si>
    <t>Chemistry, Applied; Food Science &amp; Technology</t>
  </si>
  <si>
    <t>Chemistry; Food Science &amp; Technology</t>
  </si>
  <si>
    <t>727VN</t>
  </si>
  <si>
    <t>WOS:000287831100003</t>
  </si>
  <si>
    <t>Allison, LC; Johnson, HL; Marshall, DP</t>
  </si>
  <si>
    <t>Allison, Lesley C.; Johnson, Helen L.; Marshall, David P.</t>
  </si>
  <si>
    <t>Spin-up and adjustment of the Antarctic Circumpolar Current and global pycnocline</t>
  </si>
  <si>
    <t>MERIDIONAL OVERTURNING CIRCULATION; SOUTHERN-HEMISPHERE WINDS; RECENT CLIMATE-CHANGE; OCEAN CO2 SINK; DRAKE PASSAGE; TEMPORAL VARIABILITY; LAST DEGLACIATION; ANTHROPOGENIC CO2; ANNULAR MODE; TRANSPORT</t>
  </si>
  <si>
    <t>A theory is presented for the adjustment of the Antarctic Circumpolar Current (ACC) and global pycnocline to a sudden and sustained change in wind forcing. The adjustment timescale is controlled by the mesoscale eddy diffusivity across the ACC, the mean width of the ACC, the surface area of the ocean basins to the north, and deep water formation in the North Atlantic. In particular, northern sinking may have the potential to shorten the timescale and reduce its sensitivity to Southern Ocean eddies, but the relative importance of northern sinking and Southern Ocean eddies cannot be determined precisely, largely due to limitations in the parameterization of northern sinking. Although it is clear that the main processes that control the adjustment timescale are those which counteract the deepening of the global pycnocline, the theory also suggests that the timescale can be subtly modified by wind forcing over the ACC and global diapycnal mixing. Results from calculations with a reduced-gravity model compare well with the theory. The multidecadal-centennial adjustment timescale implies that long observational time series will be required to detect dynamic change in the ACC due to anthropogenic forcing. The potential role of Southern Ocean mesoscale eddy activity in determining both the equilibrium state of the ACC and the timescale over which it adjusts suggests that the response to anthropogenic forcing may be rather different in coupled ocean-atmosphere climate models that parameterize and resolve mesoscale eddies.</t>
  </si>
  <si>
    <t>[Allison, Lesley C.] Univ Reading, Dept Meteorol, NCAS Climate, Reading RG6 6BB, Berks, England; [Johnson, Helen L.] Univ Oxford, Dept Earth Sci, Oxford OX1 3AN, England; [Marshall, David P.] Univ Oxford, Clarendon Lab, Dept Phys, Oxford OX1 3PU, England</t>
  </si>
  <si>
    <t>UK Research &amp; Innovation (UKRI); Natural Environment Research Council (NERC); NERC National Centre for Atmospheric Science; University of Reading; University of Oxford; University of Oxford</t>
  </si>
  <si>
    <t>Allison, LC (corresponding author), Univ Reading, Dept Meteorol, NCAS Climate, Reading RG6 6BB, Berks, England.</t>
  </si>
  <si>
    <t>l.c.allison@reading.ac.uk</t>
  </si>
  <si>
    <t>Marshall, David Philip/B-6767-2009; Allison, Lesley/H-4033-2011; Allison, Lesley/I-4746-2015</t>
  </si>
  <si>
    <t>Marshall, David Philip/0000-0002-5199-6579; Allison, Lesley/0000-0002-9271-1197; Johnson, Helen/0000-0003-1873-2085</t>
  </si>
  <si>
    <t>UK Natural Environment Research Council; Royal Society; James Martin 21st Century School, University of Oxford; Natural Environment Research Council [NE/H005668/1] Funding Source: researchfish; NERC [NE/H005668/1] Funding Source: UKRI</t>
  </si>
  <si>
    <t>UK Natural Environment Research Council(UK Research &amp; Innovation (UKRI)Natural Environment Research Council (NERC)); Royal Society(Royal Society); James Martin 21st Century School, University of Oxford; Natural Environment Research Council(UK Research &amp; Innovation (UKRI)Natural Environment Research Council (NERC)); NERC(UK Research &amp; Innovation (UKRI)Natural Environment Research Council (NERC))</t>
  </si>
  <si>
    <t>This study is funded by the UK Natural Environment Research Council. HLJ is supported by a Royal Society University Research Fellowship. DPM is supported by the James Martin 21st Century School, University of Oxford. We thank Andy Hogg and one anonymous reviewer for their helpful feedback.</t>
  </si>
  <si>
    <t>MAR-MAY</t>
  </si>
  <si>
    <t>2-3</t>
  </si>
  <si>
    <t>10.1357/002224011798765330</t>
  </si>
  <si>
    <t>867FR</t>
  </si>
  <si>
    <t>WOS:000298440800002</t>
  </si>
  <si>
    <t>Burri, L</t>
  </si>
  <si>
    <t>Burri, Lena</t>
  </si>
  <si>
    <t>The power of omega-3 phospholipids Omega-3 fatty acids from Superba™ krill oil show increased bioavailability compared to triglyceride omega-3s</t>
  </si>
  <si>
    <t>AGRO FOOD INDUSTRY HI-TECH</t>
  </si>
  <si>
    <t>Many health-promoting benefits have been associated with the intake of the omega-3 fatty acids, eicosapentaenoic acid (EPA) and docosahexaenoic acid (DHA). As a dietary supplement, Superba (TM) krill oil provides these important fatty acids to a large part in the form of phospholipids. Due to the special combination of omega-3 phospholipids and the antioxidant astaxanthin, krill oil has been alleviated with numerous positive health effects. The intention of this article is to provide information on the influence of the structural form of omega-3 fatty acids (phospholipids from krill oil versus triglycerides from fish oil) on blood plasma levels of EPA and DHA. Two human clinical studies suggest that omega-3s provided in phospholipid form accumulate in higher amounts in plasma than when taken up in triglyceride form.</t>
  </si>
  <si>
    <t>Aker BioMarine Antarctic AS, NO-0115 Oslo, Norway</t>
  </si>
  <si>
    <t>Burri, L (corresponding author), Aker BioMarine Antarctic AS, Fjordalleen 16, NO-0115 Oslo, Norway.</t>
  </si>
  <si>
    <t>TEKNOSCIENZE PUBL</t>
  </si>
  <si>
    <t>MILANO</t>
  </si>
  <si>
    <t>VIALE BRIANZA 22, 20127 MILANO, ITALY</t>
  </si>
  <si>
    <t>1722-6996</t>
  </si>
  <si>
    <t>2035-4606</t>
  </si>
  <si>
    <t>AGRO FOOD IND HI TEC</t>
  </si>
  <si>
    <t>Agro Food Ind. Hi-Tech</t>
  </si>
  <si>
    <t>MAR-APR</t>
  </si>
  <si>
    <t>Biotechnology &amp; Applied Microbiology; Food Science &amp; Technology</t>
  </si>
  <si>
    <t>768XG</t>
  </si>
  <si>
    <t>WOS:000290971500004</t>
  </si>
  <si>
    <t>Tully, MB; Klekociuk, AR; Alexander, SP; Dargaville, RJ; Deschamps, LL; Fraser, PJ; Gies, HP; Henderson, SI; Javorniczky, J; Krummel, PB; Petelina, SV; Shanklin, JD; Siddaway, JM; Stone, KA</t>
  </si>
  <si>
    <t>Tully, M. B.; Klekociuk, A. R.; Alexander, S. P.; Dargaville, R. J.; Deschamps, L. L.; Fraser, P. J.; Gies, H. P.; Henderson, S. I.; Javorniczky, J.; Krummel, P. B.; Petelina, S. V.; Shanklin, J. D.; Siddaway, J. M.; Stone, K. A.</t>
  </si>
  <si>
    <t>The Antarctic ozone hole during 2008 and 2009</t>
  </si>
  <si>
    <t>AUSTRALIAN METEOROLOGICAL AND OCEANOGRAPHIC JOURNAL</t>
  </si>
  <si>
    <t>OSIRIS INSTRUMENT; DEPLETION; SATELLITE; CIRCULATION; PROFILES</t>
  </si>
  <si>
    <t>The Antarctic ozone holes of 2008 and 2009 are reviewed from various perspectives, making use of a range of Australian data and analyses. In both years, ozone holes formed that were fairly typical of those observed since the late 1990s. The ozone hole of 2008</t>
  </si>
  <si>
    <t>[Tully, M. B.] Bur Meteorol, Melbourne, Vic 3001, Australia; [Dargaville, R. J.] Univ Melbourne, Sch Earth Sci, Melbourne, Vic 3010, Australia; [Petelina, S. V.; Siddaway, J. M.; Stone, K. A.] La Trobe Univ, Dept Phys, Bundoora, Vic 3086, Australia</t>
  </si>
  <si>
    <t>Bureau of Meteorology - Australia; University of Melbourne; Melbourne Bioinformatics; La Trobe University</t>
  </si>
  <si>
    <t>Tully, MB (corresponding author), Bur Meteorol, GPO Box 1289, Melbourne, Vic 3001, Australia.</t>
  </si>
  <si>
    <t>m.tully@bom.gov.au</t>
  </si>
  <si>
    <t>Fraser, Paul J. B./D-1755-2012; Krummel, Paul B/A-4293-2013; Tully, Matthew/AAG-1730-2020; Klekociuk, Andrew/A-4498-2015</t>
  </si>
  <si>
    <t>Krummel, Paul B/0000-0002-4884-3678; Tully, Matthew/0000-0002-6153-5610; Dargaville, Roger/0000-0002-0103-5198; Klekociuk, Andrew/0000-0003-3335-0034; Henderson, Stuart/0000-0002-9147-5727; Alexander, Simon/0000-0001-6823-8857</t>
  </si>
  <si>
    <t>Canadian Space Agency</t>
  </si>
  <si>
    <t>Canadian Space Agency(Canadian Space Agency)</t>
  </si>
  <si>
    <t>The authors wish to acknowledge the assistance of the following people: Dr. Jeff Ayton and the Australian Antarctic Division's Antarctic Medical Practitioners in collecting the solar UV data, and the BoM observers for collecting upper air measurements. The OSIRIS operation and data retrievals are primarily supported by the Canadian Space Agency. Odin is currently a third-party mission for the European Space Agency. CSIRO wishes to acknowledge the Department of Sustainability, Environment, Water, Population and Communities for their support of this work.</t>
  </si>
  <si>
    <t>AUSTRALIAN BUREAU METEOROLOGY</t>
  </si>
  <si>
    <t>MELBOURNE</t>
  </si>
  <si>
    <t>GPO BOX 1289, MELBOURNE, VIC 3001, AUSTRALIA</t>
  </si>
  <si>
    <t>1836-716X</t>
  </si>
  <si>
    <t>AUST METEOROL OCEAN</t>
  </si>
  <si>
    <t>Aust. Meteorol. Oceanogr. J.</t>
  </si>
  <si>
    <t>10.22499/2.6101.007</t>
  </si>
  <si>
    <t>765NI</t>
  </si>
  <si>
    <t>WOS:000290714600007</t>
  </si>
  <si>
    <t>Nath, IVA; Bharathi, PAL</t>
  </si>
  <si>
    <t>Nath, I. V. Ambily; Bharathi, P. A. Loka</t>
  </si>
  <si>
    <t>Diversity in transcripts and translational pattern of stress proteins in marine extremophiles</t>
  </si>
  <si>
    <t>EXTREMOPHILES</t>
  </si>
  <si>
    <t>Thermophiles; Psychrophiles; Halophiles; Piezophiles; pH and radiation-resistant microbes; Stress proteins; In vitro studies</t>
  </si>
  <si>
    <t>HEAT-SHOCK PROTEINS; HIGH HYDROSTATIC-PRESSURE; COMPLETE GENOME SEQUENCE; DPS-LIKE PROTEIN; LISTERIA-MONOCYTOGENES; ESCHERICHIA-COLI; GENE-EXPRESSION; SACCHAROMYCES-CEREVISIAE; DEINOCOCCUS-RADIODURANS; SALT STRESS</t>
  </si>
  <si>
    <t>Extremophiles occur in a diverse range of habitats, from the frigid waters of Antarctic to the superheated plumes of hydrothermal vents. Their in-depth study could provide important insights into the biochemical, ecological and evolutionary aspects of marine microbes. The cellular machinery of such extreme-lovers could be highly flexible to cope with such harsh environments. Extreme conditions of temperature, pressure, salinity, pH, oxidative stress, radiation, etc., above the physiological tolerance level can disrupt the natural conformation of proteins in the cell. The induction of stress proteins (heat/cold shock proteins/salt stress proteins/pressure-induced proteins) plays a vital role in the acclimatization of extremophiles. The present review focuses on the in vitro studies conducted on the transcripts and translational pattern of stress proteins in extremophiles. Though some proteins are unique, a commonality in stress resistance mechanism has been observed, for example, the universal occurrence of HSP60, 70 and the expression of metabolic and DNA repair proteins. The review highlights that among all the stressful conditions, salt/osmotic stress evokes the expression of highest number of transcripts/proteins while psychrophilic condition the least.</t>
  </si>
  <si>
    <t>[Nath, I. V. Ambily; Bharathi, P. A. Loka] Natl Inst Oceanog, Biodivers Informat Grp, Panaji 403004, Goa, India</t>
  </si>
  <si>
    <t>Council of Scientific &amp; Industrial Research (CSIR) - India; CSIR - National Institute of Oceanography (NIO)</t>
  </si>
  <si>
    <t>Bharathi, PAL (corresponding author), Natl Inst Oceanog, Biodivers Informat Grp, Panaji 403004, Goa, India.</t>
  </si>
  <si>
    <t>loka@nio.org</t>
  </si>
  <si>
    <t>DBT [GAP 0423]</t>
  </si>
  <si>
    <t>DBT(Department of Biotechnology (DBT) India)</t>
  </si>
  <si>
    <t>The authors are grateful to Dr. S.R. Shetye, Director, National Institute of Oceanography for facilities. This work has been carried out under project GAP 0423 funded by DBT. The present manuscript forms contribution no. 4891 of NIO publication.</t>
  </si>
  <si>
    <t>SPRINGER JAPAN KK</t>
  </si>
  <si>
    <t>SHIROYAMA TRUST TOWER 5F, 4-3-1 TORANOMON, MINATO-KU, TOKYO, 105-6005, JAPAN</t>
  </si>
  <si>
    <t>1431-0651</t>
  </si>
  <si>
    <t>1433-4909</t>
  </si>
  <si>
    <t>Extremophiles</t>
  </si>
  <si>
    <t>10.1007/s00792-010-0348-x</t>
  </si>
  <si>
    <t>Biochemistry &amp; Molecular Biology; Microbiology</t>
  </si>
  <si>
    <t>756TL</t>
  </si>
  <si>
    <t>WOS:000290037500002</t>
  </si>
  <si>
    <t>Ruiz-Halpern, S; Duarte, CM; Tovar-Sanchez, A; Pastor, M; Horstkotte, B; Lasternas, S; Agustí, S</t>
  </si>
  <si>
    <t>Ruiz-Halpern, Sergio; Duarte, Carlos M.; Tovar-Sanchez, Antonio; Pastor, Marcos; Horstkotte, Burkhard; Lasternas, Sebastien; Agusti, Susana</t>
  </si>
  <si>
    <t>Antarctic krill as a source of dissolved organic carbon to the Antarctic ecosystem</t>
  </si>
  <si>
    <t>EUPHAUSIA-SUPERBA; BACTERIA; MATTER; PHYTOPLANKTON; BEHAVIOR; IRON; TEMPERATURE; EXCRETION; RELEASE; AMMONIA</t>
  </si>
  <si>
    <t>The role of krill as a source of dissolved organic matter in the Southern Ocean was tested through a series of experiments performed around the Antarctic Peninsula. These experiments revealed high but variable release rates of dissolved material (carbon and nutrients), supplying, on average, 150 mmol dissolved organic carbon (DOC) m(-2) d(-1), which is comparable with that supported by phytoplankton. Krill support, on average, 73% of the combined krill + phytoplankton production of DOC in the ecosystem, implying the importance of krill in conditioning the productivity of the Southern Ocean. However, the contribution of krill as a source of DOC varied greatly because of the patchy distribution of both krill and primary producers in the region, ranging from 98% to 10% of the combined (krill + phytoplankton) DOC release rates. These results suggest that rapid decline in krill standing stocks associated with reduced ice cover may have major consequences for microbial communities in the ecosystem, since bacterial carbon demand often exceeds the DOC supplied by phytoplankton in coastal areas of the Southern Ocean, with potential unforeseen consequences in the carbon balance of the Southern Ocean.</t>
  </si>
  <si>
    <t>[Ruiz-Halpern, Sergio; Duarte, Carlos M.; Tovar-Sanchez, Antonio; Horstkotte, Burkhard; Lasternas, Sebastien; Agusti, Susana] UIB, CSIC, Inst Mediterraneo Estudios Avanzados IMEDEA, Dept Global Change Res, Esporles, I Balears, Spain; [Pastor, Marcos] CSIC, UTM, Dept Acust &amp; Geofis, Barcelona, Catalunya, Spain</t>
  </si>
  <si>
    <t>Universitat de les Illes Balears; Consejo Superior de Investigaciones Cientificas (CSIC); ATTITUS Educacao; Consejo Superior de Investigaciones Cientificas (CSIC); CSIC - Centro Mediterraneo de Investigaciones Marinas y Ambientales (CMIMA); CSIC - Unidad de Tecnologia Marina (UTM)</t>
  </si>
  <si>
    <t>Ruiz-Halpern, S (corresponding author), UIB, CSIC, Inst Mediterraneo Estudios Avanzados IMEDEA, Dept Global Change Res, Esporles, I Balears, Spain.</t>
  </si>
  <si>
    <t>Sergio.ruiz@imedea.uib-csic.es</t>
  </si>
  <si>
    <t>Duarte, Carlos M/A-7670-2013; Agusti, Susana/H-8421-2012; Horstkotte, Burkhard/N-2739-2014; Agusti, Susana/G-2864-2017; Tovar-Sánchez, Antonio/B-8003-2010; Lasternas, Sebastien/F-3295-2011; Duarte Quesada, Carlos Manuel/ABD-6208-2021; Ruiz-Halpern, Sergio/J-2854-2015</t>
  </si>
  <si>
    <t>Duarte, Carlos M/0000-0002-1213-1361; Horstkotte, Burkhard/0000-0003-2337-9634; Agusti, Susana/0000-0003-0536-7293; Ruiz-Halpern, Sergio/0000-0002-4198-4187; Tovar-Sanchez, Antonio/0000-0003-4375-1982</t>
  </si>
  <si>
    <t>Spanish Ministry of Science and Innovation</t>
  </si>
  <si>
    <t>Spanish Ministry of Science and Innovation(Spanish Government)</t>
  </si>
  <si>
    <t>We thank the commander and crew of the RV Hesperides for dedicated and professional assistance, the personnel of the Unidad de Tecnologia Marina (UTM) for highly professional technical support, Ana Massanet for help in the experimental setup, Miquel Alcaraz for help with krill collections, Juan Carlos Alonso for nutrient analysis, and Pedro Echeveste for Chl a analysis. This is a contribution to the Aportes Atmosfericos de Carbono Organico y Contaminantes al Oceano Polar (ATOS) project funded by the Spanish Ministry of Science and Innovation under the scope of the International Polar Year (IPY).</t>
  </si>
  <si>
    <t>10.4319/lo.2011.56.2.0521</t>
  </si>
  <si>
    <t>765BG</t>
  </si>
  <si>
    <t>WOS:000290677800009</t>
  </si>
  <si>
    <t>Larson, EJ</t>
  </si>
  <si>
    <t>Larson, Edward J.</t>
  </si>
  <si>
    <t>Public Science for a Global Empire The British Quest for the South Magnetic Pole</t>
  </si>
  <si>
    <t>ISIS</t>
  </si>
  <si>
    <t>BRITAIN</t>
  </si>
  <si>
    <t>It is well known to historians of science that, early in the nineteenth century, terrestrial magnetism became both a popular science and a significant research enterprise in Europe. For Britain, as a maritime power, it offered benefits for navigation. Theoretical physicists claimed that, with enough observations of magnetic variation, intensity, and dip taken throughout the world over time, they could deduce regular mathematical laws to explain the phenomena. Because of the lack of data from the region, particular attention focused on field research in deep southern latitudes. Finding the precise location of the South Magnetic Pole became a prime goal for some enthusiasts. With burgeoning colonies in Africa and the Antipodes, Britain assumed a leading role in this effort. British scientists looked to their government for funding and called on the Admiralty to dispatch expeditions. It is less well known that both popular and scientific interest in terrestrial magnetism continued throughout the nineteenth century and into the early twentieth century. The H.M.S. Erebus and H.M.S. Terror (1839-1843), H.M.S. Challenger (1872-1876), and R.Y. Discovery (1901-1904) sailed to the Antarctic as part of Britain's extended Magnetic Crusade, which culminated with Royal Society geologist T. W. Edgeworth David of the Nimrod expedition reaching the South Magnetic Pole in 1909.</t>
  </si>
  <si>
    <t>[Larson, Edward J.] Pepperdine Univ, Div Humanities, Malibu, CA 90263 USA; [Larson, Edward J.] Pepperdine Univ, Sch Law, Malibu, CA 90263 USA</t>
  </si>
  <si>
    <t>Pepperdine University; Pepperdine University</t>
  </si>
  <si>
    <t>Larson, EJ (corresponding author), Pepperdine Univ, Div Humanities, 24255 Pacific Coast Highway, Malibu, CA 90263 USA.</t>
  </si>
  <si>
    <t>0021-1753</t>
  </si>
  <si>
    <t>Isis</t>
  </si>
  <si>
    <t>10.1086/658656</t>
  </si>
  <si>
    <t>History &amp; Philosophy Of Science</t>
  </si>
  <si>
    <t>Science Citation Index Expanded (SCI-EXPANDED); Social Science Citation Index (SSCI); Arts &amp; Humanities Citation Index (A&amp;HCI)</t>
  </si>
  <si>
    <t>History &amp; Philosophy of Science</t>
  </si>
  <si>
    <t>754PO</t>
  </si>
  <si>
    <t>WOS:000289868600002</t>
  </si>
  <si>
    <t>Nimmervoll, H; Wenker, C; Robert, N; Albini, S</t>
  </si>
  <si>
    <t>Nimmervoll, H.; Wenker, C.; Robert, N.; Albini, S.</t>
  </si>
  <si>
    <t>Septicaemia caused by Edwardsiella tarda and Plesiomonas shigelloides in captive penguin chicks</t>
  </si>
  <si>
    <t>SCHWEIZER ARCHIV FUR TIERHEILKUNDE</t>
  </si>
  <si>
    <t>Edwardsiella tarda; Plesiomonas shigelloides; penguin chicks; septicaemia</t>
  </si>
  <si>
    <t>ANTARCTIC BIRDS; MAMMALS; INFECTIONS</t>
  </si>
  <si>
    <t>Three cases of fatal septicaemia due to Plesiomonas shigelloides and one due to Edwardsiella tarda were diagnosed in newborn penguins from the Basle Zoo, Switzerland from 2003-2007. The affected penguins were of two different species (king penguin, Aptenodytes patagonicus, and African penguin, Spheniscus demersus) and between 2 and 10 days old at the time of death. The causative agents, E. tarda and P. shigelloides are ubiquitous bacteria which are reported to be present in the normal intestinal flora of wild and captive aquatic animals, including penguins. Their occurrence and infectious potential is discussed.</t>
  </si>
  <si>
    <t>[Albini, S.] Univ Zurich, Vetsuisse Fak, Inst Vet Bakteriol, Abt Geflugel &amp; Kaninchenkrankheiten, CH-8057 Zurich, Switzerland; [Wenker, C.] Basle Zoo, Basel, Switzerland; [Nimmervoll, H.; Robert, N.] Univ Bern, Ctr Fish &amp; Wildlife Hlth, Inst Anim Pathol, CH-3012 Bern, Switzerland</t>
  </si>
  <si>
    <t>University of Zurich; University of Bern</t>
  </si>
  <si>
    <t>Albini, S (corresponding author), Univ Zurich, Vetsuisse Fak, Inst Vet Bakteriol, Abt Geflugel &amp; Kaninchenkrankheiten, Winterthurerstr 270, CH-8057 Zurich, Switzerland.</t>
  </si>
  <si>
    <t>salbini@vetbakt.uzh.ch</t>
  </si>
  <si>
    <t>Albini, Sarah/0000-0002-9498-0243</t>
  </si>
  <si>
    <t>VERLAG HANS HUBER</t>
  </si>
  <si>
    <t>BERN 9</t>
  </si>
  <si>
    <t>LANGGASS-STRASSE 76, CH-3000 BERN 9, SWITZERLAND</t>
  </si>
  <si>
    <t>0036-7281</t>
  </si>
  <si>
    <t>SCHWEIZ ARCH TIERH</t>
  </si>
  <si>
    <t>Schweiz. Arch. Tierheilkd.</t>
  </si>
  <si>
    <t>10.1024/0036-7281/a000165</t>
  </si>
  <si>
    <t>Veterinary Sciences</t>
  </si>
  <si>
    <t>761BU</t>
  </si>
  <si>
    <t>WOS:000290370500004</t>
  </si>
  <si>
    <t>Palmeri, R; Talarico, FM; Ricci, CA</t>
  </si>
  <si>
    <t>Palmeri, R.; Talarico, F. M.; Ricci, C. A.</t>
  </si>
  <si>
    <t>Ultrahigh-pressure metamorphism at the Lanterman Range (northern Victoria Land, Antarctica)</t>
  </si>
  <si>
    <t>GEOLOGICAL JOURNAL</t>
  </si>
  <si>
    <t>HP/UHP metamorphism; eclogite; quartzo-feldspathic gneiss; garnet-bearing ultramafic rocks; Gondwana; Ross/Delamerian/Tyennan Orogen; Antarctica</t>
  </si>
  <si>
    <t>PALEO-PACIFIC MARGIN; DORA-MAIRA-MASSIF; ROSS OROGEN; EXHUMATION; ECLOGITES; SUBDUCTION; EVOLUTION; GONDWANA; PETROLOGY; CONSTRAINTS</t>
  </si>
  <si>
    <t>Northern Victoria Land is a key area for the Ross Orogen-a Palaeozoic fold belt formed at the palaeo-Pacific margin of Gondwana and also known as the Delamerian and Tyennan Orogeny in southern Australia, and Tasmania, respectively. A narrow and discontinuous high- to ultrahigh-pressure (HP/UHP) belt, consisting of mafic and ultramafic rocks (including garnet-bearing types) within a metasedimentary sequence of gneisses and quartzites, is exposed at the Lanterman Range (northern Victoria Land), at the boundary between two main lithotectonic terranes (the Wilson and Bowers terranes). Mesostructural and microstructural relations between eclogitic boudins and country gneisses are, in some areas, characterized by interlayering with sharp contacts on a cm scale. Geological, petrological and geochronological studies indicate that mafic, ultramafic and felsic host rocks underwent a common metamorphic evolution with an UHP eclogite-facies stage approximate to 500 Ma ago at temperatures of up to approximate to 850 degrees C and pressures up to 3.3 GPa. The retrograde P-T path is similar and, indeed, it overlaps in every lithology; it is a nearly isothermal path from UHP conditions up to deep crustal levels, and becomes a cooling-unloading path from intermediate to shallow levels. The discovery of UHP rocks at the Lanterman Range yields eclogite-facies rocks of this area among the rare UHP rocks of the world and represents the only known locality in Antarctica and along the entire palaeo-Pacific margin of Gondwana during the Ross-Delamerian-Tyennan Orogen. Copyright (C) 2010 John Wiley &amp; Sons, Ltd.</t>
  </si>
  <si>
    <t>[Talarico, F. M.; Ricci, C. A.] Univ Siena, Dipartimento Sci Terra, I-53100 Siena, Italy; [Palmeri, R.; Ricci, C. A.] Museo Nazl Antartide, Sez Sci Terra, Siena, Italy</t>
  </si>
  <si>
    <t>Palmeri, R (corresponding author), Rosaria Palmeri Museo Nazl Antartide, Sez Sci Terra, Via Laterina 8, I-53100 Siena, Italy.</t>
  </si>
  <si>
    <t>palmerir@unisi.it</t>
  </si>
  <si>
    <t>talarico, franco/G-9472-2012</t>
  </si>
  <si>
    <t>talarico, franco/0000-0002-7254-4301</t>
  </si>
  <si>
    <t>Italian 'Programma Nazionale di Ricerche in Antartide'; Siena University</t>
  </si>
  <si>
    <t>Italian 'Programma Nazionale di Ricerche in Antartide'(Ministry of Education, Universities and Research (MIUR)); Siena University</t>
  </si>
  <si>
    <t>Research benefited from the support of the Italian 'Programma Nazionale di Ricerche in Antartide' during the 1993-1994, 1994-1995, 1996-1997 Antarctic field work. This study was also supported by Siena University (PAR 2005 R. Palmeri). The guest Editor M. Santosh is thanked for the invitation to participate with this review on Antarctica UHP rocks in the special issue 'Extreme metamorphism and continental dynamics'. Prof. Tsunogae and an anonymous referee are thanked for their comments. Prof. Ian Somerville, Editor-in-Chief of GJ, is thanked for his editorial handling.</t>
  </si>
  <si>
    <t>0072-1050</t>
  </si>
  <si>
    <t>1099-1034</t>
  </si>
  <si>
    <t>GEOL J</t>
  </si>
  <si>
    <t>Geol. J.</t>
  </si>
  <si>
    <t>MAR-JUN</t>
  </si>
  <si>
    <t>10.1002/gj.1243</t>
  </si>
  <si>
    <t>752AA</t>
  </si>
  <si>
    <t>WOS:000289658400003</t>
  </si>
  <si>
    <t>Klyachkin, SV</t>
  </si>
  <si>
    <t>Klyachkin, S. V.</t>
  </si>
  <si>
    <t>Estimates of intensity and formation frequency of ice pile-up on the northwestern coast of the Caspian Sea from the results of model computations</t>
  </si>
  <si>
    <t>The technique and results of computations of statistical parameters of ice pile-up formation on the western coast of the northern Caspian Sea are presented. The dynamic model of ice pile-up formation on the shores is described. The main ice, meteorological, and morphologic factors influencing the shore pile-up formation are analyzed. The test computation enabling to estimate the model adequacy is described. The estimation principle of the probability of the formation of the ice pile-up of certain size is given and the distribution functions of geometrical parameters of the pile-ups on the western coast of the northern Caspian Sea are obtained. The limits of the proposed model are specially stipulated.</t>
  </si>
  <si>
    <t>Arctic &amp; Antarctic Res Inst, St Petersburg 199397, Russia</t>
  </si>
  <si>
    <t>Klyachkin, SV (corresponding author), Arctic &amp; Antarctic Res Inst, Ul Beringa 38, St Petersburg 199397, Russia.</t>
  </si>
  <si>
    <t>10.3103/S106837391103006X</t>
  </si>
  <si>
    <t>750UY</t>
  </si>
  <si>
    <t>WOS:000289574700006</t>
  </si>
  <si>
    <t>Bryzgalo, VA; Ivanov, VV; Ivanova, IM</t>
  </si>
  <si>
    <t>Bryzgalo, V. A.; Ivanov, V. V.; Ivanova, I. M.</t>
  </si>
  <si>
    <t>Influx of dissolved chemical substances to the Ob-Taz estuarine area</t>
  </si>
  <si>
    <t>The results of calculation and analysis of a long-term spatial variability in volumes of the influx of a wide spectrum of dissolved chemical substances to the Ob-Taz estuarine area are under consideration. It is shown that physical transport of mineral nitrogen and phosphorus, silicic acid, petroleum hydrocarbons, phenols, heavy metal compounds down the rivers flowing into the Ob-Taz estuarine area dominates over the processes of their chemical-biological transformation. Therefore, a substantial amount of these compounds enters the estuarine ecosystems, which leads to a substantial transformation of the component composition of their water environment and a greater extent of its pollution. The latter predetermines a possible transition of the Ob-Taz estuarine area state from equilibrium into crisis, and in occasional years, even into critical state.</t>
  </si>
  <si>
    <t>[Bryzgalo, V. A.; Ivanov, V. V.; Ivanova, I. M.] Arctic &amp; Antarctic Res Inst, St Petersburg 199397, Russia</t>
  </si>
  <si>
    <t>Bryzgalo, VA (corresponding author), Arctic &amp; Antarctic Res Inst, Ul Beringa 38, St Petersburg 199397, Russia.</t>
  </si>
  <si>
    <t>10.3103/S1068373911030071</t>
  </si>
  <si>
    <t>WOS:000289574700007</t>
  </si>
  <si>
    <t>Sokratova, IN</t>
  </si>
  <si>
    <t>Sokratova, I. N.</t>
  </si>
  <si>
    <t>Hydrological investigations in the Antarctic oases</t>
  </si>
  <si>
    <t>The types of scientific works on the investigation of hydrological objects in the Antarctic oases during the whole period under study are systematized. The investigations (the periods and areas of their carrying out) are recited with the description of the main obtained scientific results as well as the areas of investigations planned for the future. It is demonstrated that it is important to broaden the network of glaciological, hydrological, and ecological monitoring on the territories of the Antarctic oases for the purpose of the full-fledged complex analysis of the current state of the Antarctic ecosystems carried out on the basis of the integration approach with the use of the modern scientific methods.</t>
  </si>
  <si>
    <t>Sokratova, IN (corresponding author), Arctic &amp; Antarctic Res Inst, Ul Beringa 38, St Petersburg 199397, Russia.</t>
  </si>
  <si>
    <t>Sokratova, Irina/A-6622-2011</t>
  </si>
  <si>
    <t>Sokratova, Irina/0000-0002-6104-7414</t>
  </si>
  <si>
    <t>10.3103/S1068373911030083</t>
  </si>
  <si>
    <t>WOS:000289574700008</t>
  </si>
  <si>
    <t>Ali, MA; Rajakumar, B</t>
  </si>
  <si>
    <t>Ali, Mohamad Akbar; Rajakumar, B.</t>
  </si>
  <si>
    <t>Thermodynamic and kinetic studies of hydroxyl radical reaction with bromine oxide using density functional theory</t>
  </si>
  <si>
    <t>COMPUTATIONAL AND THEORETICAL CHEMISTRY</t>
  </si>
  <si>
    <t>Bromine oxide; Hydroxyl radical reaction; DFT; B3LYP and mPW1PW91 functionals; Thermodynamic properties; Rate coefficient</t>
  </si>
  <si>
    <t>ANTARCTIC STRATOSPHERE; RATE COEFFICIENT; AB-INITIO; OH; MECHANISM; CLO; ISOMERS</t>
  </si>
  <si>
    <t>Thermodynamic properties such as enthalpies, Gibb's free energies, entropies of BrO + OH reaction and rate coefficients were computed using density functional theory, viz. B3LYP/6-311G(2df,2pd) and mPW1PW91/6-311G(2df, 2pd) level of theories. Geometries of reactants, intermediates, transitions states and products were optimized using these theories. Twelve different transitions states were identified using both the theories and confirmed by intrinsic reaction coordinate (IRC) calculations. Reaction mechanism of BrO + OH was explored using two reaction paths namely channel 1 (producing HO2 + Br) and channel 2 (producing HBr + O-2). Reaction channel 2 is found to be four times faster than reaction channel 1. The rate coefficient for the title reaction was computed to be k = (1.81 +/- 0.17) x 10(-13) [exp (1532 +/- 25)/T] cm(3) molecule(-1) s(-1) in the temperature range of 200 and 400 K using B3LYP/6-311G(2df,2pd) level of theory. Theoretically computed enthalpy of the reaction and rate coefficients using B3LYP/6-311G(2df,2pd) level of theory were found to be in good agreement with the experimentally measured ones. (C) 2011 Elsevier B.V. All rights reserved.</t>
  </si>
  <si>
    <t>[Ali, Mohamad Akbar; Rajakumar, B.] Indian Inst Technol, Dept Chem, Madras 600036, Tamil Nadu, India</t>
  </si>
  <si>
    <t>Indian Institute of Technology System (IIT System); Indian Institute of Technology (IIT) - Madras</t>
  </si>
  <si>
    <t>Rajakumar, B (corresponding author), Indian Inst Technol, Dept Chem, Madras 600036, Tamil Nadu, India.</t>
  </si>
  <si>
    <t>rajakumar@iitm.ac.in</t>
  </si>
  <si>
    <t>B, Rajakumar/H-3479-2011</t>
  </si>
  <si>
    <t>Balla, Rajakumar/0000-0003-0788-1499</t>
  </si>
  <si>
    <t>2210-271X</t>
  </si>
  <si>
    <t>1872-7999</t>
  </si>
  <si>
    <t>COMPUT THEOR CHEM</t>
  </si>
  <si>
    <t>Comput. Theor. Chem.</t>
  </si>
  <si>
    <t>10.1016/j.comptc.2011.01.013</t>
  </si>
  <si>
    <t>742CQ</t>
  </si>
  <si>
    <t>WOS:000288916400041</t>
  </si>
  <si>
    <t>Scopelliti, G; Bellanca, A; Neri, R</t>
  </si>
  <si>
    <t>Scopelliti, G.; Bellanca, A.; Neri, R.</t>
  </si>
  <si>
    <t>Petrography and carbonate isotope stratigraphy from MIS AND-1B core, Antarctica: Evidence of the early Pliocene warming event</t>
  </si>
  <si>
    <t>stable isotope; palaeoclimate; early Pliocene; ANDRILL; Antarctica</t>
  </si>
  <si>
    <t>ICE-SHEET; MCMURDO SOUND; SEA; GULF; SEDIMENT; AMERICA; HISTORY; ORIGIN; SYSTEM; MEXICO</t>
  </si>
  <si>
    <t>A large portion of ANDRILL (ANtarctic geological DRILLing) core AND-1B recovered in the Western Ross Sea and spanning the early Pliocene has been investigated in order to obtain a detailed carbonate isotope record from Antarctic margin sediments through the early Pliocene warming event. Petrographic observations and mineralogical analyses reveal the authigenic nature of the carbonate and small proportions of Fe and Mg incorporated within the calcite lattice. High productivity conditions testified by similar to 80 m-thick diatomite interval (383 to 460 mbsf) well fit with the composite nature of the authigenic carbonate generally characterizing organic matter-rich sediments. As is known, sediments from the Polar Region are generally poor in carbonate. Although in the investigated portion of AND-1B core the carbonate seldom exceeds 5% in content, an automated Carbonate Preparation Device was used to obtain a high-resolution stable isotope dataset Paleoenvironmental conditions characterized by high organic matter flux are supported by negative delta C-13 values suggesting a contribution of isotopically light biogenic CO2 during the carbonate precipitation. As to delta O-18, even if melting glaciers are thought to be responsible for depletion in O-18 composition, the isotope record exhibits long- and short-term trends. Analysis of the long-term trend constrains the Pliocene warming climax in an interval between 400-450 mbsf highlighting that most of the event is not documented because of a 800 kyr hiatus. The short-term trend documents the influence of obliquity controlling the annual insolation, but also that of precession-linked cyclicity seldom documented at high latitude. (C) 2010 Elsevier B.V. All rights reserved.</t>
  </si>
  <si>
    <t>[Scopelliti, G.; Bellanca, A.; Neri, R.] Univ Palermo, Dipartimento Chim &amp; Fis Terra &amp; Applicaz CFTA, I-90123 Palermo, Italy</t>
  </si>
  <si>
    <t>University of Palermo</t>
  </si>
  <si>
    <t>Bellanca, A (corresponding author), Univ Palermo, Dipartimento Chim &amp; Fis Terra &amp; Applicaz CFTA, Via Archirafi 36, I-90123 Palermo, Italy.</t>
  </si>
  <si>
    <t>bellanca@unipa.it</t>
  </si>
  <si>
    <t>Scopelliti, Giovanna/I-7562-2014</t>
  </si>
  <si>
    <t>SCOPELLITI, Giovanna/0000-0002-2112-3195</t>
  </si>
  <si>
    <t>Italian Antarctic Research Program (PNRA); US National Science Foundation; NZ Foundation for Research, Science and Technology; Royal Society of NZ Marsden Fund; Italian Antarctic Research Programme; German Research Foundation (DFG); Alfred Wegener Institute Polar and Marine Research</t>
  </si>
  <si>
    <t>Italian Antarctic Research Program (PNRA); US National Science Foundation(National Science Foundation (NSF)); NZ Foundation for Research, Science and Technology(New Zealand Foundation for Research, Science and Technology); Royal Society of NZ Marsden Fund(Royal Society of New ZealandMarsden Fund (NZ)); Italian Antarctic Research Programme; German Research Foundation (DFG)(German Research Foundation (DFG)); Alfred Wegener Institute Polar and Marine Research</t>
  </si>
  <si>
    <t>This study was supported by the Italian Antarctic Research Program (PNRA). ANDRILL-MIS Science Team, the Chief Scientists Tim Naish and Ross Powell are thanked for their encouragement and assistance. The ANDRILL project is a multinational collaboration between the Antarctic programmes of Germany, Italy, New Zealand and the United States. Antarctica New Zealand is the project operator and developed the drilling system in collaboration with Alex Pyne at Victoria University of Wellington and Webster Drilling and Enterprises Ltd. Antarctica New Zealand supported the drilling team at Scott Base; Raytheon Polar Services Corporation supported the science team at McMurdo Station and the Crary Science and Engineering Laboratory. The ANDRILL Science Management Office at the University of Nebraska-Lincoln provided science planning and operational support. Scientific studies have been jointly supported by the US National Science Foundation, NZ Foundation for Research, Science and Technology and the Royal Society of NZ Marsden Fund, the Italian Antarctic Research Programme, the German Research Foundation (DFG) and the Alfred Wegener Institute Polar and Marine Research. Comments by C.R. Fielding and an anonymous reviewer on a previous version of this manuscript were extremely helpful.</t>
  </si>
  <si>
    <t>10.1016/j.gloplacha.2010.11.006</t>
  </si>
  <si>
    <t>742IE</t>
  </si>
  <si>
    <t>WOS:000288934400003</t>
  </si>
  <si>
    <t>Burukovsky, RN</t>
  </si>
  <si>
    <t>Burukovsky, R. N.</t>
  </si>
  <si>
    <t>GEOGRAPHIC DISTRIBUTION OF NEMATOCARCINIDAE SHRIMPS (CRUSTACEA, DECAPODA)</t>
  </si>
  <si>
    <t>ZOOLOGICHESKY ZHURNAL</t>
  </si>
  <si>
    <t>OF-NATURAL-HISTORY; FAMILY NEMATOCARCINIDAE; HYDROTHERMAL VENTS; CONTINENTAL-SLOPE; N-TENUIPES; SYSTEMATICS; TAXONOMY; MUSEUM; COLLECTION; CARIDEA</t>
  </si>
  <si>
    <t>Nematocarcinidae shrimps that inhabit on the continental slope and in abyss include three monotypic genera (Lipkius, Nigmatullinus, Lenzicarcinus) and the genus Nematocarcinus (51 species) demonstrate the typical distribution of Indo-West Pacific group (74.5 % of the Nematocarcinus species dwell here) with the center of the species diversity in East Indies Triangle where 27.7% of the species are found. Nematocarcinidae shrimps settle all oceans (with the exception of the Arctic Ocean) mainly in the tropics and subtropics. In the family, there are 2 tropic cosmopolites (Nigmatullinus acanthitelsonis and Nematocarcinus tenuipes), 2 Indo-West Pacific species (Nematocarcinus tenuirostris and N. parvus), and 2 species with the Panama-Caribbean area (N. faxoni, N. ensifer). Moreover, N. ensifer is an amphiatlantic species. The others 36 species (76.6%) are endemic species of the provinces (including N. proximatus which may be considered as a species of the Kerguelen subregion of the Antarctic region) and 6 species (12.8%) are endemic species of the regions.</t>
  </si>
  <si>
    <t>Kaliningrad State Tech Univ, Kaliningrad 236000, Russia</t>
  </si>
  <si>
    <t>Kaliningrad State Technical University</t>
  </si>
  <si>
    <t>Burukovsky, RN (corresponding author), Kaliningrad State Tech Univ, Kaliningrad 236000, Russia.</t>
  </si>
  <si>
    <t>burukovsky@klgtu.ru</t>
  </si>
  <si>
    <t>MAIK NAUKA-INTERPERIODICA PUBL</t>
  </si>
  <si>
    <t>GSP-1, MARONOVSKII PER 26, MOSCOW, 119049, RUSSIA</t>
  </si>
  <si>
    <t>0044-5134</t>
  </si>
  <si>
    <t>ZOOL ZH</t>
  </si>
  <si>
    <t>Zool. Zhurnal</t>
  </si>
  <si>
    <t>743PY</t>
  </si>
  <si>
    <t>WOS:000289032300004</t>
  </si>
  <si>
    <t>Brockbank, KGM; Campbell, LH; Greene, ED; Brockbank, MCG; Duman, JG</t>
  </si>
  <si>
    <t>Brockbank, Kelvin G. M.; Campbell, Lia H.; Greene, Elizabeth D.; Brockbank, Matthew C. G.; Duman, John G.</t>
  </si>
  <si>
    <t>Lessons from nature for preservation of mammalian cells, tissues, and organs</t>
  </si>
  <si>
    <t>IN VITRO CELLULAR &amp; DEVELOPMENTAL BIOLOGY-ANIMAL</t>
  </si>
  <si>
    <t>Cryopreservation; Cryobiology; Antifreeze proteins; Trehalose; Polyols; Nucleation; Dehydration</t>
  </si>
  <si>
    <t>BEETLE DENDROIDES-CANADENSIS; ANTIFREEZE PROTEIN-ACTIVITY; ANTARCTIC FISHES; FREEZING RESISTANCE; CRYOPRESERVATION; ICE; TREHALOSE; LARVAE; GLYCOPROTEINS; INHIBITION</t>
  </si>
  <si>
    <t>The study of mechanisms by which animals tolerate environmental extremes may provide strategies for preservation of living mammalian materials. Animals employ a variety of compounds to enhance their survival, including production of disaccharides, glycerol, and antifreeze compounds. The cryoprotectant glycerol was discovered before its role in amphibian survival. In the last decade, trehalose has made an impact on freezing and drying methods for mammalian cells. Investigation of disaccharides was stimulated by the variety of organisms that tolerate dehydration stress by accumulation of disaccharides. Several methods have been developed for the loading of trehalose into mammalian cells, including inducing membrane lipid-phase transitions, genetically engineered pores, endocytosis, and prolonged cell culture with trehalose. In contrast, the many antifreeze proteins (AFPs) identified in a variety of organisms have had little impact. The first AFPs to be discovered were found in cold water fish; their AFPs have not found a medical application. Insect AFPs function by similar mechanisms, but they are more active and recombinant AFPs may offer the best opportunity for success in medical applications. For example, in contrast to fish AFPs, transgenic organisms expressing insect AFPs exhibit reduced ice nucleation. However, we must remember that nature's survival strategies may include production of AFPs, antifreeze glycolipids, ice nucleators, polyols, disaccharides, depletion of ice nucleators, and partial desiccation in synchrony with the onset of winter. We anticipate that it is only by combining several natural low temperature survival strategies that the full potential benefits for mammalian cell survival and medical applications can be achieved.</t>
  </si>
  <si>
    <t>[Brockbank, Kelvin G. M.; Campbell, Lia H.; Greene, Elizabeth D.; Brockbank, Matthew C. G.] Cell &amp; Tissue Syst Inc, N Charleston, SC 29401 USA; [Brockbank, Kelvin G. M.] Georgia Inst Technol, Inst Bioengn &amp; Biosci, Atlanta, GA 30332 USA; [Duman, John G.] Univ Notre Dame, Dept Biol Sci, Notre Dame, IN 46556 USA</t>
  </si>
  <si>
    <t>University System of Georgia; Georgia Institute of Technology; University of Notre Dame</t>
  </si>
  <si>
    <t>Brockbank, KGM (corresponding author), Cell &amp; Tissue Syst Inc, 2231 Tech Pkwy,Suite A, N Charleston, SC 29401 USA.</t>
  </si>
  <si>
    <t>kbrockbank@celltissuesystems.com</t>
  </si>
  <si>
    <t>Brockbank, Kelvin/GWV-4265-2022</t>
  </si>
  <si>
    <t>Campbell, Lia/0000-0002-6501-9875</t>
  </si>
  <si>
    <t>NSF [IOB06-18436]; National Institute of Diabetes and Digestive and Kidney Diseases [R44DK081233]</t>
  </si>
  <si>
    <t>NSF(National Science Foundation (NSF)); National Institute of Diabetes and Digestive and Kidney Diseases(United States Department of Health &amp; Human ServicesNational Institutes of Health (NIH) - USANIH National Institute of Diabetes &amp; Digestive &amp; Kidney Diseases (NIDDK))</t>
  </si>
  <si>
    <t>This work was supported by NSF IOB06-18436 to JGD and R44DK081233 from the National Institute of Diabetes and Digestive and Kidney Diseases to KGMB. The content is solely the responsibility of the authors and does not necessarily represent the official views of the National Institute of Diabetes and Digestive and Kidney Diseases or the National Institutes of Health.</t>
  </si>
  <si>
    <t>1071-2690</t>
  </si>
  <si>
    <t>1543-706X</t>
  </si>
  <si>
    <t>IN VITRO CELL DEV-AN</t>
  </si>
  <si>
    <t>In Vitro Cell. Dev. Biol.-Anim.</t>
  </si>
  <si>
    <t>10.1007/s11626-010-9383-2</t>
  </si>
  <si>
    <t>Cell Biology; Developmental Biology</t>
  </si>
  <si>
    <t>740OK</t>
  </si>
  <si>
    <t>WOS:000288804100006</t>
  </si>
  <si>
    <t>Denny, M; Dorgan, K; Evangelista, D; Hettinger, A; Leichter, J; Ruder, W; Tuval, I</t>
  </si>
  <si>
    <t>Denny, Mark; Dorgan, Kelly; Evangelista, Dennis; Hettinger, Annaliese; Leichter, James; Ruder, Warren; Tuval, Idan</t>
  </si>
  <si>
    <t>Anchor Ice and Antarctic Benthis Ecology: The Role of Interspecific Variation in Ice Nucleation</t>
  </si>
  <si>
    <t>Annual Meeting of the Society-for-Integrative-and-Comparative-Biology</t>
  </si>
  <si>
    <t>JAN 03-07, 2011</t>
  </si>
  <si>
    <t>Salt Lake City, UT</t>
  </si>
  <si>
    <t>Stanford Univ, Stanford, CA 94305 USA; Univ Calif Berkeley, Berkeley, CA 94720 USA; Univ Calif Davis, Davis, CA 95616 USA; Scripps Inst Oceanog, La Jolla, CA USA; Boston Univ, Boston, MA 02215 USA; Mediterranean Inst Adv Studies, Esporles, Spain</t>
  </si>
  <si>
    <t>Stanford University; University of California System; University of California Berkeley; University of California System; University of California Davis; University of California System; University of California San Diego; Scripps Institution of Oceanography; Boston University; Consejo Superior de Investigaciones Cientificas (CSIC); ATTITUS Educacao</t>
  </si>
  <si>
    <t>mwdenny@stanford.edu</t>
  </si>
  <si>
    <t>Tuval, Idan/G-9732-2011; Evangelista, Dennis J/N-4434-2013</t>
  </si>
  <si>
    <t>Denny, Mark/0000-0003-0277-9022</t>
  </si>
  <si>
    <t>E33</t>
  </si>
  <si>
    <t>733QP</t>
  </si>
  <si>
    <t>WOS:000288278100576</t>
  </si>
  <si>
    <t>Devor, DP; Grim, JM; Crockett, EL</t>
  </si>
  <si>
    <t>Devor, D. P.; Grim, J. M.; Crockett, E. L.</t>
  </si>
  <si>
    <t>Elevated temperatures induce lipid peroxidation in cardiac muscle but not other tissues from Antarctic notothenioid fishes</t>
  </si>
  <si>
    <t>[Devor, D. P.; Grim, J. M.; Crockett, E. L.] Ohio Univ, Athens, OH 45701 USA</t>
  </si>
  <si>
    <t>University System of Ohio; Ohio University</t>
  </si>
  <si>
    <t>dd163606@ohio.edu</t>
  </si>
  <si>
    <t>E183</t>
  </si>
  <si>
    <t>WOS:000288278100102</t>
  </si>
  <si>
    <t>Mueller, IA; O'Brien, KM</t>
  </si>
  <si>
    <t>Mueller, I. A.; O'Brien, K. M.</t>
  </si>
  <si>
    <t>Oxidative stress occurs in cardiac muscle of some Antarctic icefishes in response to an increase in temperature</t>
  </si>
  <si>
    <t>[Mueller, I. A.; O'Brien, K. M.] Univ Alaska, Fairbanks, AK 99701 USA</t>
  </si>
  <si>
    <t>University of Alaska System; University of Alaska Fairbanks</t>
  </si>
  <si>
    <t>iamueller@alaska.edu</t>
  </si>
  <si>
    <t>E96</t>
  </si>
  <si>
    <t>WOS:000288278101076</t>
  </si>
  <si>
    <t>Lomax, J; Hilgers, A; Radtke, U</t>
  </si>
  <si>
    <t>Lomax, J.; Hilgers, A.; Radtke, U.</t>
  </si>
  <si>
    <t>Palaeoenvironmental change recorded in the palaeodunefields of the western Murray Basin, South Australia - New data from single grain OSL-dating</t>
  </si>
  <si>
    <t>Single grain luminescence dating; SE-Australia; Murray Basin; Quaternary; Palaeodunes; Semi-arid environments</t>
  </si>
  <si>
    <t>LINEAR DUNE ACCUMULATION; SOUTHEASTERN AUSTRALIA; EASTERN AUSTRALIA; LATE PLEISTOCENE; THERMO-LUMINESCENCE; CLIMATE VARIABILITY; AEOLIAN LANDFORMS; HUMAN OCCUPATION; LAKE BUNGUNNIA; SEA SEDIMENTS</t>
  </si>
  <si>
    <t>This study is concerned with the reconstruction of the palaeoenvironmental history of southeastern Australia for the last similar to 300 ka by establishing a luminescence chronology of dune sand deposition in the western Murray Basin (South Australia). In the study area, vast fields of palaeodunes, stabilised by vegetation, provide evidence of past environmental change. In total 98 samples were collected from dune sand layers at 13 different dune sections. The time of their deposition was determined using optically stimulated luminescence dating of single quartz grains, accounting for the impact of post-depositional mixing by the use of a finite mixture model. The oldest depositional phase demonstrates that dune sand layers of great antiquity are preserved in the western Murray Basin, ranging up to at least 380 ka. Phases of substantial dune sand deposition were identified for the periods 18-38 ka and 63-72 ka. Older depositional phases also exist, but are poorly resolved due to relatively large errors of the luminescence ages. Aeolian deposition during the last termination and the Holocene is relatively limited, with a slight clustering of ages at the time of the Antarctic Cold Reversal and from 5-8 ka. Two modern ages give evidence of very recent dune sand deposition. Comparison with other palaeoclimate records from the region suggests that phases with high aeolian sedimentation coincide with more arid conditions and breaks in the dune record with more humid phases. Thus, although dune records are often discontinuous and their interpretation in palaeoclimatic terms is not always straightforward, the palaeodunes of the western Murray Basin show a good preservation of phases of aeolian activity and provide useful information for palaeoenvironmental reconstruction. (C) 2010 Elsevier Ltd. All rights reserved.</t>
  </si>
  <si>
    <t>[Lomax, J.] Univ Nat Resources &amp; Life Sci, Inst Appl Geol, A-1190 Vienna, Austria; [Lomax, J.; Hilgers, A.; Radtke, U.] Univ Cologne, Inst Geog, D-50923 Cologne, Germany; [Radtke, U.] Univ Duisburg Essen, D-45141 Essen, Germany</t>
  </si>
  <si>
    <t>BOKU University; University of Cologne; University of Duisburg Essen</t>
  </si>
  <si>
    <t>Lomax, J (corresponding author), Univ Nat Resources &amp; Life Sci, Inst Appl Geol, Peter Jordan Str 70, A-1190 Vienna, Austria.</t>
  </si>
  <si>
    <t>johanna.lomax@boku.ac.at</t>
  </si>
  <si>
    <t>German Research Council (DFG) [Ra383/14]</t>
  </si>
  <si>
    <t>German Research Council (DFG)(German Research Foundation (DFG))</t>
  </si>
  <si>
    <t>Without the scientific and organisational assistance provided by Dr J.A. Bourne and Dr C.R. Twidale, School of Earth and Environmental Sciences, Geology and Geophysics, University of Adelaide, Australia, this study would not have been possible. Special thanks are given to the landowners and local councils who allowed and enabled sampling of the dunes. Furthermore, we would like to thank N. Kennedy and S. Potsch for sample preparation, U. Beha (University of Cologne) and H. Pfalz-Schwingenschlogel (BOKU Vienna) for help with illustrations. We thank Dr T. Cohen and an anonymous reviewer for constructive comments on this manuscript. This study was funded by the German Research Council (DFG Ra383/14).</t>
  </si>
  <si>
    <t>10.1016/j.quascirev.2010.12.015</t>
  </si>
  <si>
    <t>741CF</t>
  </si>
  <si>
    <t>WOS:000288840000015</t>
  </si>
  <si>
    <t>Holbrook, NJ; Goodwin, ID; McGregor, S; Molina, E; Power, SB</t>
  </si>
  <si>
    <t>Holbrook, Neil J.; Goodwin, Ian D.; McGregor, Shayne; Molina, Ernesto; Power, Scott B.</t>
  </si>
  <si>
    <t>ENSO to multi-decadal time scale changes in East Australian Current transports and Fort Denison sea level: Oceanic Rossby waves as the connecting mechanism</t>
  </si>
  <si>
    <t>East Australian Current; El Nino - Southern Oscillation; Inter-decadal Pacific Oscillation; sea level; Rossby waves; reduced-gravity model</t>
  </si>
  <si>
    <t>SURFACE TEMPERATURE VARIABILITY; SOUTHWEST PACIFIC-OCEAN; EQUATORIAL WIND STRESSES; CONVERGENCE ZONE; MODEL; PREDICTABILITY; CIRCULATION; CLIMATE; OSCILLATION; IMPACT</t>
  </si>
  <si>
    <t>The connection between East Australian Current (EAC) transport variability and Australia's east coast sea level has received little treatment in the literature. This is due in part to the complex interacting physical processes operating in the coastal zone combined with the sparsity of observations available to improve our understanding of these possible connections. This study demonstrates a statistically significant (at the &gt; 90% level) relationship between interannual to decadal time scale variations in observed estimates of the EAC transport changes and east coast sea level measured at the high-quality, long record Fort Denison tide-gauge in Sydney Harbour, Australia (33 degrees 51'18 '' S, 151 degrees 13'32 '' E). We further demonstrate, using a linear reduced-gravity ocean model, that ENSO to decadal time-scale variations and the ocean-adjusted multi-decadal trend (approx. 1 cm/decade) in observed sea level at Fort Denison are strongly connected to modulations of EAC transports by incoming westward propagating oceanic Rossby waves. We show that EAC transport and Fort Denison sea level vary in a manner expected from both Tasman Sea generated Rossby waves, which account for the interannual and multi-annual variability, and remotely forced (from east of New Zealand) Rossby wave connections through the mid-latitudes, accounting for the ocean-adjusted multi-decadal trend observed at the New South Wales coast - with the regional-Tasman Sea forcing explaining the greatest overall proportion of EAC transport and sea-level variances. (C) 2010 Elsevier Ltd. All rights reserved.</t>
  </si>
  <si>
    <t>[Holbrook, Neil J.] Univ Tasmania, Sch Geog &amp; Environm Studies, Hobart, Tas, Australia; [Goodwin, Ian D.] Macquarie Univ, Dept Geog &amp; Environm, Sydney, NSW 2109, Australia; [McGregor, Shayne] Univ Hawaii, Sch Ocean &amp; Earth Sci &amp; Technol, Int Pacific Res Ctr, Honolulu, HI 96822 USA; [Molina, Ernesto] Univ Tasmania, Antarctic Climate &amp; Ecosyst CRC, Hobart, Tas, Australia; [Power, Scott B.] Ctr Australian Weather &amp; Climate Res, Bur Meteorol, Melbourne, Vic, Australia</t>
  </si>
  <si>
    <t>University of Tasmania; Macquarie University; University of Hawaii System; University of Tasmania; Commonwealth Scientific &amp; Industrial Research Organisation (CSIRO); Bureau of Meteorology - Australia</t>
  </si>
  <si>
    <t>Holbrook, NJ (corresponding author), Univ Tasmania, Sch Geog &amp; Environm Studies, Hobart, Tas, Australia.</t>
  </si>
  <si>
    <t>Neil.Holbrook@utas.edu.au</t>
  </si>
  <si>
    <t>McGregor, Shayne/A-9059-2013; Power, Scott Brendan/AAF-3370-2019; Holbrook, Neil/M-7544-2013</t>
  </si>
  <si>
    <t>Power, Scott Brendan/0000-0002-9596-4368; Holbrook, Neil/0000-0002-3523-6254; Goodwin, Ian/0000-0001-8682-6409; McGregor, Shayne/0000-0003-3222-7042</t>
  </si>
  <si>
    <t>MAR 1</t>
  </si>
  <si>
    <t>10.1016/j.dsr2.2010.06.007</t>
  </si>
  <si>
    <t>739OY</t>
  </si>
  <si>
    <t>WOS:000288728700002</t>
  </si>
  <si>
    <t>Boechi, L; Martì, MA; Vergara, A; Sica, F; Mazzarella, L; Estrin, DA; Merlino, A</t>
  </si>
  <si>
    <t>Boechi, Leonardo; Marti, Marcelo A.; Vergara, Alessandro; Sica, Filomena; Mazzarella, Lelio; Estrin, Dario A.; Merlino, Antonello</t>
  </si>
  <si>
    <t>Protonation of Histidine 55 Affects the Oxygen Access to Heme in the Alpha Chain of the Hemoglobin from the Antarctic Fish Trematomus bernacchii</t>
  </si>
  <si>
    <t>16th International Conference on Dioxygen Binding and Sensing Proteins</t>
  </si>
  <si>
    <t>AUG 22-26, 2010</t>
  </si>
  <si>
    <t>Univ Antwerp, Antwerp, BELGIUM</t>
  </si>
  <si>
    <t>Univ Antwerp</t>
  </si>
  <si>
    <t>Trematomus bernacchii; hemoglobin; implicit ligand sampling; molecular dynamics simulations; pH; oxygen binding</t>
  </si>
  <si>
    <t>MOLECULAR-DYNAMICS; CRYSTAL-STRUCTURE; MYCOBACTERIUM-TUBERCULOSIS; STRUCTURAL DETERMINANTS; PAGOTHENIA-BERNACCHII; TRUNCATED HEMOGLOBIN; XENON COMPLEX; NITRIC-OXIDE; PH VALUES; MYOGLOBIN</t>
  </si>
  <si>
    <t>The Root effect describes the drastic drop of oxygen affinity and loss of cooperativity at acidic pH expressed in the hemoglobins (Hb) of certain fish. The comparison between the deoxy structures of the Root effect Hb from the Antarctic fish Trematomus bernacchii (HbTb) at different pHs (pH = 6.2 and pH = 8.4) shows that the most significant differences are localized at the CD alpha region, where a salt bridge between Asp48 and His55 breaks during the low-to-high pH transition. In order to shed light on the relationship between pH, CD alpha loop structure and dynamics, and oxygen access to the active site in the alpha chain of HbTb, different computer simulation techniques were performed. Our results highlight the importance of the protonation of His55 in regulating oxygen access, underscoring its pivotal role in the structural and functional properties of HbTb. These data provide further support to the hypothesis that this residue might contribute to the release of Root protons in HbTb and underline the fact that an efficient transport of molecular oxygen in Hbs relies on a subtle balance of tertiary structure and protein conformational flexibility. (C) 2011 IUBMB IUBMB Life, 63(3): 175-182, 2011</t>
  </si>
  <si>
    <t>[Vergara, Alessandro; Sica, Filomena; Mazzarella, Lelio; Merlino, Antonello] Univ Naples Federico II, Dipartimento Chim Paolo Corradini, I-80126 Naples, Italy; [Vergara, Alessandro; Sica, Filomena; Mazzarella, Lelio; Merlino, Antonello] CNR, Ist Biostrutture &amp; Bioimmagini, I-80134 Naples, Italy; [Boechi, Leonardo; Marti, Marcelo A.; Estrin, Dario A.] Univ Buenos Aires, Dept Quim Biol &amp; Quim Inorgan, INQUIMAE CONICET, Buenos Aires, DF, Argentina; [Boechi, Leonardo; Marti, Marcelo A.; Estrin, Dario A.] Univ Buenos Aires, Dept Quim Fis &amp; Analit, INQUIMAE CONICET, Buenos Aires, DF, Argentina</t>
  </si>
  <si>
    <t>University of Naples Federico II; Consiglio Nazionale delle Ricerche (CNR); Istituto di Biostrutture e Bioimmagini (IBB-CNR); Consejo Nacional de Investigaciones Cientificas y Tecnicas (CONICET); University of Buenos Aires; Consejo Nacional de Investigaciones Cientificas y Tecnicas (CONICET); University of Buenos Aires</t>
  </si>
  <si>
    <t>Merlino, A (corresponding author), Univ Naples Federico II, Dipartimento Chim Paolo Corradini, Via Cintia, I-80126 Naples, Italy.</t>
  </si>
  <si>
    <t>antonello.merlino@unina.it</t>
  </si>
  <si>
    <t>Merlino, Antonello/AAI-2114-2020; Estrin, Dario/AAY-7549-2020; Vergara, Alessandro/C-4435-2013</t>
  </si>
  <si>
    <t>Merlino, Antonello/0000-0002-1045-7720; Estrin, Dario/0000-0002-5006-7225; Vergara, Alessandro/0000-0003-4135-0245</t>
  </si>
  <si>
    <t>10.1002/iub.436</t>
  </si>
  <si>
    <t>741JV</t>
  </si>
  <si>
    <t>WOS:000288860900007</t>
  </si>
  <si>
    <t>Boron, I; Russo, R; Boechi, L; Cheng, CHC; di Prisco, G; Estrin, DA; Verde, C; Nadra, AD</t>
  </si>
  <si>
    <t>Boron, Ignacio; Russo, Roberta; Boechi, Leonardo; Cheng, C. -H. Christina; di Prisco, Guido; Estrin, Dario A.; Verde, Cinzia; Nadra, Alejandro D.</t>
  </si>
  <si>
    <t>Structure and Dynamics of Antarctic Fish Neuroglobin Assessed by Computer Simulations</t>
  </si>
  <si>
    <t>neuroglobin; evolution; hemeproteins; protein function; protein structure; structural biology</t>
  </si>
  <si>
    <t>LIGAND-BINDING; NOTOTHENIOID FISHES; MOLECULAR-DYNAMICS; DISULFIDE BOND; NITRIC-OXIDE; IN-VIVO; HEMOGLOBIN; REVEALS; GLOBIN; ICEFISHES</t>
  </si>
  <si>
    <t>Neuroglobin (Ngb) is a heme protein, highly conserved along evolution, predominantly found in the nervous system. It is upregulated by hypoxia and ischemia and may have a neuroprotective role under hypoxic stress. Although many other roles have been proposed, the physiological function is still unclear. Antarctic icefishes lack hemoglobin and some species also lack myoglobin, but all have Ngb and thus may help the elucidation of Ngb function. We present the first theoretically derived structure of fish Ngb and describe its behavior using molecular dynamics simulations. Specifically, we sequenced and analyzed Ngbs from a colorless-blooded Antarctic icefish species Chaenocephalus aceratus and a related red-blooded species (Dissostichus mawsoni). Both fish Ngbs are 6-coordinated but have some peculiarities that differentiate them from mammalian counterparts: they have extensions in the N and C termini that can interact with the EF loop, and a gap in the alignment that changes the CD-region structure/dynamics that has been found to play a key role in human neuroglobin. Our results suggest that a single mutation between both fish Ngbs is responsible for significant difference in the behavior of the proteins. The functional role of these characteristics is discussed. (C) 2011 IUBMB IUBMB Life, 63(3): 206-213, 2011</t>
  </si>
  <si>
    <t>[Boron, Ignacio; Nadra, Alejandro D.] Univ Buenos Aires, Fac Ciencias Exactas &amp; Nat, Dept Quim Biol, Buenos Aires, DF, Argentina; [Boron, Ignacio; Boechi, Leonardo; Estrin, Dario A.] Univ Buenos Aires, Fac Ciencias Exactas &amp; Nat, Dept Quim Inorgan Anal &amp; Quim Fis INQUIMAE CONICE, Buenos Aires, DF, Argentina; [Russo, Roberta; di Prisco, Guido; Verde, Cinzia] CNR, Inst Prot Biochem, I-80131 Naples, Italy; [Cheng, C. -H. Christina] Univ Illinois, Dept Anim Biol, Urbana, IL 61801 USA; [Nadra, Alejandro D.] Univ Buenos Aires, Fac Ciencias Exactas &amp; Nat, Dept Fisiol Biol Mol &amp; Celular, Buenos Aires, DF, Argentina</t>
  </si>
  <si>
    <t>University of Buenos Aires; University of Buenos Aires; Consiglio Nazionale delle Ricerche (CNR); Istituto di Biochimica delle Proteine (IBP-CNR); University of Illinois System; University of Illinois Urbana-Champaign; University of Buenos Aires</t>
  </si>
  <si>
    <t>Nadra, AD (corresponding author), Univ Buenos Aires, Fac Ciencias Exactas &amp; Nat, Dept Quim Biol, Buenos Aires, DF, Argentina.</t>
  </si>
  <si>
    <t>anadra@qi.fcen.uba.ar</t>
  </si>
  <si>
    <t>Estrin, Dario/AAY-7549-2020; Boron, Ignacio/AAE-1965-2021; Nadra, Alejandro/A-5668-2009</t>
  </si>
  <si>
    <t>Boron, Ignacio/0000-0003-3751-6724; Estrin, Dario/0000-0002-5006-7225; Nadra, Alejandro/0000-0002-7860-3245; VERDE, Cinzia/0000-0001-6185-282X</t>
  </si>
  <si>
    <t>10.1002/iub.444</t>
  </si>
  <si>
    <t>WOS:000288860900011</t>
  </si>
  <si>
    <t>Losiak, A; Velbel, MA</t>
  </si>
  <si>
    <t>Losiak, Anna; Velbel, Michael A.</t>
  </si>
  <si>
    <t>Evaporite formation during weathering of Antarctic meteorites--A weathering census analysis based on the ANSMET database</t>
  </si>
  <si>
    <t>STONE METEORITES; PRODUCTS; TEMPERATURES; POROSITIES; CHONDRITES; CARBONATES; MECHANISMS; SULFATE; ORIGIN; OXYGEN</t>
  </si>
  <si>
    <t>Weathering of meteorites at the scale of the entire Antarctic Search for Meteorites program population is studied by analyzing the recent version of the online Antarctic meteorite classification database that includes information about 15,263 meteorites. This paper updates, supplements, and expands on the last Antarctic meteorite weathering census by Velbel (1988, Meteoritics 23:151-159). On average 5% of all Antarctic meteorites are indicated as evaporite bearing in the Antarctic Meteorite Database. Evaporite formation depends on compositional group. Evaporites are much more common on C chondrites than on ordinary chondrites, supporting previous findings. Ordinary chondrites of petrologic type 3 more often have evaporites on their surface than meteorites of other petrologic types. Contrary to previous findings, there is no apparent relation between evaporite formation and meteorite rustiness. Some meteorite-bearing fields influence the frequency of evaporite-mineral formation on meteorites. The influence of location is apparently related to differences in environmental conditions, most probably microclimate or/and hydrologic conditions. There is no relation between abundance of evaporite-bearing meteorites and distance from the sea. Evaporite formation varies with year of collection; however, it was not possible to distinguish whether this is related to annual changes in environment or an artifact of sample categorization or curation.</t>
  </si>
  <si>
    <t>[Losiak, Anna] Univ Vienna, Ctr Earth Sci, Dept Lithospher Res, Althanstr 14, A-1090 Vienna, Austria; [Velbel, Michael A.] Michigan State Univ, Dept Geol Sci, E Lansing, MI 48824 USA</t>
  </si>
  <si>
    <t>University of Vienna; Michigan State University</t>
  </si>
  <si>
    <t>Losiak, A (corresponding author), Univ Vienna, Ctr Earth Sci, Dept Lithospher Res, Althanstr 14, A-1090 Vienna, Austria.</t>
  </si>
  <si>
    <t>anna.losiak@univie.ac.at</t>
  </si>
  <si>
    <t>Losiak, Anna/0000-0002-3255-8688</t>
  </si>
  <si>
    <t>10.1111/j.1945-5100.2010.01166.x</t>
  </si>
  <si>
    <t>736NH</t>
  </si>
  <si>
    <t>WOS:000288500900006</t>
  </si>
  <si>
    <t>Clark, JM; Hawke, DJ</t>
  </si>
  <si>
    <t>Clark, J. M.; Hawke, D. J.</t>
  </si>
  <si>
    <t>The sub-Antarctic mite Ayersacarus: a new species from mainland New Zealand, and its isotopic ecology (Acari: Mesostigmata: Leptolaelapidae)</t>
  </si>
  <si>
    <t>NEW ZEALAND JOURNAL OF ZOOLOGY</t>
  </si>
  <si>
    <t>Acari; Leptolaelapidae; Ayersacarus; taxonomy; stable isotopes; Westland petrel; nidicole</t>
  </si>
  <si>
    <t>STABLE-ISOTOPE; SOIL; COLONY</t>
  </si>
  <si>
    <t>Ayersacarus woodi sp. n. (Acari: Leptolaelapidae) is described from Westland petrel (Procellaria westlandica Falla) burrows at Punakaiki, South Island, New Zealand. The genus has previously been reported only from sub-Antarctic islands. The new species is most like A. plumapilus Hunter (type species) but differs from it in females in the size and shape of the epigynal shield; much larger metapodal shields; and a wider than long anal shield with lateral pores. The ecology of the new species was explored using stable isotope (C-13/C-12; N-15/N-14) analysis of females alongside contextual data from the site. From the C-13/C-12 results, the new species is dependent on marine C from petrels rather than terrestrial photosynthetic C. In terms of trophic level, the isotopic data are consistent with consumption of guano decomposers or their eggs.</t>
  </si>
  <si>
    <t>[Clark, J. M.] Canterbury Museum, Christchurch, New Zealand; [Clark, J. M.; Hawke, D. J.] Christchurch Polytech Inst Technol, Sch Appl Sci &amp; Allied Hlth, Christchurch, New Zealand</t>
  </si>
  <si>
    <t>Christchurch Polytechnic Institute of Technology</t>
  </si>
  <si>
    <t>Clark, JM (corresponding author), Canterbury Museum, Christchurch, New Zealand.</t>
  </si>
  <si>
    <t>jclark@canterburymuseum.com</t>
  </si>
  <si>
    <t>4 PARK SQUARE, MILTON PARK, ABINGDON OX14 4RN, OXON, ENGLAND</t>
  </si>
  <si>
    <t>0301-4223</t>
  </si>
  <si>
    <t>1175-8821</t>
  </si>
  <si>
    <t>NEW ZEAL J ZOOL</t>
  </si>
  <si>
    <t>N. Z. J. Zool.</t>
  </si>
  <si>
    <t>10.1080/03014223.2010.525746</t>
  </si>
  <si>
    <t>738VG</t>
  </si>
  <si>
    <t>WOS:000288670100004</t>
  </si>
  <si>
    <t>Hallet, B; Sletten, R; Whilden, K</t>
  </si>
  <si>
    <t>Hallet, Bernard; Sletten, Ron; Whilden, Kevin</t>
  </si>
  <si>
    <t>Micro-relief development in polygonal patterned ground in the Dry Valleys of Antarctica</t>
  </si>
  <si>
    <t>Periglacial features; Patterned ground; Permafrost; Mars; Europa; Planetary</t>
  </si>
  <si>
    <t>WESTERN ARCTIC COAST; ICE-WEDGE CRACKING; DRAINED LAKE SITE; GARRY-ISLAND; CANADA; PERMAFROST; NETWORKS; GROWTH; SOUND</t>
  </si>
  <si>
    <t>Polygonal patterned ground in polar regions of both Earth and Mars has received considerable attention. In comparison with the size, shape, and arrangement of the polygons, the diverse micro-relief and topography (termed here simply relief) of polygonal patterned ground have been understudied. And yet, the relief reflects important conditions and processes occurring directly below the ground surface, and it can be observed readily in the field and through remote sensing. Herein, we describe the relief characteristic of the simplest and relatively young form of patterned ground in the Dry Valleys of Antarctic. We also develop a numerical model to examine the generation of relief due to subsurface material being shouldered aside contraction cracks by incremental sand wedges growth, and to down-slope creep of loose granular material on the surface. We model the longterm subsurface deformation of ice-cemented permafrost as a non-linear viscous material. Our modeling is guided and validated using decades of field measurements of surface displacements of the permafrost and relief. This work has implications for assessing the activity of surfaces on Earth and Mars, and much larger scale potential manifestations of incremental wedging in icy material, namely the distinct paired ridges on Europa. (C) 2011 University of Washington. Published by Elsevier Inc. All rights reserved.</t>
  </si>
  <si>
    <t>[Hallet, Bernard] Univ Washington, Quaternary Res Ctr, Seattle, WA 98195 USA; Univ Washington, Dept Earth &amp; Space Sci, Seattle, WA 98195 USA</t>
  </si>
  <si>
    <t>University of Washington; University of Washington Seattle; University of Washington; University of Washington Seattle</t>
  </si>
  <si>
    <t>Hallet, B (corresponding author), Univ Washington, Quaternary Res Ctr, Box 351310, Seattle, WA 98195 USA.</t>
  </si>
  <si>
    <t>hallet@u.washington.edu</t>
  </si>
  <si>
    <t>10.1016/j.yqres.2010.12.009</t>
  </si>
  <si>
    <t>738CU</t>
  </si>
  <si>
    <t>WOS:000288617700005</t>
  </si>
  <si>
    <t>Pütz, K; Hiriart-Bertrand, L; Simeone, A; Riquelme, V; Reyes-Arriagada, R; Lüthi, B</t>
  </si>
  <si>
    <t>Puetz, Klemens; Hiriart-Bertrand, Luciano; Simeone, Alejandro; Riquelme, Victoria; Reyes-Arriagada, Ronnie; Luethi, Benno</t>
  </si>
  <si>
    <t>Entanglement and Drowning of a Magellanic Penguin (Spheniscus magellanicus) in a Gill Net Recorded by a Time-depth Recorder in South-central Chile</t>
  </si>
  <si>
    <t>WATERBIRDS</t>
  </si>
  <si>
    <t>artisanal fishery; data-logger; entanglement; gill net; penguin mortality</t>
  </si>
  <si>
    <t>GOLFO SAN-JORGE; SEABIRD MORTALITY; INCIDENTAL CAPTURES; FACTORY TRAWLERS; FISHERIES; BYCATCH; ARGENTINA; PATAGONIA; LONGLINE; MITIGATION</t>
  </si>
  <si>
    <t>Various mitigation measures have been implemented to reduce incidental seabird mortality in longline and trawl fisheries but little attention has been given to artisanal fishing. In the 2008/09 breeding season, during a study of foraging of Humboldt, Spheniscus humboldti, and Magellanic Penguins, S. magellanicus, breeding on Punihuil islets, southern Chile, a Magellanic Penguin equipped with a time-depth recorder became entangled and subsequently drowned in a gill net set for Corvina Drum (Cilia gilberti). The device was returned by fishermen and the data appear to be the first documented case of such a drowning in a marine, air-breathing vertebrate. According to the data, while diving to a depth of more than 50 in, the bird became entangled and drowned, remaining below 60 m for nearly 21 hours until the net was hauled. Although only a single incident is reported, there are indications that incidental mortality of penguins, other seabirds and marine mammals is more common in artisanal fisheries than previously anticipated. Received 20 April 2010, accepted 5 July 2010.</t>
  </si>
  <si>
    <t>[Puetz, Klemens] Antarctic Res Trust, D-27432 Bremervorde, Germany; [Hiriart-Bertrand, Luciano] Pontificia Univ Catolica Chile, Fac Ciencias Biol, CASEB, Dept Ecol, Santiago, Chile; [Hiriart-Bertrand, Luciano; Simeone, Alejandro] Univ Andres Bello, Dept Ecol &amp; Biodiversidad, Santiago, Chile; [Riquelme, Victoria; Reyes-Arriagada, Ronnie] Univ Austral Chile, Inst Zool, Fac Ciencias, Valdivia, Chile; [Reyes-Arriagada, Ronnie] Univ Austral Chile, Inst Ecol &amp; Evoluc, Fac Ciencias, Valdivia, Chile; [Luethi, Benno] Antarctic Res Trust, CH-8044 Zurich, Switzerland</t>
  </si>
  <si>
    <t>Pontificia Universidad Catolica de Chile; Universidad Andres Bello; Universidad Austral de Chile; Universidad Austral de Chile</t>
  </si>
  <si>
    <t>Pütz, K (corresponding author), Antarctic Res Trust, Am Oste Hamme Kanal 10, D-27432 Bremervorde, Germany.</t>
  </si>
  <si>
    <t>puetz@antarctic-research.de</t>
  </si>
  <si>
    <t>Puetz, Klemens/0000-0003-1375-2669</t>
  </si>
  <si>
    <t>Antarctic Research Trust</t>
  </si>
  <si>
    <t>Financial support derived from the Antarctic Research Trust. We are particularly grateful to Ecoturismo Punihuil for organizing the trips to the islands and help with logistics, including lodging. Sphenisco e.V. helped making contacts at Punihuil. CONAF (Chilean Forest Service), through Hernan Rivera, provided permits to work at Punihuil Islets and the Subsecretaria de Pesca (Undersecretariat of Chilean Fisheries) provided permits for handling penguins. The cooperation of the project FONDAP-FONDECYT 1501-0001 is appreciated. Thanks to L. Baxter for proofreading.</t>
  </si>
  <si>
    <t>WATERBIRD SOC</t>
  </si>
  <si>
    <t>NATL MUSEUM NATURAL HISTORY SMITHSONIAN INST, WASHINGTON, DC 20560 USA</t>
  </si>
  <si>
    <t>1524-4695</t>
  </si>
  <si>
    <t>1938-5390</t>
  </si>
  <si>
    <t>Waterbirds</t>
  </si>
  <si>
    <t>10.1675/063.034.0117</t>
  </si>
  <si>
    <t>736WD</t>
  </si>
  <si>
    <t>WOS:000288524800017</t>
  </si>
  <si>
    <t>Brooks, CM; Andrews, AH; Ashford, JR; Ramanna, N; Jones, CD; Lundstrom, CC; Cailliet, GM</t>
  </si>
  <si>
    <t>Brooks, Cassandra M.; Andrews, Allen H.; Ashford, Julian R.; Ramanna, Nakul; Jones, Christopher D.; Lundstrom, Craig C.; Cailliet, Gregor M.</t>
  </si>
  <si>
    <t>Age estimation and lead-radium dating of Antarctic toothfish (Dissostichus mawsoni) in the Ross Sea</t>
  </si>
  <si>
    <t>Antarctic toothfish; Dissostichus mawsoni; Nototheniidae; Ross Sea; Age validation; Lead-radium dating; Radiometric dating</t>
  </si>
  <si>
    <t>ROUGHY HOPLOSTETHUS-ATLANTICUS; ORANGE ROUGHY; GROWTH; VALIDATION; LONGEVITY; FISHERIES; ROCKFISH; ELEGINOIDES; OTOLITHS</t>
  </si>
  <si>
    <t>Antarctic toothfish (Dissostichus mawsoni) are the target of an important commercial fishery in the Southern Ocean, yet age data used for management have not been comprehensively tested for accuracy. In this study, Antarctic toothfish were aged using counts of otolith growth zones based on criteria established for Patagonian toothfish, D. eleginoides, a closely related species. To validate these ages, the radioactive disequilibrium of lead-210 and radium-226 in otolith cores was measured and used as an independent chronometer to accurately determine age across the range of fish caught in large numbers by the fishery. Growth-zone counts indicated Antarctic toothfish live to at least 39 years of age, and were in close agreement with the chronometer, validating the age estimation criteria and the accuracy of age estimates. Von Bertalanffy growth function parameters indicated Antarctic toothfish were relatively slow-growing (k = 0.111), especially in relation to their maximum size (L-infinity = 158.9 cm).</t>
  </si>
  <si>
    <t>[Brooks, Cassandra M.; Andrews, Allen H.; Cailliet, Gregor M.] Moss Landing Marine Labs, Moss Landing, CA 95039 USA; [Ashford, Julian R.; Ramanna, Nakul] Old Dominion Univ, Ctr Quantitat Fisheries Ecol, Norfolk, VA 23508 USA; [Jones, Christopher D.] NOAA, Antarctic Ecosyst Res Div, SW Fisheries Sci Ctr, Natl Marine Fisheries Serv, La Jolla, CA 92037 USA; [Lundstrom, Craig C.] Univ Illinois, Dept Geol, Urbana, IL 61801 USA</t>
  </si>
  <si>
    <t>Moss Landing Marine Laboratories; Old Dominion University; National Oceanic Atmospheric Admin (NOAA) - USA; University of Illinois System; University of Illinois Urbana-Champaign</t>
  </si>
  <si>
    <t>Brooks, CM (corresponding author), Moss Landing Marine Labs, 8272 Moss Landing Rd, Moss Landing, CA 95039 USA.</t>
  </si>
  <si>
    <t>brooks.cassandra@gmail.com</t>
  </si>
  <si>
    <t>Andrews, Allen Hia/AAA-8554-2019; Andrews, Allen H/G-3686-2016</t>
  </si>
  <si>
    <t>Andrews, Allen Hia/0000-0002-9001-8305; Andrews, Allen H/0000-0002-9001-8305; Brooks, Cassandra/0000-0002-1397-0394</t>
  </si>
  <si>
    <t>National Science Foundation [0232000]; Project Aware Foundation; Division Of Polar Programs; Directorate For Geosciences [0232000] Funding Source: National Science Foundation</t>
  </si>
  <si>
    <t>National Science Foundation(National Science Foundation (NSF)); Project Aware Foundation; Division Of Polar Programs; Directorate For Geosciences(National Science Foundation (NSF)NSF - Directorate for Geosciences (GEO))</t>
  </si>
  <si>
    <t>The lead radium dating work with toothfishes started as an idea that was proposed by Jocelyn Douglas and Kenneth Coale of Moss Landing Marine Laboratories (MLML) after a trip to Antarctica. The idea subsequently developed into a full National Science Foundation (NSF) proposal with Donna Kline, and Kenneth Coale (MLML) as a collaborative age validation project with Cynthia Jones at Old Dominion University. The full proposal was funded by National Science Foundation under project number 0232000. In addition, it is important to acknowledge the contribution of otoliths from Peter Horn of NIWA and fisheries observers in the Ross Sea. Additional funding was provided by the Project Aware Foundation. This manuscript is a refined version of a thesis chapter by Cassandra Brooks that was approved for a Masters of Marine Science degree at Moss Landing Marine Laboratories.</t>
  </si>
  <si>
    <t>10.1007/s00300-010-0883-z</t>
  </si>
  <si>
    <t>734QC</t>
  </si>
  <si>
    <t>WOS:000288349800002</t>
  </si>
  <si>
    <t>Garraza, GG; Mataloni, G; Fermani, P; Vinocur, A</t>
  </si>
  <si>
    <t>Gonzalez Garraza, G.; Mataloni, G.; Fermani, P.; Vinocur, A.</t>
  </si>
  <si>
    <t>Ecology of algal communities of different soil types from Cierva Point, Antarctic Peninsula</t>
  </si>
  <si>
    <t>Maritime Antarctica; Soil algae; Community structure; Ornithogenic soils; Mineral soils</t>
  </si>
  <si>
    <t>MICROALGAL COMMUNITIES; DIVERSITY; ISLAND</t>
  </si>
  <si>
    <t>During summer 2005/2006, we characterized three sampling sites on mineral soils and four on ornithogenic soils from Cierva Point, Antarctic Peninsula, in terms of topographic and abiotic features (altitude, slope, magnetic direction, temperature, texture, pH, conductivity, organic matter, moisture and nutrient concentrations), and compared their microalgal communities through taxonomic composition, species richness, diversity, chlorophyll a content and their variation in time. Average values of pH, moisture, organic matter and nutrient concentrations were always significantly lower in mineral than in ornithogenic soils. Low NIP mass ratio showed potential N-limitation of biomass capacity in the former. On the other hand, the results suggested that physical stability is not as a key stress factor for mineral soil microalgae. Chlorophyll a concentration was not only higher in ornithogenic soils, but it also showed a wider range of values. As this parameter was positively correlated with temperature, pH, nutrients, organic matter and moisture, we cannot come to conclusions regarding the influence of each factor on algal growth. Communities of mineral soils were significantly more diverse than those of enriched ornithogenic soils due to higher species richness as well as higher equitability. Also, their structure was steadier over time, as shown by a cluster analysis based on relative frequency of algal taxa. Although Cyanobacteria and Bacillariophyceae dominated almost all samples, Chlorophyceae represented 34% of the 140 taxa recorded, and most of them observed only in cultures. The detection under controlled conditions of a high latent species richness in harsh mineral soil sites shows that the composition and equitability of these microalgal communities would be more prone to modification due to the manifold local consequences of climatic change than those of ornithogenic soils.</t>
  </si>
  <si>
    <t>[Gonzalez Garraza, G.; Mataloni, G.] Univ Nacl Gral San Martin, Inst Invest &amp; Ingn Ambiental 3iA, Buenos Aires, DF, Argentina; [Mataloni, G.] Consejo Nacl Invest Cient &amp; Tecn CONICET, Buenos Aires, DF, Argentina; [Fermani, P.] IIB INTECH, Lab Ecol &amp; Fotobiol Acuat, Buenos Aires, DF, Argentina; [Vinocur, A.] Univ Buenos Aires, Dept Biodiversidad &amp; Biol Expt, Dept Ecol Genet &amp; Evoluc, Fac Cs Exactas &amp; Nat, Buenos Aires, DF, Argentina</t>
  </si>
  <si>
    <t>Consejo Nacional de Investigaciones Cientificas y Tecnicas (CONICET); Consejo Nacional de Investigaciones Cientificas y Tecnicas (CONICET); University of Buenos Aires</t>
  </si>
  <si>
    <t>Mataloni, G (corresponding author), Univ Nacl Gral San Martin, Inst Invest &amp; Ingn Ambiental 3iA, Buenos Aires, DF, Argentina.</t>
  </si>
  <si>
    <t>mgmatal@yahoo.com</t>
  </si>
  <si>
    <t>Mataloni, Gabriela/0000-0002-6852-6143</t>
  </si>
  <si>
    <t>University of Buenos Aires; CONICET; Instituto Antartico Argentino [PIP 5356, UBACYT X864]</t>
  </si>
  <si>
    <t>University of Buenos Aires(University of Buenos Aires); CONICET(Consejo Nacional de Investigaciones Cientificas y Tecnicas (CONICET)); Instituto Antartico Argentino</t>
  </si>
  <si>
    <t>This research has been supported by the University of Buenos Aires, CONICET and the Instituto Antartico Argentino through research grants PIP 5356 and UBACYT X864 and contributes to the SCAR EBA research program. The authors are grateful for the logistic support of the Base Antartica Primavera staff and statistical advice from Lic. Ruben Lombardo (CONICET). Thorough revision by Paul Broady, Phil Novis and an anonymous referee largely helped to improve the original manuscript.</t>
  </si>
  <si>
    <t>10.1007/s00300-010-0887-8</t>
  </si>
  <si>
    <t>WOS:000288349800003</t>
  </si>
  <si>
    <t>Robinson, E; Egginton, S; Davison, W</t>
  </si>
  <si>
    <t>Robinson, Esme; Egginton, Stuart; Davison, William</t>
  </si>
  <si>
    <t>Warm-induced bradycardia and cold-induced tachycardia: mechanisms of cardiac and ventilatory control in a warm-acclimated Antarctic fish</t>
  </si>
  <si>
    <t>Thermal acclimation; Pagothenia borchgrevinki; Cardiovascular system; Notothenioid; Antarctic fish; Cardio-respiratory coupling</t>
  </si>
  <si>
    <t>PAGOTHENIA-BORCHGREVINKI; HEART-RATE; CARDIOVASCULAR-RESPONSES; THERMAL-DEPENDENCE; SOUTHERN-OCEAN; BLOOD-PRESSURE; CLIMATE-CHANGE; TEMPERATURE; PERFORMANCE; TOLERANCE</t>
  </si>
  <si>
    <t>While many Antarctic organisms possess only limited ability to respond to environmental temperature change, there is now substantial evidence to confirm that the notothenioid fish, Pagothenia borchgrevinki, has retained some thermal flexibility and can successfully acclimate to a 5 degrees C increase in temperature. Previous research demonstrated that after acclimation to 4 degrees C, resting cardiac output in this species was thermally independent, while cold-adapted fish demonstrated thermal dependence of cardiac output. Here, we extend this research into cardiovascular plasticity and report the following: (1) The mechanisms responsible for the thermal independence of cardiac output in warm-acclimated (4 degrees C, for 4 weeks) fish include a combination of warm-induced bradycardia and cold-induced tachycardia bouts. (2) These acute responses are under cholinergic control. (3) Changes to the thermal sensitivity of heart rate and ventilation rate result in concomitant changes to cardio-respiratory coupling in warm-acclimated fish.</t>
  </si>
  <si>
    <t>[Robinson, Esme; Davison, William] Univ Canterbury, Sch Biol Sci, Christchurch 8020, New Zealand; [Egginton, Stuart] Univ Birmingham, Dept Physiol, Birmingham B15 2TT, W Midlands, England</t>
  </si>
  <si>
    <t>University of Canterbury; University of Birmingham</t>
  </si>
  <si>
    <t>Robinson, E (corresponding author), Univ Canterbury, Sch Biol Sci, Private Bag 4800, Christchurch 8020, New Zealand.</t>
  </si>
  <si>
    <t>esme.robinson@canterbury.ac.nz</t>
  </si>
  <si>
    <t>Robinson, Esme/K-4969-2018</t>
  </si>
  <si>
    <t>Robinson, Esme/0000-0002-6331-044X</t>
  </si>
  <si>
    <t>Antarctica New Zealand; Kelly Tarlton's Underwater World and Antarctic Attraction; Canterbury University</t>
  </si>
  <si>
    <t>We acknowledge the Antarctica New Zealand staff at Scott Base and in Christchurch for logistical support. Thanks also go to Antarctica New Zealand and Kelly Tarlton's Underwater World and Antarctic Attraction, and Canterbury University for student scholarship funding (E. Robinson). The experimental protocols were approved by the University of Canterbury Animal Ethics Committee.</t>
  </si>
  <si>
    <t>10.1007/s00300-010-0891-z</t>
  </si>
  <si>
    <t>WOS:000288349800006</t>
  </si>
  <si>
    <t>Main, CE; Collins, MA</t>
  </si>
  <si>
    <t>Main, Charlotte E.; Collins, Martin A.</t>
  </si>
  <si>
    <t>Diet of the Antarctic starry skate Amblyraja georgiana (Rajidae, (Chondrichthyes) at South Georgia (Southern Ocean)</t>
  </si>
  <si>
    <t>Feeding ecology; Rajidae; Elasmobranch; Chondrichthyes; Euphausia superba; Krill</t>
  </si>
  <si>
    <t>ICEFISH CHAMPSOCEPHALUS-GUNNARI; KRILL EUPHAUSIA-SUPERBA; FOOD-HABITS; CENTRAL CALIFORNIA; FEEDING ECOLOGY; VARIABILITY; ABUNDANCE; ECOSYSTEM; ISLANDS; RAJIDAE</t>
  </si>
  <si>
    <t>Stomach contents were identified from 206 Antarctic starry skate (Amblyraja georgiana) that were collected during three groundfish surveys (September 2007, April 2008 and January 2009) at South Georgia, Southern Ocean. The diet of A. georgiana varied with skate size and between years. Preferred prey included fish particularly for larger individuals) and Antarctic krill, Euphausia superba, as well as amphipods, polychaetes and other benthic fauna. The skate A. georgiana appears to be an opportunistic predator, and the clear presence of Antarctic krill in this demersal predator's diet may indicate a benthic habit of this euphausiid species, which has hitherto mainly been considered as occupying a purely pelagic niche.</t>
  </si>
  <si>
    <t>[Main, Charlotte E.; Collins, Martin A.] British Antarctic Survey, Nat Environm Res Council, Cambridge CB3 0ET, England</t>
  </si>
  <si>
    <t>Main, CE (corresponding author), Univ Southampton, Natl Oceanog Ctr, Waterfront Campus,European Way, Southampton SO14 3ZH, Hants, England.</t>
  </si>
  <si>
    <t>c.main@noc.soton.ac.uk</t>
  </si>
  <si>
    <t>, Martin/ABE-6728-2020; Collins, Martin A/J-8560-2017</t>
  </si>
  <si>
    <t>, Martin/0000-0001-7132-8650;</t>
  </si>
  <si>
    <t>10.1007/s00300-010-0894-9</t>
  </si>
  <si>
    <t>WOS:000288349800008</t>
  </si>
  <si>
    <t>Jaffal, A; Paris-Palacios, S; Jolly, S; Thailly, AF; Delahaut, L; Beall, E; Roche, H; Biagianti-Risbourg, S; Betoulle, S</t>
  </si>
  <si>
    <t>Jaffal, A.; Paris-Palacios, S.; Jolly, S.; Thailly, A. F.; Delahaut, L.; Beall, E.; Roche, H.; Biagianti-Risbourg, S.; Betoulle, S.</t>
  </si>
  <si>
    <t>Cadmium and copper contents in a freshwater fish species (brook trout, Salvelinus fontinalis) from the subantarctic Kerguelen Islands</t>
  </si>
  <si>
    <t>Cadmium; Copper; Brook trout; Freshwater salmonids; Subantarctic; Southern Ocean</t>
  </si>
  <si>
    <t>PERSISTENT ORGANIC POLLUTANTS; TRACE-METAL CONCENTRATIONS; BROWN TROUT; SALMO-TRUTTA; HEAVY-METALS; RAINBOW-TROUT; BRACHYDANIO-RERIO; METALLOTHIONEIN; ZINC; CONTAMINATION</t>
  </si>
  <si>
    <t>The subantarctic Kerguelen Islands (49 degrees S, 70 degrees E) contain freshwaters among the most isolated in the world from direct human activities. Cadmium and copper concentrations were analyzed in muscle and liver tissues of 57 non-migratory brook trout (Salvelinus fontinalis) inhabiting the Sud River of Kerguelen Islands. The mean cadmium concentration in liver was 1.13 mu g/g dry wt, within the range of levels measured in liver of marine fish from the Southern Ocean. Muscular Cd levels (0.12 mu g/g dry wt) were roughly ten times higher than those measured in Kerguelen's marine fish species. Copper levels were very high in the two organs (62.27 mu g/g dry wt in liver and 3.02 mu g/g dry wt in muscle) compared to those detected in fish from the Southern Ocean. Regarding the seasonal trend, the highest Cu and Cd muscular levels were measured in fish at the end of the austral winter, whereas the highest hepatic levels were observed at the end of the austral summer. Moreover, hepatic cadmium levels were higher in females than in males. These results could be related to brook trout spawning physiological preparations and foraging behavior during the summer period. We provide here the first results about Cu and Cd levels in liver and muscle of a freshwater fish species in an insular subantarctic context. They are in agreement with the high cadmium contamination found in fish of the Southern Ocean.</t>
  </si>
  <si>
    <t>[Jaffal, A.; Paris-Palacios, S.; Delahaut, L.; Biagianti-Risbourg, S.; Betoulle, S.] Univ Reims, Lab Ecotoxicol, EA Vignes &amp; Vins Champagne Stress &amp; Environm 2069, F-51687 Reims 2, France; [Roche, H.] Univ Paris Sud, ESE, CNRS, UMR 8079, F-91405 Orsay, France; [Beall, E.] Univ Pau &amp; Pays Adour, ECOBIOP, INRA, UMR 1224, F-64310 St Pee Sur Nivelle, France; [Thailly, A. F.] IPEV Inst Polaire Francais, F-29280 Plouzane, France; [Jolly, S.] Inst Natl Environm Ind &amp; Risques INERIS, Unite Ecotoxicol Vitro &amp; Vivo, F-60550 Verneuil En Halatte, France</t>
  </si>
  <si>
    <t>Universite de Reims Champagne-Ardenne; Centre National de la Recherche Scientifique (CNRS); CNRS - Institute of Ecology &amp; Environment (INEE); AgroParisTech; Universite Paris Cite; Universite Paris Saclay; INRAE; Universite de Pau et des Pays de l'Adour; Universite de Reims Champagne-Ardenne; Institut National de l'Environnement Industriel et des Risques (INERIS)</t>
  </si>
  <si>
    <t>Jaffal, A (corresponding author), Univ Reims, Lab Ecotoxicol, EA Vignes &amp; Vins Champagne Stress &amp; Environm 2069, F-51687 Reims 2, France.</t>
  </si>
  <si>
    <t>ali.jaffal@etudiant.univ-reims.fr</t>
  </si>
  <si>
    <t>French Polar Institute Paul-Emile Victor [409]; French National Research Agency (ANR)</t>
  </si>
  <si>
    <t>French Polar Institute Paul-Emile Victor; French National Research Agency (ANR)(Agence Nationale de la Recherche (ANR)Norwegian Agency for Development Cooperation - NORAD)</t>
  </si>
  <si>
    <t>The present study was financially supported by the French Polar Institute Paul-Emile Victor (IMMUNOTOXKER program 409) and by the French National Research Agency (ANR-RISKER Program). We thank the French Polar Institute for its logistic support in Kerguelen Islands and the French Austral and Antarctic Territories Administration and the staff of the 55th mission in Kerguelen for their help in the field work.</t>
  </si>
  <si>
    <t>10.1007/s00300-010-0895-8</t>
  </si>
  <si>
    <t>WOS:000288349800009</t>
  </si>
  <si>
    <t>Valdés, A; Moran, AL; Woods, HA</t>
  </si>
  <si>
    <t>Valdes, Angel; Moran, Amy L.; Woods, H. Arthur</t>
  </si>
  <si>
    <t>A new species of Armodoris (Mollusca, Gastropoda, Nudibranchia, Akiodorididae) from McMurdo Sound, Antarctica</t>
  </si>
  <si>
    <t>Systematics; Taxonomy; Biodiversity; Ross Sea</t>
  </si>
  <si>
    <t>Recently collected specimens of Armodoris from McMurdo Sound, Antarctica, were morphologically examined and sequenced. Comparison between this new material and literature sources revealed that it belongs to an undescribed species, Armodoris anudeorum. Although this new species is externally very similar to Armodoris antarctica (the only previously known species of Armodoris), these two species differ in several details of their external morphology, and particularly in their reproductive anatomy and radular morphology. This is the second known species of Armodoris; thus, this paper doubles the known diversity of this exclusively Antarctic group.</t>
  </si>
  <si>
    <t>[Valdes, Angel] Calif State Polytech Univ Pomona, Dept Biol Sci, Pomona, CA 91768 USA; [Moran, Amy L.] Clemson Univ, Dept Biol Sci, Clemson, SC 29634 USA; [Woods, H. Arthur] Univ Montana, Div Biol Sci, Missoula, MT 59812 USA</t>
  </si>
  <si>
    <t>California State University System; California State Polytechnic University Pomona; Clemson University; University of Montana System; University of Montana</t>
  </si>
  <si>
    <t>Valdés, A (corresponding author), Calif State Polytech Univ Pomona, Dept Biol Sci, 3801 W Temple Ave, Pomona, CA 91768 USA.</t>
  </si>
  <si>
    <t>aavaldes@csupomona.edu; moran@clemson.edu; art.woods@mso.umt.edu</t>
  </si>
  <si>
    <t>Moran, Amy L/F-7072-2011; Valdes, Angel A/Q-1729-2018; Valdes, Angel/K-3051-2012</t>
  </si>
  <si>
    <t>Moran, Amy/0000-0002-0604-5096; Valdes, Angel/0000-0002-2347-4896</t>
  </si>
  <si>
    <t>National Science Foundation [DBI-0216506, ANT-0551969, ANT-0440577]</t>
  </si>
  <si>
    <t>The SEM work was conducted at the Natural History Museum of Los Angeles County, supported by the National Science Foundation under MRI grant DBI-0216506 with the assistance of Giar-Ann Kung. Dr. Stefano Schiaparelli (Universita di Genova) provided us with photographs of a specimen from the Ross Sea. The Antarctic trips were supported by National Science Foundation grants ANT-0551969 to ALM and ANT-0440577 to HAW. We thank the science support staff of McMurdo Station for logistical support during our stay.</t>
  </si>
  <si>
    <t>10.1007/s00300-010-0889-6</t>
  </si>
  <si>
    <t>WOS:000288349800015</t>
  </si>
  <si>
    <t>Bologa, AS; Charlier, RH</t>
  </si>
  <si>
    <t>Bologa, Alexandru S.; Charlier, Roger H.</t>
  </si>
  <si>
    <t>Romanian Marine Centennial</t>
  </si>
  <si>
    <t>JOURNAL OF COASTAL RESEARCH</t>
  </si>
  <si>
    <t>Black Sea; Emil Racovitza; Grigore Antipa; Ioan Borcea; Romania; Agigea; Constantza</t>
  </si>
  <si>
    <t>This article explores an Antarctic expedition that led to the development of marine sciences in Romania, celebrating their one hundredth anniversary, and the creation of marine stations. Emil Racovitza participated in the Belgica Antarctic Expedition of de Gerlache which seems to have nurtured his interest in the marine sciences. He is credited with launching oceanography in Romania. Other major figures in the development of oceanography and the creation of marine research facilities are Borcea and Antipa, whose careers are retraced in the paper. Recently all research points have been regrouped to form the National Institute for Research and Development.</t>
  </si>
  <si>
    <t>[Charlier, Roger H.] Free Univ Brussels, B-1050 Brussels, Belgium; [Charlier, Roger H.] Florida Atlantic Univ, Boca Raton, FL 33431 USA</t>
  </si>
  <si>
    <t>Universite Libre de Bruxelles; State University System of Florida; Florida Atlantic University</t>
  </si>
  <si>
    <t>COASTAL EDUCATION &amp; RESEARCH FOUNDATION</t>
  </si>
  <si>
    <t>0749-0208</t>
  </si>
  <si>
    <t>J COASTAL RES</t>
  </si>
  <si>
    <t>J. Coast. Res.</t>
  </si>
  <si>
    <t>10.2112/JCOASTRES-D-10A-00013.1</t>
  </si>
  <si>
    <t>734AV</t>
  </si>
  <si>
    <t>WOS:000288306500014</t>
  </si>
  <si>
    <t>Epshtein, OG; Dlugach, AG; Starovoytov, AV; Romanyuk, BF</t>
  </si>
  <si>
    <t>Epshtein, O. G.; Dlugach, A. G.; Starovoytov, A. V.; Romanyuk, B. F.</t>
  </si>
  <si>
    <t>Pleistocene sediments of the eastern barents sea (Central Deep and Murmansk Bank Areas): Communication 1. Occurrence conditions and main structural features</t>
  </si>
  <si>
    <t>LITHOLOGY AND MINERAL RESOURCES</t>
  </si>
  <si>
    <t>ANTARCTIC ICE STREAM; SOUTHERN PART; GLACIATION; STRATIGRAPHY; CONSTRAINTS; PALEOGEOGRAPHY; DEPOSITS; FACIES; SYSTEM; SHELF</t>
  </si>
  <si>
    <t>The areal geological-geophysical study of Quaternary sediments was carried out in two areas of the eastern Barents Sea (Central Deep and Murmansk Bank). This communication is mainly dedicated to the results of seismoacoustic investigations. It has been established that the Quaternary sequence unconformably overlying the pre-Cenozoic strata in the studied areas is as follows (from bottom to top): marine-glaciomarine Late Glacial-Holocene sediments, massive diamictons (the main part of the section), and glaciotectonites formed after the underlying Mesozoic unconsolidated sediments. The Pleistocene diamictons, origin of which is still debatable, are the main studied object. They constitute two seismostratigraphic complexes (SSC). According to the accepted stratigraphic subdivision, they are represented by the Upper Weichselian SSC III (Maximum Last Glaciation) and Lower Weichselian SSC V (Middle Weichselian SSC IV is eroded here). Complexes SSC V and SSC III composed of till overlie the older sediments with the exaration unconformity. Complex SSC V is preserved locally, while SSC III is characterized by the regional distribution. Complex SSC III is universally enveloped unconformably without erosional surface by an acoustically uniform thin-bedded member of Late Glacial-Holocene glaciomarine and marine sediments (SSC II+I). Unlike SSC V, SSC III demonstrates lateral heterogeneity in both studied areas consisting of two seismofacies, one of which forms very specific acoustically transparent bodies (ATBs). Sediments of SSC III avoided subsequent erosion. Therefore, their glacial nature is distinctly reflected in the complex distribution of thickness and peculiar morphology of corresponding bodies.</t>
  </si>
  <si>
    <t>[Epshtein, O. G.] Russian Acad Sci, Inst Geol, Moscow 119017, Russia; [Dlugach, A. G.] OAO Arkticheskie Morskie Inzhenerno Geol, Murmansk 183025, Russia; [Starovoytov, A. V.] Moscow MV Lomonosov State Univ, Fac Geol, Moscow 119991, Russia; [Romanyuk, B. F.] AO Morinzhgeol, LV-1019 Riga, Latvia</t>
  </si>
  <si>
    <t>Geological Institute, Russian Academy of Sciences; Russian Academy of Sciences; Lomonosov Moscow State University</t>
  </si>
  <si>
    <t>Epshtein, OG (corresponding author), Russian Acad Sci, Inst Geol, Pyzhevskii Per 7, Moscow 119017, Russia.</t>
  </si>
  <si>
    <t>epshtein@ginras.ru; dlugach@amige.murmansk.ru; starovoytov_msu@mail.ru; geolog@inbox.lo</t>
  </si>
  <si>
    <t>Epshtein, Oleg/0000-0001-9988-2442</t>
  </si>
  <si>
    <t>0024-4902</t>
  </si>
  <si>
    <t>1608-3229</t>
  </si>
  <si>
    <t>LITHOL MINER RESOUR+</t>
  </si>
  <si>
    <t>Lithol. Miner. Resour.</t>
  </si>
  <si>
    <t>10.1134/S0024490211020027</t>
  </si>
  <si>
    <t>Geochemistry &amp; Geophysics; Geology; Mineralogy</t>
  </si>
  <si>
    <t>731BJ</t>
  </si>
  <si>
    <t>WOS:000288081000002</t>
  </si>
  <si>
    <t>Cocca, E; De Iorio, S; Capriglione, T</t>
  </si>
  <si>
    <t>Cocca, Ennio; De Iorio, Simona; Capriglione, Teresa</t>
  </si>
  <si>
    <t>Identification of a novel helitron transposon in the genome of Antarctic fish</t>
  </si>
  <si>
    <t>MOLECULAR PHYLOGENETICS AND EVOLUTION</t>
  </si>
  <si>
    <t>Helitron; DNA transposon; Antarctic fish; Notothenioidei</t>
  </si>
  <si>
    <t>CONSERVED SEQUENCE; CYSTEINE PROTEASES; DNA TRANSPOSONS; TOL2 ELEMENT; EVOLUTION; GENE; EUKARYOTES; MOTIFS; CONTRIBUTES; EXPRESSION</t>
  </si>
  <si>
    <t>Rolling-circle (RC) eukaryotic transposons, known as helitrons, are found in a wide range of organisms, from protist to mammals. Autonomous helitrons have a distinctive open reading frame (ORF) encoding a polypeptide that contains typical domains for RC replication (RCR): the Rep (RCR initiator) and the DNA helicase domains. These elements are believed to have an important role in the host genome evolution, owing to their frequent capture of host genes, some of which can evolve into novel genes or become essential for helitron transposition. We conducted a molecular analysis of the suborder Notothenioidei, a group of Perciformes that currently dominate the Antarctic waters by virtue of their remarkable cold-adaptation ability. A novel helitron from the genome of the icefish species Chionodraco hamatus, belonging to the Channichthyidae, the most derived Notothenioids family, was isolated, characterized and designated as HeliNoto (8.9 kb). Its ORF was compared to homologous sequences from different species in a comprehensive phylogenetic analysis. For the first time the putative functional domains of a helitron were subjected to a well accurate structural analysis including chromosomal localization. Finally, the distribution of HeliNoto among Notothenioids was investigated. (C) 2011 Elsevier Inc. All rights reserved.</t>
  </si>
  <si>
    <t>[Cocca, Ennio] Natl Res Council CNR, Inst Prot Biochem, Naples, Italy; [De Iorio, Simona] Univ Naples 2, Dept Life Sci, Computat Biol PhD Course, Caserta, Italy; [Capriglione, Teresa] Univ Naples Federico II, Dept Biol Sci, Naples, Italy</t>
  </si>
  <si>
    <t>Consiglio Nazionale delle Ricerche (CNR); Istituto di Biochimica delle Proteine (IBP-CNR); Universita della Campania Vanvitelli; University of Naples Federico II</t>
  </si>
  <si>
    <t>Cocca, E (corresponding author), Via P Castellino 111, I-80131 Naples, Italy.</t>
  </si>
  <si>
    <t>e.cocca@ibp.cnr.it</t>
  </si>
  <si>
    <t>Cocca, Ennio/AAY-3817-2020</t>
  </si>
  <si>
    <t>Cocca, Ennio/0000-0003-2432-9663</t>
  </si>
  <si>
    <t>National Science Foundation [OPP-0132032]</t>
  </si>
  <si>
    <t>This study was conducted in the framework of the Italian Antarctic Research Program (PNRA). We gratefully acknowledge the logistic support provided to our research team at Mario Zucchelli Station, at Palmer Station, and on board RV LM Gould and RVIB NB Palmer (ICEFISH Cruise) by the personnel of Raytheon Polar Services and by the captains and crews of RV LM Gould and RVIB NB Palmer. This work was partly supported by National Science Foundation Grant OPP-0132032 to H. William Detrich (Northeastern University, Boston, Mass.).</t>
  </si>
  <si>
    <t>1055-7903</t>
  </si>
  <si>
    <t>1095-9513</t>
  </si>
  <si>
    <t>MOL PHYLOGENET EVOL</t>
  </si>
  <si>
    <t>Mol. Phylogenet. Evol.</t>
  </si>
  <si>
    <t>10.1016/j.ympev.2010.12.020</t>
  </si>
  <si>
    <t>Biochemistry &amp; Molecular Biology; Evolutionary Biology; Genetics &amp; Heredity</t>
  </si>
  <si>
    <t>731ZX</t>
  </si>
  <si>
    <t>WOS:000288151000003</t>
  </si>
  <si>
    <t>Dietz, L; Mayer, C; Arango, CP; Leese, F</t>
  </si>
  <si>
    <t>Dietz, Lars; Mayer, Christoph; Arango, Claudia P.; Leese, Florian</t>
  </si>
  <si>
    <t>The mitochondrial genome of Colossendeis megalonyx supports a basal position of Colossendeidae within the Pycnogonida</t>
  </si>
  <si>
    <t>Phylogeny; Arthropoda; Pycnogonida; tRNA; Mitogenomics; Pyrosequencing</t>
  </si>
  <si>
    <t>TRANSFER-RNA GENES; SEA SPIDERS; PHYLOGENY; EVOLUTION; SEQUENCES; PROGRAM; METAZOA</t>
  </si>
  <si>
    <t>We present the almost complete (16,007 bp) mitochondrial genome of a Colossendeis megolonyx specimen from the Southern Ocean and discuss gene order and tRNA structure in a comparative phylogenetic context. Our data suggest a basal position of the colossendeid lineage corroborating earlier phylogenetic studies but disagreeing with results of a recently published study that supported a highly derived sister-group relationship of Colossendeidae and Nymphonidae. Our results, together with BLAST searches and phylogenetic comparisons, indicate that the specimen presented as Colossendeis sp. in a series of recent studies had been misidentified. It has now been identified as a nymphonid species. (C) 2010 Elsevier Inc. All rights reserved.</t>
  </si>
  <si>
    <t>[Dietz, Lars; Mayer, Christoph; Leese, Florian] Ruhr Univ Bochum, D-44801 Bochum, Germany; [Mayer, Christoph] Forsch Museum Alexander Koenig, D-53113 Bonn, Germany; [Arango, Claudia P.] Queensland Museum, Biodivers Program, Brisbane, Qld 4101, Australia</t>
  </si>
  <si>
    <t>Ruhr University Bochum; Zoologisches Forschungsmuseum Alexander Koenig (ZFMK); Queensland Museum</t>
  </si>
  <si>
    <t>Leese, F (corresponding author), Ruhr Univ Bochum, Univ Str 150, D-44801 Bochum, Germany.</t>
  </si>
  <si>
    <t>florian.leese@rub.de</t>
  </si>
  <si>
    <t>Mayer, Christoph/AAD-6696-2019; Leese, Florian/D-4277-2012; /A-5531-2008</t>
  </si>
  <si>
    <t>Mayer, Christoph/0000-0001-5104-6621; Leese, Florian/0000-0002-5465-913X; /0000-0003-1098-830X</t>
  </si>
  <si>
    <t>German Science Foundation (DFG) [LE 3636/2]; Australian Antarctic Science Grant (AAS) [3010]; CAML [34]</t>
  </si>
  <si>
    <t>German Science Foundation (DFG)(German Research Foundation (DFG)); Australian Antarctic Science Grant (AAS); CAML</t>
  </si>
  <si>
    <t>We thank Christoph Held and Ralph Tollrian for discussions and support. Julia M. Vollmer helped with the lab work. The suggestions of Susan Masta and two anonymous reviewers improved this manuscript considerably. We thank Susan Masta for providing us with a picture of the Colossendeis sp. This work has been supported by German Science Foundation (DFG) Grant LE 3636/2 to FL and CM and also by Australian Antarctic Science Grant (AAS) 3010 and CAML Grant #34 to CPA. This is publication number 26 of the ICEFISH Cruise of 2004.</t>
  </si>
  <si>
    <t>10.1016/j.ympev.2010.12.016</t>
  </si>
  <si>
    <t>WOS:000288151000014</t>
  </si>
  <si>
    <t>Singh, J; Dubey, AK; Singh, RP</t>
  </si>
  <si>
    <t>Singh, Jaswant; Dubey, Anand K.; Singh, Rudra P.</t>
  </si>
  <si>
    <t>Antarctic terrestrial ecosystem and role of pigments in enhanced UV-B radiations</t>
  </si>
  <si>
    <t>REVIEWS IN ENVIRONMENTAL SCIENCE AND BIO-TECHNOLOGY</t>
  </si>
  <si>
    <t>Antarctica; Antarctic flora; Ozone hole; UV-B radiations; Pigments; Adaptive strategy</t>
  </si>
  <si>
    <t>SOLAR ULTRAVIOLET-RADIATION; STRATOSPHERIC OZONE DEPLETION; RADICAL SCAVENGING ACTIVITY; TIERRA-DEL-FUEGO; DESCHAMPSIA-ANTARCTICA; COLOBANTHUS-QUITENSIS; VASCULAR PLANTS; GROWTH; MOSS; PHOTOSYNTHESIS</t>
  </si>
  <si>
    <t>The terrestrial ecosystem of Antarctica are among the most extreme on earth, challenging the communities and making their existence difficult by rapidly increasing annual summer influx of solar ultraviolet radiations (UV-R), extremely cold conditions and lesser availability of nutrients. Spring time ozone depletion is due to release of chlorofluorocarbons in the earth atmosphere and is a serious cause of concern among environmentalists. Antarctic continent is mostly dominated by cryptogamic plants with limited distribution in different parts of the icy continent however; their distribution is mostly confined to Sub-Antarctic region. By the virtue of light requirement, cryptogams are exposed to extreme seasonal fluctuation in photosynthetically active radiation (PAR), and ultraviolet (UV) radiation which are closely associated with photosynthetic pigments in photoautotrophic organisms. Antarctic cryptogams cope up the stress imposed by UV radiation by the development of efficient systems for repairing damage by synthesis of screening compounds such as UV-B absorbing pigments and anthocyanin compounds. A major part of the UV absorbing compounds are appeared to be constitutive in lichens which are usnic acid, perlatolic acid and fumarphotocetraric acid which is particularly induced by UV-B. Secondary metabolites such as phenolics, atranorin, parietin and melanin also enhance the plant defense, by different molecular targets in specific solar irradiance and potential for increased antioxidative protection to UV induced vulnerability.</t>
  </si>
  <si>
    <t>[Singh, Jaswant; Dubey, Anand K.; Singh, Rudra P.] Dr RML Avadh Univ, Dept Environm Sci, Faizabad 224001, Uttar Pradesh, India</t>
  </si>
  <si>
    <t>Singh, J (corresponding author), Dr RML Avadh Univ, Dept Environm Sci, Faizabad 224001, Uttar Pradesh, India.</t>
  </si>
  <si>
    <t>jaswant1983@yahoo.co.in</t>
  </si>
  <si>
    <t>Singh, Rudra Pratap/JXN-5361-2024</t>
  </si>
  <si>
    <t>National Centre for Antarctic and Ocean Research (NCAOR, Goa), Ministry of Earth Sciences, New Delhi, India</t>
  </si>
  <si>
    <t>We gratefully acknowledge the financial support of the National Centre for Antarctic and Ocean Research (NCAOR, Goa), Ministry of Earth Sciences, New Delhi, India.</t>
  </si>
  <si>
    <t>1569-1705</t>
  </si>
  <si>
    <t>1572-9826</t>
  </si>
  <si>
    <t>REV ENVIRON SCI BIO</t>
  </si>
  <si>
    <t>Rev. Environ. Sci. Bio-Technol.</t>
  </si>
  <si>
    <t>10.1007/s11157-010-9226-3</t>
  </si>
  <si>
    <t>Biotechnology &amp; Applied Microbiology; Environmental Sciences</t>
  </si>
  <si>
    <t>Biotechnology &amp; Applied Microbiology; Environmental Sciences &amp; Ecology</t>
  </si>
  <si>
    <t>733HC</t>
  </si>
  <si>
    <t>WOS:000288252800007</t>
  </si>
  <si>
    <t>Tang, XY; Sun, B; Zhang, ZH; Zhang, XP; Cui, XB; Li, X</t>
  </si>
  <si>
    <t>Tang XueYuan; Sun Bo; Zhang ZhanHai; Zhang XiangPei; Cui XiangBin; Li Xin</t>
  </si>
  <si>
    <t>Structure of the internal isochronous layers at Dome A, East Antarctica</t>
  </si>
  <si>
    <t>East Antarctic Ice Sheet; Dome A; ice radar; internal layers; deep ice core</t>
  </si>
  <si>
    <t>ICE-SHEET; ACCUMULATION; TOPOGRAPHY; RADAR</t>
  </si>
  <si>
    <t>Dome A (Kunlun Station) is considered a likely place for finding an ice core record reaching back to one million years. The internal isochronous layering of the Antarctic Ice Sheet, revealed by ice radar, is a prerequisite for selecting sites for deep ice core drilling that can be used for studying the paleoclimatic record. In 2004/2005, during the 21st Chinese National Antarctic Research Expedition (CHINARE 21), a 200-km long, continuous radar profile was obtained across Dome A. The internal layers along the profile were derived from the stratigraphy detected by the radar. The morphology of the isochronous layers shows that: (1) The internal layers in the shallow ice sheet (0-500 m) are generally flat, with no more than 50 m of layer intervals, and have typical synclines and anticlines in some localized regions. (2) At 500-2000 m below the surface of the ice sheet, the layers appear as bright layers, and the width of the layer intervals expands to 50-100 m. (3) When the basal topographic wavelengths are approximate to the thickness of the ice (3 km), the traced internal layers, with localized bumps or concave folds, are asymptotic parallel to the subglacial topography. For the longer topographic wavelengths (similar to 20 km) wider than the thickness of the ice, the layers do not rise and fall with the basal topography. The internal layers surrounding some mountain peaks representing the most extreme variation in the terrain are sharply disturbed by the subglacial topography. (4) Layer discontinuity and fracture were detected in the basal ice sheet. Finally, by combining this new information with that derived from existing data regarding ice thickness, we were able to select three potential sites for reconstructing the age-depth relationship of the ice core.</t>
  </si>
  <si>
    <t>[Tang XueYuan] Ocean Univ China, Coll Marine Environm, Qingdao 266100, Peoples R China; [Tang XueYuan; Sun Bo; Zhang ZhanHai; Zhang XiangPei; Cui XiangBin; Li Xin] Polar Res Inst China, SOA Key Lab Polar Sci, Shanghai 200136, Peoples R China</t>
  </si>
  <si>
    <t>Ocean University of China; Polar Research Institute of China</t>
  </si>
  <si>
    <t>Tang, XY (corresponding author), Ocean Univ China, Coll Marine Environm, Qingdao 266100, Peoples R China.</t>
  </si>
  <si>
    <t>tangxueyuan@pric.gov.cn; zhangzhanhai@pric.gov.cn</t>
  </si>
  <si>
    <t>Cui, Xiangbin/Y-1551-2019; sun, bo/JFA-9978-2023</t>
  </si>
  <si>
    <t>Cui, Xiangbin/0000-0002-4269-8086;</t>
  </si>
  <si>
    <t>National Natural Science Foundation of China [40906101, 40476005]; National Basic Research Program of China [2006BAB18B01]; IPY Chinese Programme [IPY2008-P050400101]</t>
  </si>
  <si>
    <t>National Natural Science Foundation of China(National Natural Science Foundation of China (NSFC)); National Basic Research Program of China(National Basic Research Program of China); IPY Chinese Programme</t>
  </si>
  <si>
    <t>We thank the field work team from the 21st Chinese National Antarctic Research Expedition and the reviewers of this paper. This work was supported by National Natural Science Foundation of China (Grant Nos. 40906101 and 40476005), National Basic Research Program of China (Grant No. 2006BAB18B01), IPY Chinese Programme (Grant No. IPY2008-P050400101),</t>
  </si>
  <si>
    <t>10.1007/s11430-010-4065-1</t>
  </si>
  <si>
    <t>731PM</t>
  </si>
  <si>
    <t>WOS:000288121700013</t>
  </si>
  <si>
    <t>Jourdain, NC; Gallée, H</t>
  </si>
  <si>
    <t>Jourdain, Nicolas C.; Gallee, Hubert</t>
  </si>
  <si>
    <t>Influence of the orographic roughness of glacier valleys across the Transantarctic Mountains in an atmospheric regional model</t>
  </si>
  <si>
    <t>SURFACE MASS-BALANCE; DRAG PARAMETRIZATION; ROSS SEA; ANTARCTIC CONTINENT; SCALAR TRANSFER; ECMWF MODEL; ICE-SHEET; SNOW; PREDICTION; CLIMATE</t>
  </si>
  <si>
    <t>Glacier valleys across the Transantarctic Mountains are not properly taken into account in climate models, because of their coarse resolution. Nonetheless, glacier valleys control katabatic winds in this region, and the latter are thought to affect the climate of the Ross Sea sector, frsater formation to snow mass balance. The purpose of this paper is to investigate the role of the production of turbulent kinetic energy by the subgrid-scale orography in the Transantarctic Mountains using a 20-km atmospheric regional model. A classical orographic roughness length parametrization is modified to produce either smooth or rough valleys. A one-year simulation shows that katabatic winds in the Transantarctic Mountains are strongly improved using smooth valleys rather than rough valleys. Pressure and temperature fields are affected by the representation of the orographic roughness, specifically in the Transantarctic Mountains and over the Ross Ice Shelf. A smooth representation of escarpment regions shows better agreement with automatic weather station observations than a rough representation. This work stresses the need to improve the representation of subgrid-scale orography to simulate realistic katabatic flows. This paper also provides a way of improving surface winds in an atmospheric model without increasing its resolution.</t>
  </si>
  <si>
    <t>[Jourdain, Nicolas C.; Gallee, Hubert] Lab Glaciol &amp; Geophys Environm, F-38402 St Martin Dheres, France</t>
  </si>
  <si>
    <t>Jourdain, NC (corresponding author), Lab Glaciol &amp; Geophys Environm, F-38402 St Martin Dheres, France.</t>
  </si>
  <si>
    <t>nicolas_jourdain@yahoo.fr</t>
  </si>
  <si>
    <t>Jourdain, Nicolas/B-6899-2015</t>
  </si>
  <si>
    <t>Jourdain, Nicolas/0000-0002-1372-2235</t>
  </si>
  <si>
    <t>10.1007/s00382-010-0757-7</t>
  </si>
  <si>
    <t>729CB</t>
  </si>
  <si>
    <t>WOS:000287924400016</t>
  </si>
  <si>
    <t>Portugal, SJ; Guillemette, M</t>
  </si>
  <si>
    <t>Portugal, Steven J.; Guillemette, Magella</t>
  </si>
  <si>
    <t>The use of body mass loss to estimate metabolic rate in birds</t>
  </si>
  <si>
    <t>Body mass loss; Common eiders; Energy expenditure; Fasting; Metabolic rate</t>
  </si>
  <si>
    <t>INCUBATING WANDERING ALBATROSSES; EIDERS SOMATERIA-MOLLISSIMA; ENERGY-EXPENDITURE; COMMON EIDERS; APTENODYTES-FORSTERI; EMPEROR PENGUINS; HEART-RATE; DEUTERIUM DILUTION; LIPID UTILIZATION; LAYSAN ALBATROSS</t>
  </si>
  <si>
    <t>During starvation, energy production occurs at the expense of body reserve utilisation which results in body mass loss. Knowing the role of the fuels involved in this body mass loss, along with their energy density, can allow an energy equivalent of mass loss to be calculated. Therefore, it is possible to determine daily energy expenditure (DEE) if two body mass loss measurements at an interval of a few days are obtained. The technique can be cheap, minimally stressful for the animals involved, and the data relatively simple to gather. Here we review the use of body mass loss to estimate DEE in birds through critiquing the strengths and weaknesses of the technique, and detail the methodology and considerations that must be adhered to for accurate measures of DEE to be obtained. Owing to the biology of the species, the use of the technique has been used predominantly in Antarctic seabirds, particularly penguins and albatrosses. We demonstrate how reliable the technique can be in predicting DEE in a non-Antarctic species, common eiders (Somateria mollissima), the female of which undergoes a fasting period during incubation. We conclude that using daily body mass loss to estimate DEE can be a useful and effective approach provided that (1) the substrate being consumed during mass loss is known, (2) the kinetics of body mass loss are understood for the species in question and (3) only species that enter a full phase II of a fast (where substrate catabolism reaches a steady state) and are not feeding for a period of time are appropriate for this method. (C) 2010 Elsevier Inc. All rights reserved.</t>
  </si>
  <si>
    <t>[Portugal, Steven J.] Univ Birmingham, Ctr Ornithol, Sch Biosci, Birmingham B15 2TT, W Midlands, England; [Guillemette, Magella] Univ Quebec, Dept Biol &amp; Geog, Rimouski, PQ G5L 3A1, Canada</t>
  </si>
  <si>
    <t>University of Birmingham; University of Quebec</t>
  </si>
  <si>
    <t>Portugal, SJ (corresponding author), Univ Birmingham, Ctr Ornithol, Sch Biosci, Birmingham B15 2TT, W Midlands, England.</t>
  </si>
  <si>
    <t>S.Portugal.1@bham.ac.uk</t>
  </si>
  <si>
    <t>Portugal, Steven/0000-0002-2438-2352</t>
  </si>
  <si>
    <t>Canadian Natural Sciences and Engineering Research Council (NSERC)</t>
  </si>
  <si>
    <t>Canadian Natural Sciences and Engineering Research Council (NSERC)(Natural Sciences and Engineering Research Council of Canada (NSERC))</t>
  </si>
  <si>
    <t>We are grateful to the following people who were involved with the data collection for the eider ducks: Patrick Butler, Annette Flagstag, Jean-Marc Grandbois, Peter Lyngs, David Pelletier and Yves Rigou. Thank you also to Phill Cassey, Tony Fox, Jon Green, Johnny Kahlert, Graham Martin, Lewis Halsey, Brian McNab and particularly Craig White for useful discussions. The eider study was supported by a Canadian Natural Sciences and Engineering Research Council (NSERC) in collaboration with the National Environmental Research Institute (NERI) of Denmark.</t>
  </si>
  <si>
    <t>1531-4332</t>
  </si>
  <si>
    <t>10.1016/j.cbpa.2010.11.028</t>
  </si>
  <si>
    <t>729YA</t>
  </si>
  <si>
    <t>WOS:000287989100009</t>
  </si>
  <si>
    <t>Antony, R; Sujith, PP; Fernandes, SO; Verma, P; Khedekar, VD; Bharathi, PAL</t>
  </si>
  <si>
    <t>Antony, Runa; Sujith, P. P.; Fernandes, Sheryl Oliveira; Verma, Pankaj; Khedekar, V. D.; Bharathi, P. A. Loka</t>
  </si>
  <si>
    <t>Cobalt Immobilization by Manganese Oxidizing Bacteria from the Indian Ridge System</t>
  </si>
  <si>
    <t>TRACE-METALS; OXIDATION; ZINC; CADMIUM; NICKEL; OXIDES; OCEAN; MN; SUBSTANCES; LIMITATION</t>
  </si>
  <si>
    <t>Co immobilization by two manganese oxidizing isolates from Carlsberg Ridge waters (CR35 and CR48) was compared with that of Mn at same molar concentrations. At a lower concentration of 10 mu M, CR35 and CR48 immobilized 22 and 23 fM Co cell(-1) respectively, which was 1.4 to 2 times higher than that of Mn oxidation, while at 10 mM the immobilization was 15-69 times lower than that of Mn. Scanning electron microscope and energy dispersive X-ray analyses of intact bacterial cells grown in 1 mM Co revealed Co peaks showing extracellular binding of the metal. However, it was evident from transmission electron microscope analyses that most of the sequestered Co was bound intracellularly along the cell membrane in both the isolates. Change in morphology was one of the strategies bacteria adopted to counter metal stress. The cells grew larger and thus maintained a lower than normal surface area-volume ratio on exposure to Co to reduce the number of binding sites. An unbalanced growth with increasing Co additions was observed in the isolates. Cells attained a length of 10-18 mu m at 10 mM Co which was 11-15 times the original cell length. Extensive cell rupture indicated that Co was harmful at this concentration. It is apparent that biological and optimal requirement of Mn is more than Co. Thus, these differences in the immobilization of the two metals could be driven by the differences in the requirement, cell physiology and the affinities of the isolates for the concentrations of the metals tested.</t>
  </si>
  <si>
    <t>[Antony, Runa] Natl Ctr Antarctic &amp; Ocean Res, Vasco Da Gama 403804, Goa, India; [Sujith, P. P.; Fernandes, Sheryl Oliveira; Khedekar, V. D.; Bharathi, P. A. Loka] Natl Inst Oceanog, Council Sci &amp; Ind Res, Panaji 403004, Goa, India; [Verma, Pankaj] Natl Ctr Cell Sci, Pune 411007, Maharashtra, India</t>
  </si>
  <si>
    <t>Ministry of Earth Sciences (MoES) - India; National Centre for Polar and Ocean Research (NCPOR); Council of Scientific &amp; Industrial Research (CSIR) - India; CSIR - National Institute of Oceanography (NIO); Department of Biotechnology (DBT) India; National Centre for Cell Science, Pune (NCCS)</t>
  </si>
  <si>
    <t>Bharathi, PAL (corresponding author), Natl Ctr Antarctic &amp; Ocean Res, Vasco Da Gama 403804, Goa, India.</t>
  </si>
  <si>
    <t>runa@ncaor.org; loka@nio.org</t>
  </si>
  <si>
    <t>P P, Dr. Sujith/AAY-3167-2021</t>
  </si>
  <si>
    <t>Antony, Runa/0000-0003-4829-4207; P.P, Sujith/0000-0001-9099-7729</t>
  </si>
  <si>
    <t>CSIR/DOD; Council of Scientific and Industrial Research, New Delhi, India</t>
  </si>
  <si>
    <t>CSIR/DOD(Council of Scientific &amp; Industrial Research (CSIR) - IndiaUnited States Department of Defense); Council of Scientific and Industrial Research, New Delhi, India(Council of Scientific &amp; Industrial Research (CSIR) - India)</t>
  </si>
  <si>
    <t>The authors thank the Directors; NIO, NCAOR and NCCS for support. Special thanks are due to Dr. Rahul Mohan of NCAOR for providing SEM facility. We acknowledge the services of AIIMS, Delhi for TEM analysis. We thank Dr. CT Achuthankutty, Visiting Scientist, NCAOR, for critical evaluation of the manuscript. This work was carried out under the project 'Tectonic and Oceanic Processes along the Indian Ridge system and Back-Arc Basins' funded by CSIR/DOD and led by Dr. KA Kamesh Raju. SPP and SOF acknowledges the Council of Scientific and Industrial Research, New Delhi, India, for the award of 'Senior Research Fellowship'. The manuscript improved considerably by the critical evaluation of an anonymous reviewer. This is NIO contribution No. 4803 and NCAOR contribution number 030/ 2010.</t>
  </si>
  <si>
    <t>10.1007/s00284-010-9784-1</t>
  </si>
  <si>
    <t>726VL</t>
  </si>
  <si>
    <t>WOS:000287754500023</t>
  </si>
  <si>
    <t>Ziegler, LB; Constable, CG; Johnson, CL; Tauxe, L</t>
  </si>
  <si>
    <t>Ziegler, L. B.; Constable, C. G.; Johnson, C. L.; Tauxe, L.</t>
  </si>
  <si>
    <t>PADM2M: a penalized maximum likelihood model of the 0-2 Ma palaeomagnetic axial dipole moment</t>
  </si>
  <si>
    <t>Archaeomagnetism; Magnetic field; Palaeointensity; Palaeomagnetic secular variation</t>
  </si>
  <si>
    <t>GEOMAGNETIC-FIELD INTENSITY; EARTHS MAGNETIC-FIELD; ODP SITE 983; RELATIVE PALEOINTENSITY RECORDS; INTER-HEMISPHERIC CORRELATION; WESTERN EQUATORIAL PACIFIC; MATUYAMA-BRUNHES BOUNDARY; ANTARCTIC SOUTH ATLANTIC; ONTONG-JAVA PLATEAU; SEA SEDIMENT CORES</t>
  </si>
  <si>
    <t>P&gt;We present a new time-varying model for palaeomagnetic axial dipole moment (PADM) for the past 2 Myr and compare it with earlier virtual axial dipole moment (VADM) reconstructions which have been based on stacking and averaging scaled relative palaeointensity records. The PADM is derived from both absolute and relative palaeointensity data and constructed using a new penalized maximum likelihood (PML) approach to recover a cubic B-spline representation of axial-dipole field variations on million year timescales. The PML method is explicitly intended to reduce bias in estimating the true axial dipole moment that arises in average VADM reconstructions. We apply the PML method to a set of 96 032 published data (1800 palaeointensities from igneous rocks, 3300 archaeointensities and 86 relative palaeointensity time-series of variable lengths and resolutions). Two models are discussed: PADM2Mp is a trial model based on a subset of the nine longest available sedimentary records; PADM2M uses a comprehensive data set (76 records, 81 446 data; 10 records were eliminated) and is our preferred model. PADM2M has a lower mean than existing VADM reconstructions but shows similarities in long-period variability. Some differences in timing, amplitude and resolution of certain features can be attributed to variations in age assignments. Others result from our more comprehensive data set and a reduction in bias attributable to PML modelling. PADM2M has an average axial dipole moment over 0-2 Ma of 5.3 x 1022 Am2 with a standard deviation of 1.5 x 1022 Am2. The Brunhes chron average (6.2 x 1022 Am2) is higher than for earlier epochs of Matuyama (4.8 x 1022 Am2), as seen in some previous studies. The power spectrum for our model agrees with previous estimates of the global palaeomagnetic power spectrum for frequencies up to about 102 Myr-1. We see no distinctive evidence in the power spectrum for orbital forcing of geodynamo behaviour.</t>
  </si>
  <si>
    <t>[Ziegler, L. B.; Constable, C. G.] Univ Calif San Diego, Scripps Inst Oceanog, Inst Geophys &amp; Planetary Phys, La Jolla, CA 92093 USA; [Johnson, C. L.] Univ British Columbia, Dept Earth &amp; Ocean Sci, Vancouver, BC V6T 1Z4, Canada</t>
  </si>
  <si>
    <t>University of California System; University of California San Diego; Scripps Institution of Oceanography; University of British Columbia</t>
  </si>
  <si>
    <t>Ziegler, LB (corresponding author), Univ Calif San Diego, Scripps Inst Oceanog, Inst Geophys &amp; Planetary Phys, 9500 Gilman Dr, La Jolla, CA 92093 USA.</t>
  </si>
  <si>
    <t>lziegler@ucsd.edu</t>
  </si>
  <si>
    <t>Johnson, Catherine L./AAZ-7295-2020; Constable, Catherine/F-7784-2010</t>
  </si>
  <si>
    <t>Constable, Catherine/0000-0003-4534-4977</t>
  </si>
  <si>
    <t>NSF [EAR-0809709]; NSERC; Directorate For Geosciences; Division Of Earth Sciences [0809709] Funding Source: National Science Foundation; Division Of Earth Sciences; Directorate For Geosciences [1013192] Funding Source: National Science Foundation</t>
  </si>
  <si>
    <t>NSF(National Science Foundation (NSF)); NSERC(Natural Sciences and Engineering Research Council of Canada (NSERC)); Directorate For Geosciences; Division Of Earth Sciences(National Science Foundation (NSF)NSF - Directorate for Geosciences (GEO)); Division Of Earth Sciences; Directorate For Geosciences(National Science Foundation (NSF)NSF - Directorate for Geosciences (GEO))</t>
  </si>
  <si>
    <t>We are grateful to Ivana Komunjer for code and helpful discussions regarding APD functions. Peter Spellucci provided the optimization subroutine donlp2 which was incorporated in the PML routine to calculate APD parameters. We thank Toshi Yamazaki and an anonymous reviewer for their constructive comments on the manuscript, which improved this paper. This work was supported under NSF grant EAR-0809709. CLJ acknowledges support from NSERC.</t>
  </si>
  <si>
    <t>10.1111/j.1365-246X.2010.04905.x</t>
  </si>
  <si>
    <t>721NV</t>
  </si>
  <si>
    <t>WOS:000287362500007</t>
  </si>
  <si>
    <t>Matallanas, J</t>
  </si>
  <si>
    <t>Matallanas, Jesus</t>
  </si>
  <si>
    <t>Description of two new species of Ophthalmolycus (Teleostei: Zoarcidae) from the southern Ocean and key to species of the genus</t>
  </si>
  <si>
    <t>taxonomy; eelpouts; Ophthalmolycus eastmani; Ophthalmolycus polylepis; new species; Ophthalmolycus key</t>
  </si>
  <si>
    <t>Two new species of zoarcid fish, Ophthalmolycus eastmani sp. nov., and Ophthalmolycus polylepis sp. nov. are described from specimens collected from the Bellingshausen Sea and Gerlache Strait, Southern Ocean, at depths of 1837 and 1056 m. Ophthalmolycus eastmani can be distinguished from its congeners by the following combination of characters: two posterior nasal pores; epidermal prickles on lips and snout; gill slit extending ventrally to the lower margin of the pectoral fin base; vertebrae asymmetrical 26 - 27 + 91 - 92 = 117 - 118; dorsal fin rays 111-113; dorsal fin origin associated with vertebra 6, with no free pterygiophores; pectoral fin rays 17-18; two postorbital pores; lateral line with ventral and mediolateral branches; scales extending anteriorly to just anterior to the anal fin origin; six branchiostegal rays; oral valve nearly reaching the anterior edge of vomer; palatine teeth in two rows anteriorly; 3-5 pseudobranch filaments; two well developed pyloric caeca; pelvic fin and vomerine teeth present. Ophthalmolycus polylepis can be distinguished from its congeners by the following combination of characters: two posterior nasal pores; epidermal prickles on lips; gill slit extending ventrally just to below mid-pectoral fin base; interorbital pore present; two postorbital pores; lateral line triple with ventral, mediolateral and dorsolateral branches; scales extending anteriorly to predorsal area, abdomen, pelvic fins base, and pectoral fins base and axil; vertebrae asymmetrical 22 + 76; dorsal fin origin associated with vertebra 5; pectoral fin rays 18; six branchiostegal rays; oral valve overlapping the anterior edge of vomer; two rows of palatine teeth anteriorly; two vestigial pyloric caeca and 2 pseudobranch filaments; pelvic fin and vomerine teeth present. A key to the species of Ophthalmolycus is provided.</t>
  </si>
  <si>
    <t>Univ Autonoma Barcelona, Fac Biociencias, Grp Biodiversidad, Dept Biol Anim Vegetal &amp; Ecol B, E-08193 Barcelona, Spain</t>
  </si>
  <si>
    <t>Autonomous University of Barcelona</t>
  </si>
  <si>
    <t>Matallanas, J (corresponding author), Univ Autonoma Barcelona, Fac Biociencias, Grp Biodiversidad, Dept Biol Anim Vegetal &amp; Ecol B, E-08193 Barcelona, Spain.</t>
  </si>
  <si>
    <t>Jesus.Matallanas@uab.es</t>
  </si>
  <si>
    <t>Spanish Antarctic Programme (CICYT); Ministerio de Ciencia e Innovacion, Spain [CTM2009-07583-E/ANT]</t>
  </si>
  <si>
    <t>Spanish Antarctic Programme (CICYT)(Consejo Interinstitucional de Ciencia y Tecnologia (CICYT)); Ministerio de Ciencia e Innovacion, Spain(Spanish Government)</t>
  </si>
  <si>
    <t>I thank the scientific team, the captain, crew and UTM technicians of the RV 'Hesperides' for their help during the BENTART-03 and BENTART-06 Cruises, on which the specimens were captured. Special thanks to Ignacio Olaso and Jose Castro 'Cordoba' for helping me onboard with the collection of all type specimens. I am also grateful to Carmen Benito for the X-rays, and Jordi Corbera for the illustrations. I thank my daughter Muriel for the English revision of the manuscript. The BENTART Cruises were supported by the Spanish Antarctic Programme (CICYT), and this study was supported by a personal grant from the Ministerio de Ciencia e Innovacion, Spain (CTM2009-07583-E/ANT).</t>
  </si>
  <si>
    <t>10.1017/S0025315410000615</t>
  </si>
  <si>
    <t>729HX</t>
  </si>
  <si>
    <t>WOS:000287940400030</t>
  </si>
  <si>
    <t>Denton, GH</t>
  </si>
  <si>
    <t>Denton, George H.</t>
  </si>
  <si>
    <t>PALAEOCLIMATE East Antarctic retreat</t>
  </si>
  <si>
    <t>ICE-SHEET; SEA-LEVEL; CONSTRAINTS</t>
  </si>
  <si>
    <t>[Denton, George H.] Univ Maine, Dept Earth Sci, Orono, ME 04469 USA; [Denton, George H.] Univ Maine, Climate Change Inst, Orono, ME 04469 USA</t>
  </si>
  <si>
    <t>Denton, GH (corresponding author), Univ Maine, Dept Earth Sci, Orono, ME 04469 USA.</t>
  </si>
  <si>
    <t>gdenton@maine.edu</t>
  </si>
  <si>
    <t>10.1038/ngeo1096</t>
  </si>
  <si>
    <t>727LU</t>
  </si>
  <si>
    <t>WOS:000287802300004</t>
  </si>
  <si>
    <t>Yu, Y; Li, HR; Zeng, YX; Chen, B</t>
  </si>
  <si>
    <t>Yu, Yong; Li, Hui-Rong; Zeng, Yin-Xin; Chen, Bo</t>
  </si>
  <si>
    <t>Bacillus beringensis sp nov., a psychrotolerant bacterium isolated from the Bering Sea</t>
  </si>
  <si>
    <t>ANTONIE VAN LEEUWENHOEK INTERNATIONAL JOURNAL OF GENERAL AND MOLECULAR MICROBIOLOGY</t>
  </si>
  <si>
    <t>Bacillus beringensis sp nov.; Bacillus; Psychrotolerant bacteria; Bering sea</t>
  </si>
  <si>
    <t>EMENDED DESCRIPTION; DNA HYBRIDIZATION; GLOBISPORUS; CLASSIFICATION; IDENTIFICATION; STRAINS</t>
  </si>
  <si>
    <t>Psychrotolerant Bacillus-like strains BR035(T) and BR011 were isolated from seawater of the Bering Sea and were characterized by means of a polyphasic approach. Phylogenetic analysis based on 16S rRNA gene sequences revealed that these strains were related to the members of the genus Bacillus and had the highest 16S rRNA gene sequence similarity with Bacillus korlensis ZLC-26(T). DNA-DNA hybridization experiments confirmed that strains BR035(T) and BR011 belonged to the same species and were distinct from their closest relatives. The cells were Gram-positive, rods, motile, spore-forming and psychrotolerant. The temperature range for growth was 4-42A degrees C. The main respiratory quinone was MK-7. The polar lipids were diphosphatidylglycerol, phosphatidylglycerol, phosphatidylethanolamine, an unknown aminolipid and two unknown phospholipids. The major cellular fatty acids were iso-C15:0, anteiso-C15:0, iso-C14:0 and C16:1 omega 7c alcohol. The diagnostic diamino acid in the cell-wall peptidoglycan was meso-diaminopimelic acid. The genomic DNA G + C content was 37.6-37.8 mol%. On the basis of the phenotypic characteristics, phylogenetic analysis and DNA-DNA relatedness data, a novel species Bacillus beringensis is proposed and the type strain is BR035(T) (=CGMCC 1.9126(T)=DSM 22571(T)).</t>
  </si>
  <si>
    <t>[Yu, Yong; Li, Hui-Rong; Zeng, Yin-Xin; Chen, Bo] Polar Res Inst China, SOA Key Lab Polar Sci, Shanghai 200136, Peoples R China</t>
  </si>
  <si>
    <t>Chinese Arctic and Antarctic Administration; IPY Chinese Program; National Key Technology R&amp;D Program of China [2006BAB18B07]; National Natural Science Foundation of China [30500001]; National Infrastructure of Natural Resources for Science and Technology Program of China [2005DKA21209]</t>
  </si>
  <si>
    <t>Chinese Arctic and Antarctic Administration; IPY Chinese Program; National Key Technology R&amp;D Program of China(National Key Technology R&amp;D Program); National Natural Science Foundation of China(National Natural Science Foundation of China (NSFC)); National Infrastructure of Natural Resources for Science and Technology Program of China</t>
  </si>
  <si>
    <t>The author thank Dr. Reuben P. Bell from University of New England College of Osteopathic Medicine for Latin review and thank the Identification Service of the DSMZ, especially Dr. Peter Schumann, Dr. Susanne Verbarg and Dr. Brian J. Tindall for the analyzes of menaquinone, polar lipids and cell wall peptidoglycan, and also thank the Chinese Arctic and Antarctic Administration that supports the field work of this research. This work was supported by IPY 2007-2008 Chinese Program, the National Key Technology R&amp;D Program of China (grant 2006BAB18B07), the National Natural Science Foundation of China (grant 30500001) and the National Infrastructure of Natural Resources for Science and Technology Program of China (grant 2005DKA21209).</t>
  </si>
  <si>
    <t>0003-6072</t>
  </si>
  <si>
    <t>1572-9699</t>
  </si>
  <si>
    <t>ANTON LEEUW INT J G</t>
  </si>
  <si>
    <t>Antonie Van Leeuwenhoek</t>
  </si>
  <si>
    <t>10.1007/s10482-010-9523-4</t>
  </si>
  <si>
    <t>722QU</t>
  </si>
  <si>
    <t>WOS:000287450200012</t>
  </si>
  <si>
    <t>Stewart, MA; Lonergan, L</t>
  </si>
  <si>
    <t>Stewart, Margaret A.; Lonergan, Lidia</t>
  </si>
  <si>
    <t>Seven glacial cycles in the middle-late Pleistocene of northwest Europe: Geomorphic evidence from buried tunnel valleys</t>
  </si>
  <si>
    <t>LATE WEICHSELIAN GLACIATION; GLOBAL CLIMATE-CHANGE; SEA BASIN; ICE-SHEET; HISTORY; CHRONOLOGY; MORPHOLOGY; MAXIMUM; DENMARK; RECORDS</t>
  </si>
  <si>
    <t>The deep-ocean marine isotope record and the Antarctic and Greenland ice caps record numerous glacial and interglacial cycles since the middle Pleistocene, and yet evidence for similar numbers of ice-sheet advances over the continent and shallow shelves of northwest Europe is absent. Here, we document seven generations of regionally correlatable subglacial tunnel valleys that record the geomorphic imprint of ice sheets traversing the North Sea basin between ca. 500 and 40 ka, consistent with that predicted by proxy records of glacial and interglacial climate change. Over 180 subglacial tunnel valleys that incise into Pleistocene sediments in the North Sea basin were mapped over similar to 60,000 km(2) of three-dimensional seismic-reflection data. Using a subset of these data, we identified seven separate episodes of subglacial erosion that can be correlated regionally in the UK sector of the central North Sea. The characteristics of the valley morphologies, orientations, and infill stratigraphy indicate that each set of tunnel valleys formed during a separate ice-sheet advance and retreat cycle. Stratigraphic data suggest that the tunnel valleys formed significantly later than the Brunhes-Matuyama reversal event at 780 ka and before the Last Glacial Maximum (marine isotope stage [MIS] 2; 21 ka). These results imply a more complicated glacial history for northwest Europe and more glaciations than the three-glaciation model traditionally interpreted from the terrestrial record for the past 500 k.y. Our data provide the most complete documentary evidence for repeated advance and retreat of the northwest European ice sheets since the middle Pleistocene, and for the first time indicate that terrestrial ice-sheet advances in the North Sea can be matched in number with the cold events recorded in oceanic and/or ice-core proxies of climate change over the past 500 k.y.</t>
  </si>
  <si>
    <t>[Stewart, Margaret A.; Lonergan, Lidia] Univ London Imperial Coll Sci Technol &amp; Med, Dept Earth Sci &amp; Engn, London SW7 1AZ, England</t>
  </si>
  <si>
    <t>Stewart, MA (corresponding author), Neftex Petr Consultants, 97 Milton Pk, Abingdon OX14 4RY, Oxon, England.</t>
  </si>
  <si>
    <t>l.lonergan@imperial.ac.uk</t>
  </si>
  <si>
    <t>Lonergan, Lidia/JMC-5636-2023</t>
  </si>
  <si>
    <t>Lonergan, Lidia/0000-0001-9858-3029</t>
  </si>
  <si>
    <t>Imperial College</t>
  </si>
  <si>
    <t>The seismic data sets were provided by PGS Exploration Ltd. (MegaSurvey), Fina Exploration, and Hess Ltd. We thank H. Williams and K. Davidson for support in providing data, G.J Hampson, J. Scourse, J. Collier, A. Graham, and P. A. Allen for their help, and J. Ehlers and M. Huuse for helpful reviews. Stewart was funded by an Imperial College bursary. Software was provided by Landmark Graphics.</t>
  </si>
  <si>
    <t>10.1130/G31631.1</t>
  </si>
  <si>
    <t>721SI</t>
  </si>
  <si>
    <t>WOS:000287374900025</t>
  </si>
  <si>
    <t>Laluraj, CM; Thamban, M; Naik, SS; Redkar, BL; Chaturvedi, A; Ravindra, R</t>
  </si>
  <si>
    <t>Laluraj, C. M.; Thamban, M.; Naik, S. S.; Redkar, B. L.; Chaturvedi, A.; Ravindra, R.</t>
  </si>
  <si>
    <t>Nitrate records of a shallow ice core from East Antarctica: Atmospheric processes, preservation and climatic implications</t>
  </si>
  <si>
    <t>East Antarctica; ion induced nucleation; nitrate; oxygen isotope; solar activity; sulphate</t>
  </si>
  <si>
    <t>DRONNING MAUD LAND; POLAR ICE; MIDDLE ATMOSPHERE; SOLAR; NITROGEN; BE-10; FIRN; ION; STRATOSPHERE; VARIABILITY</t>
  </si>
  <si>
    <t>High-resolution records of nitrate (NO3-), oxygen isotope (delta O-18) and non-sea salt sulphate (nssSO(4)(2-)) were studied using an ice core collected from central Dronning Maud Land in East Antarctica to identify the influence of environmental variability on accumulation of NO3- over the past 450 years. The results confirmed that multiple processes were responsible for the production and preservation of NO3- in Antarctic ice. Correlation between NO3- and nssSO(4)(2-) peaks revealed that sulphate aerosols released during major volcanic eruptions might have activated the production of nitric acid, which was scavenged by ion-induced nucleation in polar ice sheets. The correlation between the nitrate and delta O-18 records further suggest that enhanced NO3- preservation in the ice occurred during periods of lower atmospheric temperature. Major shifts in the NO3- record of the ice core presently studied and its comparison with Be-10 record from a core collected from South Pole suggest that a reduction in solar activity influenced the NO3- accumulation in Antarctica through enhanced production of odd nitrogen species.</t>
  </si>
  <si>
    <t>[Laluraj, C. M.; Thamban, M.; Redkar, B. L.; Ravindra, R.] Natl Ctr Antarctic &amp; Ocean Res, Vasco Da Gama, Goa, India</t>
  </si>
  <si>
    <t>Laluraj, CM (corresponding author), Natl Ctr Antarctic &amp; Ocean Res, Vasco Da Gama, Goa, India.</t>
  </si>
  <si>
    <t>lalucm@ncaor.org</t>
  </si>
  <si>
    <t>Naik, Sushant/B-3512-2011</t>
  </si>
  <si>
    <t>Ministry of Earth Sciences, Government of India</t>
  </si>
  <si>
    <t>Ministry of Earth Sciences, Government of India(Ministry of Earth Science (MoES), Government of India)</t>
  </si>
  <si>
    <t>We thank the Ministry of Earth Sciences, Government of India for the financial support.</t>
  </si>
  <si>
    <t>10.1177/0959683610374886</t>
  </si>
  <si>
    <t>725MI</t>
  </si>
  <si>
    <t>WOS:000287648400013</t>
  </si>
  <si>
    <t>Aketagawa, M; Azuma, N; Takata, M; Sugawara, R; Ito, R; Anno, K; Kogure, T; Ohba, Y</t>
  </si>
  <si>
    <t>Aketagawa, Masato; Azuma, Nobuhiko; Takata, Morimasa; Sugawara, Ryota; Ito, Reo; Anno, Kazuki; Kogure, Takahiro; Ohba, Yasuharu</t>
  </si>
  <si>
    <t>Ultraslow strain rate measurement system for ice using a modified phase modulation homodyne interferometer</t>
  </si>
  <si>
    <t>MEASUREMENT SCIENCE AND TECHNOLOGY</t>
  </si>
  <si>
    <t>ice deformation; strain rate; interferometer; phase modulation</t>
  </si>
  <si>
    <t>SCANNING TUNNELING MICROSCOPE; POLYCRYSTALLINE ICE; LATTICE; CALIBRATION; CREEP</t>
  </si>
  <si>
    <t>The analysis of the flow behavior of the Antarctic ice sheet provides information on past climate changes of Earth. To understand the ice sheet flow behavior, the ice creep strain rate measurements with various stresses are important. In this study, an ice creep strain rate measurement system with an uncertainty of order less than 10(-10) s(-1) and a minimum measurement time of 10 min is developed. The ice specimen of interest is set in a low-constant-temperature room and cell, with a set-point temperature and maximum stability of -30 to -10 degrees C and +/- 20 mK or less, respectively. A modified phase modulation homodyne interferometer, the supporting material of which is ultralow-thermal-expansion glass, is combined with the system to measure the ice deformation with the resolution of nanometer scale or less. In this paper, the operational principle, instrumentation and experimental results are discussed.</t>
  </si>
  <si>
    <t>[Aketagawa, Masato; Azuma, Nobuhiko; Takata, Morimasa; Sugawara, Ryota; Ito, Reo; Anno, Kazuki; Kogure, Takahiro; Ohba, Yasuharu] Nagaoka Univ Technol, Dept Mech Engn, Nagaoka, Niigata 9402188, Japan</t>
  </si>
  <si>
    <t>Nagaoka University of Technology</t>
  </si>
  <si>
    <t>Aketagawa, M (corresponding author), Nagaoka Univ Technol, Dept Mech Engn, Nagaoka, Niigata 9402188, Japan.</t>
  </si>
  <si>
    <t>masatoaa@vos.nagaokaut.ac.jp</t>
  </si>
  <si>
    <t>Japanese Society for the Promotion of Science (JSPS)</t>
  </si>
  <si>
    <t>Japanese Society for the Promotion of Science (JSPS)(Ministry of Education, Culture, Sports, Science and Technology, Japan (MEXT)Japan Society for the Promotion of Science)</t>
  </si>
  <si>
    <t>Financial support from the Scientific Research Fund of the Japanese Society for the Promotion of Science (JSPS) is gratefully acknowledged.</t>
  </si>
  <si>
    <t>0957-0233</t>
  </si>
  <si>
    <t>1361-6501</t>
  </si>
  <si>
    <t>MEAS SCI TECHNOL</t>
  </si>
  <si>
    <t>Meas. Sci. Technol.</t>
  </si>
  <si>
    <t>10.1088/0957-0233/22/3/035702</t>
  </si>
  <si>
    <t>Engineering, Multidisciplinary; Instruments &amp; Instrumentation</t>
  </si>
  <si>
    <t>Engineering; Instruments &amp; Instrumentation</t>
  </si>
  <si>
    <t>721MA</t>
  </si>
  <si>
    <t>WOS:000287357700025</t>
  </si>
  <si>
    <t>Rastrick, SPS; Whiteley, NM</t>
  </si>
  <si>
    <t>Rastrick, S. P. S.; Whiteley, N. M.</t>
  </si>
  <si>
    <t>Congeneric Amphipods Show Differing Abilities to Maintain Metabolic Rates with Latitude</t>
  </si>
  <si>
    <t>CEPHALOPOD SEPIA-OFFICINALIS; LUGWORM ARENICOLA-MARINA; COLD ADAPTATION; THERMAL TOLERANCE; OXYGEN-CONSUMPTION; SEASONAL ACCLIMATIZATION; TEMPERATURE ADAPTATION; VERTICAL ZONATION; PROTEIN-SYNTHESIS; ENERGY BUDGETS</t>
  </si>
  <si>
    <t>Metabolic variability across latitudinal populations of gammarid amphipods was examined in the summer by determining whole-animal rates of oxygen uptake ((M) over dotO(2)) in four species with overlapping distribution patterns in the northeast Atlantic and Arctic oceans. Comparisons were made between an arctic/boreal species, Gammarus setosus, a subarctic/boreal species, Gammarus oceanicus, a boreal/temperate species, Gammarus duebeni duebeni, and a temperate species, Gammarus locusta. Measurements included acclimatized (M) over dotO(2) in all four species and (M) over dotO(2) after acclimation to 10 degrees C in two populations of G. oceanicus and G. locusta. In G. oceanicus, acclimatized (M) over dotO(2) declined with. latitude (13 degrees to 5 degrees C) so that metabolic rates were lower in subarctic (79 degrees N) relative to temperate (58 degrees N) populations and similar to the values in G. setosus at 79 degrees N. Consequently, there was no evidence for metabolic rate compensation in the colder-water, high-latitude populations in the summer. Further examination of the specific effects of temperature revealed similarities in (M) over dotO(2) between populations of G. oceanicus acclimated. at 10 degrees C and similarities in thermal sensitivity (Q(10)) and activation energies (E-a) on exposure to acute temperature change. In sharp contrast, there was no variation in summer acclimatized (M) over dotO(2) with latitude in either G. d. duebeni between 48 degrees and 70 degrees N or G. locusta between 38 degrees and 53 degrees N. Instead, the two species maintained relatively high metabolic rates across latitudes, which were associated in G. locusta with differences in (M) over dotO(2) and with Q(10) and E-a values in amphipods acclimated at 10 degrees C. The ability to compensate metabolic rate with latitude in the summer suggests greater metabolic flexibility, which predicts a greater capacity for survival during climate change of the temperate/boreal over the subarctic and arctic gammarid species.</t>
  </si>
  <si>
    <t>[Rastrick, S. P. S.; Whiteley, N. M.] Bangor Univ, Coll Nat Sci, Sch Biol Sci, Bangor LL57 2UW, Gwynedd, Wales</t>
  </si>
  <si>
    <t>Bangor University</t>
  </si>
  <si>
    <t>Whiteley, NM (corresponding author), Bangor Univ, Coll Nat Sci, Sch Biol Sci, Bangor LL57 2UW, Gwynedd, Wales.</t>
  </si>
  <si>
    <t>n.m.whiteley@bangor.ac.uk</t>
  </si>
  <si>
    <t>Rastrick, Sam P.S./C-3027-2013</t>
  </si>
  <si>
    <t>NERC</t>
  </si>
  <si>
    <t>NERC(UK Research &amp; Innovation (UKRI)Natural Environment Research Council (NERC))</t>
  </si>
  <si>
    <t>We wish to thank Dr. Maria Helena Costa from Universidade Nova de Lisboa, Portugal, for her invaluable support in the collection of Gammarus locusta from Troia and in the provision of laboratory space. We also acknowledge the Natural Environment Research Council (NERC) United Kingdom for the use of their arctic station in Ny-Alesund and Nick Cox from the British Antarctic Survey for his support during our stay in July 2007. S.P.S.R. was supported by a NERC studentship.</t>
  </si>
  <si>
    <t>1537-5293</t>
  </si>
  <si>
    <t>10.1086/658857</t>
  </si>
  <si>
    <t>725MK</t>
  </si>
  <si>
    <t>WOS:000287648600004</t>
  </si>
  <si>
    <t>Munk, W</t>
  </si>
  <si>
    <t>Munk, Walter</t>
  </si>
  <si>
    <t>The sound of climate change</t>
  </si>
  <si>
    <t>BERMUDA; AUSTRALIA</t>
  </si>
  <si>
    <t>It came as a great shock in the 1960s that the oceans, like the atmosphere, have an active weather (i.e. ocean storms are called eddies). The traditional expedition mode of individual research vessels making independent measurements was no longer adequate. Ocean Acoustic Tomography was developed in direct response to the 'eddie revolution'. Sound travels faster in warmer water; acoustic waves transmitted from ship to ship give information about the temperature and currents in the intervening waters. The transmission scale has widened over the years from 100 to 1000 to 10 000 km, approaching the antipodal scale of Ewing's 1960 transmission from Perth (Australia) to Bermuda. In 1991 we successfully transmitted from a source ship on Heard Island in the Indian Ocean to receiver ships in the north and south Atlantic and Pacific Oceans. Brian Dushaw is planning to repeat Ewing's experiment; he expects a reduction in travel time of approximately 10 s as confirmation of global ocean warming over the last 50 yr. Sea level rose 15 cm in the 20th century. The rate has since doubled; values up to 2 m by 2100 are now being quoted. To make accurate predictions we must understand the melting processes of continental ice sheets. Floating ice sheets from Antarctic and Greenland glaciers cover huge ocean caverns that have not to date been accessible to observation. We propose probing these caverns with sound waves to study the ocean dynamics at the underside of the floating ice sheets: a daring venture.</t>
  </si>
  <si>
    <t>Univ Calif San Diego, Scripps Inst Oceanog, La Jolla, CA 92093 USA</t>
  </si>
  <si>
    <t>Munk, W (corresponding author), Univ Calif San Diego, Scripps Inst Oceanog, La Jolla, CA 92093 USA.</t>
  </si>
  <si>
    <t>wmunk@ucsd.edu</t>
  </si>
  <si>
    <t>10.1111/j.1600-0870.2010.00494.x</t>
  </si>
  <si>
    <t>719IN</t>
  </si>
  <si>
    <t>WOS:000287198500002</t>
  </si>
  <si>
    <t>González, PM; Puntarulo, S</t>
  </si>
  <si>
    <t>Mariela Gonzalez, Paula; Puntarulo, Susana</t>
  </si>
  <si>
    <t>Iron and nitrosative metabolism in the Antarctic mollusc Laternula elliptica</t>
  </si>
  <si>
    <t>COMPARATIVE BIOCHEMISTRY AND PHYSIOLOGY C-TOXICOLOGY &amp; PHARMACOLOGY</t>
  </si>
  <si>
    <t>Laternula elliptica; Fe; Ferritin; Labile Fe pool; Nitric oxide; Lipid peroxidation</t>
  </si>
  <si>
    <t>NITRIC-OXIDE; LABILE IRON; MYA-ARENARIA; FERRITIN; POOL; HEMOLYMPH; CELLS; CLAM; NO; QUANTITATION</t>
  </si>
  <si>
    <t>The objective of this work was to study Fe distribution, and oxidative and nitrosative metabolism in Laternula elliptica for physiological analysis and interspecific comparisons. Lipid peroxidation, superoxide dismutase and catalase activity and total Fe content were estimated in the digestive glands (DG) of L elliptica. The labile Fe pool (LIP) represents the amount of cellular Fe responsible for catalyzing radical-dependent reactions. LIP assessed by the calcein assay, represents 3.5% of the total Fe in L elliptica. Experimental isolation of ferritin (Ft) was performed. Subunit analyses of the protein by SDS-polyacrilamide gel electrophoresis indicated that the protein was composed of 20.6 kDa protein subunits, consistent with the horse spleen Ft and the molecular weight markers, however, a higher molecular mass subunit could appear. The identity of the protein was confirmed by Western blot analysis. The nitrate + nitrite content was 73 +/- 7 pmol/mg fresh mass (FW). The nitric oxide (NO) content in DG homogenates, assessed by electronic paramagnetic resonance (EPR) spin trapping measurements using the NO trap sodium-N-methyl-o-glucamine dithiocarbamate-Fe at room temperature, was 30 +/- 2 pmol/mg FW. Nitric oxide synthase-like activity (1.50 +/- 0.09 pmol/mg FW min) was assessed by measuring NO production by EPR in the presence of L-arginine (L-A) and NADPH. This activity was significantly inhibited by L-A analogs such as N omega-nitro-L-arginine methyl ester hydrochloride (-77%) and Nw-nitro-L-arginine (-62%), or by the lack of added L-A (-55%). The data presented here documented the physiological presence of labile Fe. Ft and highly reactive nitrogen species, and are the first evidence that support the hypothesis that NO being generated in L elliptica might contribute to restrict oxidative damage by a close link with Fe metabolism. (C) 2010 Elsevier Inc. All rights reserved.</t>
  </si>
  <si>
    <t>[Mariela Gonzalez, Paula; Puntarulo, Susana] Univ Buenos Aires, Sch Pharm &amp; Biochem, Phys Chem PRALIB, RA-1113 Buenos Aires, DF, Argentina</t>
  </si>
  <si>
    <t>Puntarulo, S (corresponding author), Fac Farm &amp; Bioquim, Junin 956,C1113AAD, Buenos Aires, DF, Argentina.</t>
  </si>
  <si>
    <t>susanap@ffyb.uba.ar</t>
  </si>
  <si>
    <t>Gonzalez, Paula LM/IAR-4710-2023</t>
  </si>
  <si>
    <t>Gonzalez, Paula LM/0000-0003-0154-0087; , Paula/0000-0003-0135-2561</t>
  </si>
  <si>
    <t>University of Buenos Aires [B105]; CONICET [PIP 1171]</t>
  </si>
  <si>
    <t>University of Buenos Aires(University of Buenos Aires); CONICET(Consejo Nacional de Investigaciones Cientificas y Tecnicas (CONICET))</t>
  </si>
  <si>
    <t>This study was supported by grants from the University of Buenos Aires (B105), and CONICET (PIP 1171). S.P. is a career investigator from CONICET.</t>
  </si>
  <si>
    <t>1532-0456</t>
  </si>
  <si>
    <t>1878-1659</t>
  </si>
  <si>
    <t>COMP BIOCHEM PHYS C</t>
  </si>
  <si>
    <t>Comp. Biochem. Physiol. C-Toxicol. Pharmacol.</t>
  </si>
  <si>
    <t>10.1016/j.cbpc.2010.11.003</t>
  </si>
  <si>
    <t>Biochemistry &amp; Molecular Biology; Endocrinology &amp; Metabolism; Toxicology; Zoology</t>
  </si>
  <si>
    <t>715DW</t>
  </si>
  <si>
    <t>WOS:000286861700006</t>
  </si>
  <si>
    <t>Cooper, AF; Maas, R; Scott, JM; Barber, AJW</t>
  </si>
  <si>
    <t>Cooper, Alan F.; Maas, Roland; Scott, James M.; Barber, Anton J. W.</t>
  </si>
  <si>
    <t>Dating of volcanism and sedimentation in the Skelton Group, Transantarctic Mountains: Implications for the Rodinia-Gondwana transition in southern Victoria Land, Antarctica</t>
  </si>
  <si>
    <t>DETRITAL-ZIRCON AGES; U-PB ZIRCON; DRY VALLEYS AREA; TRACE-ELEMENT; GLACIER AREA; EAST ANTARCTICA; KOETTLITZ GROUP; PASSIVE-MARGIN; ROSS OROGEN; DISCRIMINATION DIAGRAMS</t>
  </si>
  <si>
    <t>The Ross orogen in southern Victoria Land, Antarctica, is composed of Skelton Group metasedimentary rocks and varied plutons of the Granite Harbor intrusives. In the Baronick Glacier area, metasediments are dominated by thick sequences of coarse conglomerate, interbedded with pisolitic limestones. Clasts within metaconglomerates are predominantly volcanic, ranging in composition from basanite to rhyolite. Baronick basaltic clast compositions are mildly alkalic and ocean-island basalt-like, compatible with eruption in a continental-margin rift environment. Sr-Nd isotope ratios suggest rhyolites and quartz-trachytes were produced by assimilation and fractional crystallization mechanisms. Two rhyolites yielded U-Pb zircon ages determined by laser ablation-inductively coupled plasma-mass spectrometry (LA-ICP-MS) of 650.1 +/- 4.0 Ma and 648.5 +/- 3.2 Ma (both 2 sigma). Studies of southern Victoria Land Skelton Group metasediments indicate that, although dominated by Grenville-aged detrital zircons, they contain an important component dated between 630 and 680 Ma, overlapping the age of volcanism in both the Baronick Glacier and central Transantarctic Mountain areas. The distribution of 650 Ma, rift-related volcanism in the southern Victoria Land segment of the Ross orogen, and the absence of significant older, but post-Grenville, extension-related zircon populations, is interpreted to reflect initiation of Rodinia fragmentation on the Antarctic margin at this time. It is proposed that rifting along the paleo-Pacific margin was diachronous, with the Antarctic segment of the rift opening substantially earlier than in Australia. Based on the dates of subduction-related calc-alkaline plutons formed during the Ross and Delamerian orogenies, the paleo-Pacific Ocean in Antarctica may also have closed earlier than in Australia, effectively defining the time of Gondwana assembly.</t>
  </si>
  <si>
    <t>[Cooper, Alan F.; Scott, James M.; Barber, Anton J. W.] Univ Otago, Dept Geol, Dunedin 9054, New Zealand; [Maas, Roland] Univ Melbourne, Sch Earth Sci, Melbourne, Vic 3010, Australia</t>
  </si>
  <si>
    <t>University of Otago; University of Melbourne; Melbourne Bioinformatics</t>
  </si>
  <si>
    <t>Cooper, AF (corresponding author), Univ Otago, Dept Geol, POB 56, Dunedin 9054, New Zealand.</t>
  </si>
  <si>
    <t>alan.cooper@stonebow.otago.ac.nz</t>
  </si>
  <si>
    <t>Scott, James/E-1908-2017</t>
  </si>
  <si>
    <t>Scott, James/0000-0001-5185-6261</t>
  </si>
  <si>
    <t>University of Otago Research Committee</t>
  </si>
  <si>
    <t>A.F.C. wishes to thank Antarctica New Zealand, which has provided logistic support over many field seasons in southern Victoria Land. Additional analytical expenses have been largely defrayed by grants from the University of Otago Research Committee. LA-ICP-MS analysis was completed at the Research School of Earth Sciences, Australian National University, Australia, where we thank Professor Ian Campbell and Dr. Charlotte Allan for access to facilities and Dr. Mike Palin for assistance with analysis. Assistance with drafting by Kay Swann, XRF analysis by Damian Walls, and thin section preparation by Brent Pooley is gratefully acknowledged. The manuscript has benefited from the institutional review of Dave Craw, and the Bulletin reviews of John Goodge, Nicholas Direen, and Steve Boger. The journal reviewers, in particular, are thanked for bringing critical Australian literature to our attention and for constructive criticism that has led to significant improvement of the paper. Finally grateful thanks to Nancy Riggs (Editor) and Christine Siddoway (Associate Editor) for their encouragement and guidance.</t>
  </si>
  <si>
    <t>10.1130/B30237.1</t>
  </si>
  <si>
    <t>712KJ</t>
  </si>
  <si>
    <t>WOS:000286665300017</t>
  </si>
  <si>
    <t>Tota, B; Angelone, T; Mancardi, D; Cerra, MC</t>
  </si>
  <si>
    <t>Tota, Bruno; Angelone, Tommaso; Mancardi, Daniele; Cerra, Maria Carmela</t>
  </si>
  <si>
    <t>Hypoxia and Anoxia Tolerance of Vertebrate Hearts: An Evolutionary Perspective</t>
  </si>
  <si>
    <t>ANTIOXIDANTS &amp; REDOX SIGNALING</t>
  </si>
  <si>
    <t>ISCHEMIA-REPERFUSION INJURY; K-ATP CHANNELS; HYDROGEN-SULFIDE; NITRIC-OXIDE; SUSPENDED ANIMATION; IN-VIVO; CARDIOVASCULAR FUNCTION; CHIONODRACO-HAMATUS; GENE-EXPRESSION; OXYGEN SENSOR</t>
  </si>
  <si>
    <t>Extreme changes in environmental oxygen (O-2) is a constant issue that ecthotherm vertebrates have to deal with, whereas for endotherms severe hypoxia and reoxigenation are usually related to a pathological state. The physiological mechanisms of hypoxia tolerance in echtotherms are based on biochemical evolutionary adaptations and may serve in understanding endogenous phenomena of protection against diminished O-2 availability in the heart. In this review, we will, therefore, describe different species of fish, amphibian, and reptile that are well-known examples of cardiac tolerance to O-2 deficiency. We will then focus on a subset of Antarctic fishes which have lost physiological transporters of O-2 such as hemoglobin and myoglobin (Mb) and that have reached a surprising adaptation to this extreme environment. Moreover, we will concentrate on the cardio-protective effects of the interaction between Mb and nitric oxide with particular emphasis on the nitrite-reductase function of Mb. Finally, the role of a recently described gasotransmitter, the free diffusible hydrogen sulfide, will be briefly discussed in relation to hypoxia. This evolutionary and comparative perspective may provide a useful and heuristic stimulus for medically oriented research aimed at elucidating the environmental and genetic risk factors underlying the vulnerability of the human heart. Antioxid. Redox Signal. 14, 851-862.</t>
  </si>
  <si>
    <t>[Tota, Bruno; Angelone, Tommaso; Cerra, Maria Carmela] Univ Calabria, Dept Cell Biol, Lab Cardiovasc Physiol, I-87030 Arcavacata di Rende, CS, Italy; [Cerra, Maria Carmela] Univ Calabria, Dept Pharmaco Biol, Lab Cardiovasc Physiol, I-87030 Arcavacata di Rende, CS, Italy; [Mancardi, Daniele] Univ Turin, Dept Clin &amp; Biol Sci, Turin, Italy</t>
  </si>
  <si>
    <t>University of Calabria; University of Calabria; University of Turin</t>
  </si>
  <si>
    <t>Tota, B (corresponding author), Univ Calabria, Dept Cell Biol, Lab Cardiovasc Physiol, I-87030 Arcavacata di Rende, CS, Italy.</t>
  </si>
  <si>
    <t>tota@unical.it; cerramc@unical.it</t>
  </si>
  <si>
    <t>Angelone, Tommaso/AAM-1230-2020</t>
  </si>
  <si>
    <t>Angelone, Tommaso/0000-0001-7797-7862; Cerra, Maria Carmela/0000-0002-2091-928X; MANCARDI, Daniele/0000-0003-3809-6047</t>
  </si>
  <si>
    <t>1523-0864</t>
  </si>
  <si>
    <t>1557-7716</t>
  </si>
  <si>
    <t>ANTIOXID REDOX SIGN</t>
  </si>
  <si>
    <t>Antioxid. Redox Signal.</t>
  </si>
  <si>
    <t>U386</t>
  </si>
  <si>
    <t>10.1089/ars.2010.3310</t>
  </si>
  <si>
    <t>713KO</t>
  </si>
  <si>
    <t>WOS:000286737100011</t>
  </si>
  <si>
    <t>Liu, N; Zhang, ZH; Chen, HX; Lin, LN</t>
  </si>
  <si>
    <t>Liu Na; Zhang Zhanhai; Chen Hongxia; Lin Lina</t>
  </si>
  <si>
    <t>Western Indian Ocean SST signal and anomalous Antarctic sea-ice concentration variation</t>
  </si>
  <si>
    <t>ACTA OCEANOLOGICA SINICA</t>
  </si>
  <si>
    <t>Antarctic sea-ice; western Indian Ocean; sea surface temperature</t>
  </si>
  <si>
    <t>SOUTHERN-OSCILLATION; VARIABILITY; CLIMATE; ENSO</t>
  </si>
  <si>
    <t>Teleconnection between El Nino/La Nina-Southern Oscillation (ENSO) phenomenon and anomalous Antarctic sea-ice variation has been studied extensively. In this study, impacts of sea surface temperature in the Indian Ocean on Antarctic sea-ice change were investigated during Janaury 1979 and October 2009. Based on previous research results, sea areas in the western Indian Ocean (WIO; 50 degrees-70 degrees E, 10 degrees-20 degrees S) are selected for the resreach. All variables showed 1-10 year interannual tirnescales by Fast Founer Tranaform (FFT) transformation. Results show that i) strong WIO signals emerged in the anomalous changes of Antarctic sea-ice concentration; ii) significant positive correlations occurred around the Antarctic Peninsula, Ross Sea and its northwest peripheral sea region iii) negative correlation occurred in the Indian Ocean section of the Southern Ocean, Amundsen Seas, and the sea area over northern Ross Sea; and iv) the atmospheric anomalies associated with the WIO including wind, meridional heat flux, and surface air temperature over southern high latitudes were the possible factors for the teleconnection.</t>
  </si>
  <si>
    <t>[Liu Na; Chen Hongxia; Lin Lina] State Ocean Adm, Inst Oceanog 1, Qingdao 266061, Peoples R China; [Zhang Zhanhai] Polar Res Inst China, Key Lab Polar Sci, Shanghai 200136, Peoples R China</t>
  </si>
  <si>
    <t>First Institute of Oceanography, Ministry of Natural Resources; Polar Research Institute of China</t>
  </si>
  <si>
    <t>Liu, N (corresponding author), State Ocean Adm, Inst Oceanog 1, Qingdao 266061, Peoples R China.</t>
  </si>
  <si>
    <t>liun@fio.org.cn</t>
  </si>
  <si>
    <t>National Basic Research Program of China (973 Program) [2010CB950301]; National Nature Science Foundation of China [40706015]; Special Fund Basic Research and Operating Expenses [2010T01]; National Key Technology R&amp;D Program of China [2011BAC03B02]</t>
  </si>
  <si>
    <t>National Basic Research Program of China (973 Program)(National Basic Research Program of China); National Nature Science Foundation of China(National Natural Science Foundation of China (NSFC)); Special Fund Basic Research and Operating Expenses; National Key Technology R&amp;D Program of China(National Key Technology R&amp;D Program)</t>
  </si>
  <si>
    <t>Foundation item: The National Basic Research Program of China (973 Program) under contract No. 2010CB950301, the National Nature Science Foundation of China (40706015), Special Fund Basic Research and Operating Expenses under contract No. 2010T01, National Key Technology R&amp;D Program of China under contract No.2011BAC03B02.</t>
  </si>
  <si>
    <t>0253-505X</t>
  </si>
  <si>
    <t>1869-1099</t>
  </si>
  <si>
    <t>ACTA OCEANOL SIN</t>
  </si>
  <si>
    <t>Acta Oceanol. Sin.</t>
  </si>
  <si>
    <t>10.1007/s13131-011-0100-0</t>
  </si>
  <si>
    <t>785JG</t>
  </si>
  <si>
    <t>WOS:000292224700002</t>
  </si>
  <si>
    <t>Hurdle, C</t>
  </si>
  <si>
    <t>Hurdle, Crystal</t>
  </si>
  <si>
    <t>Poems for the Advisory Committee on Antarctic Names</t>
  </si>
  <si>
    <t>CANADIAN LITERATURE</t>
  </si>
  <si>
    <t>[Hurdle, Crystal] Capilano Univ, N Vancouver, BC, Canada</t>
  </si>
  <si>
    <t>Capilano University</t>
  </si>
  <si>
    <t>Hurdle, C (corresponding author), Capilano Univ, N Vancouver, BC, Canada.</t>
  </si>
  <si>
    <t>UNIV BRITISH COLUMBIA</t>
  </si>
  <si>
    <t>VANCOUVER BC</t>
  </si>
  <si>
    <t>ANTHROPOLOGY &amp; SOCIOLOGY BLDG,, RM 8, 6303 NW MARINE DR, VANCOUVER BC, V6T 1Z1, CANADA</t>
  </si>
  <si>
    <t>0008-4360</t>
  </si>
  <si>
    <t>CAN LITERATURE</t>
  </si>
  <si>
    <t>Can. Lit.</t>
  </si>
  <si>
    <t>SPR</t>
  </si>
  <si>
    <t>Literature, African, Australian, Canadian</t>
  </si>
  <si>
    <t>Arts &amp; Humanities Citation Index (A&amp;HCI)</t>
  </si>
  <si>
    <t>Literature</t>
  </si>
  <si>
    <t>799TV</t>
  </si>
  <si>
    <t>WOS:000293309900114</t>
  </si>
  <si>
    <t>Pavelsky, TM; Boé, J; Hall, A; Fetzer, EJ</t>
  </si>
  <si>
    <t>Pavelsky, Tamlin M.; Boe, Julien; Hall, Alex; Fetzer, Eric J.</t>
  </si>
  <si>
    <t>Atmospheric inversion strength over polar oceans in winter regulated by sea ice</t>
  </si>
  <si>
    <t>Temperature inversion; Sea ice; Arctic; Antarctic; AIRS</t>
  </si>
  <si>
    <t>TEMPERATURE INVERSIONS; ANTARCTIC TEMPERATURE; SURFACE-TEMPERATURE; CLEAR-SKY; NCEP-NCAR; REGIONS; OZONE; HEAT; FLUX</t>
  </si>
  <si>
    <t>Low-level temperature inversions are a common feature of the wintertime troposphere in the Arctic and Antarctic. Inversion strength plays an important role in regulating atmospheric processes including air pollution, ozone destruction, cloud formation, and negative longwave feedback mechanisms that shape polar climate response to anthropogenic forcing. The Atmospheric Infrared Sounder (AIRS) instrument provides reliable measures of spatial patterns in mean wintertime inversion strength when compared with available radiosonde observations and reanalysis products. Here, we examine the influence of sea ice concentration on inversion strength in the Arctic and Antarctic. Correlation of inversion strength with mean annual sea ice concentration, likely a surrogate for the effective thermal conductivity of the wintertime ice pack, yields strong, linear relationships in the Arctic (r = 0.88) and Antarctic (r = 0.86). We find a substantially greater (stronger) linear relationship between sea ice concentration and surface air temperature than with temperature at 850 hPa, lending credence to the idea that sea ice controls inversion strength through modulation of surface heat fluxes. As such, declines in sea ice in either hemisphere may imply weaker mean inversions in the future. Comparison of mean inversion strength in AIRS and global climate models (GCMs) suggests that many GCMs poorly characterize mean inversion strength at high latitudes.</t>
  </si>
  <si>
    <t>[Pavelsky, Tamlin M.] Univ N Carolina, Dept Geol Sci, Chapel Hill, NC 27599 USA; [Boe, Julien; Hall, Alex] Univ Calif Los Angeles, Dept Atmospher &amp; Ocean Sci, Los Angeles, CA 90095 USA; [Fetzer, Eric J.] CALTECH, Jet Prop Lab, Pasadena, CA 91109 USA</t>
  </si>
  <si>
    <t>University of North Carolina; University of North Carolina Chapel Hill; University of California System; University of California Los Angeles; California Institute of Technology; National Aeronautics &amp; Space Administration (NASA); NASA Jet Propulsion Laboratory (JPL)</t>
  </si>
  <si>
    <t>Pavelsky, TM (corresponding author), Univ N Carolina, Dept Geol Sci, CB 3315, Chapel Hill, NC 27599 USA.</t>
  </si>
  <si>
    <t>pavelsky@unc.edu</t>
  </si>
  <si>
    <t>Hall, Alex/D-8175-2014</t>
  </si>
  <si>
    <t>Pavelsky, Tamlin/0000-0002-0613-3838; Boe, Julien/0000-0003-2965-4721</t>
  </si>
  <si>
    <t>National Science Foundation [ARC-0714083, ATM-0735056]</t>
  </si>
  <si>
    <t>This research was funded by the National Science Foundation under grants ARC-0714083 and ATM-0735056. Opinions, findings, or recommendations expressed here are those of the authors and do not necessarily reflect NSF views. We acknowledge the modeling groups, the Program for Climate Model Diagnosis and Intercomparison (PCMDI) and the WCRP's Working Group in Coupled Modeling (WGCM) for their roles in making available the WCRP CMIP3 multi-model dataset. Support for this dataset is provided by the Office of Science, U.S. Department of Energy. ECMWF ERA-40 data used in this study have been obtained from the ECMWF data server.</t>
  </si>
  <si>
    <t>10.1007/s00382-010-0756-8</t>
  </si>
  <si>
    <t>WOS:000287924400008</t>
  </si>
  <si>
    <t>Shaffer, SA</t>
  </si>
  <si>
    <t>Shaffer, Scott A.</t>
  </si>
  <si>
    <t>A review of seabird energetics using the doubly labeled water method</t>
  </si>
  <si>
    <t>Doubly labeled water; DLW; Energetics; Energy expenditures; Field metabolic rates; FMR; Seabirds</t>
  </si>
  <si>
    <t>DAILY ENERGY-EXPENDITURE; FIELD METABOLIC-RATES; BLACK-LEGGED KITTIWAKES; WANDERING ALBATROSSES; FORAGING BEHAVIOR; FOOD REQUIREMENT; RISSA-TRIDACTYLA; FLIGHT; WIND; BIOENERGETICS</t>
  </si>
  <si>
    <t>The doubly labeled water (DLW) method has been essential for understanding animal energetics of free-ranging individuals. The first published studies on free-ranging seabirds were conducted on penguins in the early 1980s. Since then, nearly 50 seabird species with representatives from each major taxonomic order have been studied using DLW. Although the basic methodology has not changed, there are at least nine different equations, varying with respect to assumptions on fractionation and the total body water pool, to estimate field metabolic rate (FMR) from isotopic water turnover. In this review, I show that FMR can vary by as much as 45% depending on the equation used to calculate CO2 production in five albatross species. Energy budgets derived from DLW measurements are critical tools for understanding patterns of energy use and allocation in seabirds. However, they depend on accurate and representative measurements of FMR, so analyses that include greater partitioning of activity specific FMR yield more realistic cost estimates. I also show how the combined use of DLW and biologging methods can 1) provide greater clarity for explaining observed variation in FMR measurements within a species and 2) allow FMRs to be viewed in a wider physiological, behavioral, or ecological context. Finally, I update existing allometric equations with new FMR data. These updates reaffirm that albatrosses have the lowest at-sea FMRs per equivalent body mass and that individuals of other seabird orders have FMRs ranging between 1.39 and 2.24 times higher than albatrosses. (C) 2010 Elsevier Inc. All rights reserved.</t>
  </si>
  <si>
    <t>San Jose State Univ, Dept Biol Sci, San Jose, CA 95192 USA</t>
  </si>
  <si>
    <t>California State University System; San Jose State University</t>
  </si>
  <si>
    <t>Shaffer, SA (corresponding author), San Jose State Univ, Dept Biol Sci, 1 Washington Sq, San Jose, CA 95192 USA.</t>
  </si>
  <si>
    <t>scott.shaffer@sjsu.edu</t>
  </si>
  <si>
    <t>Shaffer, Scott/D-5015-2009</t>
  </si>
  <si>
    <t>Shaffer, Scott/0000-0002-7751-5059</t>
  </si>
  <si>
    <t>National Science Foundation; National Geographic Society; Office of Naval Research; Institut Francais pour la Recherche et la Technologie Polaire; Tagging of Pacific Pelagics (TOPP) program; Gordon and Betty Moore Foundation; David and Lucile Packard Foundation; Alfred P. Sloan Foundation</t>
  </si>
  <si>
    <t>National Science Foundation(National Science Foundation (NSF)); National Geographic Society(National Geographic Society); Office of Naval Research(Office of Naval Research); Institut Francais pour la Recherche et la Technologie Polaire; Tagging of Pacific Pelagics (TOPP) program; Gordon and Betty Moore Foundation(Gordon and Betty Moore Foundation); David and Lucile Packard Foundation(The David &amp; Lucile Packard Foundation); Alfred P. Sloan Foundation(Alfred P. Sloan Foundation)</t>
  </si>
  <si>
    <t>I would like to specifically acknowledge K. A. Nagy and J. R. Speakman for their innovation using the doubly labeled water method in free-ranging animals. Their scholarly endeavors with DLW have revolutionized our understanding of the methodology and have reinforced the contribution that animal energetics can make to our understanding of physiology, ecology, conservation, and life history evolution. I also thank D. P. Costa for mentoring me through my first experience using DLW, H. Weimerskirch for providing me with the opportunity to study albatross energetics in the French sub-Antarctic territories, and M. A. Kappes for permitting me to use her unpublished thesis data. I also thank two anonymous reviewers for their critique of this paper. Financial support was generously provided by the National Science Foundation, the National Geographic Society, Office of Naval Research, Institut Francais pour la Recherche et la Technologie Polaire, the Tagging of Pacific Pelagics (TOPP) program, and the Gordon and Betty Moore Foundation, David and Lucile Packard Foundation, and Alfred P. Sloan Foundation. All fieldwork on the albatrosses (including data from Kappes, 2009) had prior approval from the University of California at Santa Cruz' Institutional Animal Care and Use Committee.</t>
  </si>
  <si>
    <t>10.1016/j.cbpa.2010.07.012</t>
  </si>
  <si>
    <t>WOS:000287989100007</t>
  </si>
  <si>
    <t>Das, K; Bose, S; Karmakar, S; Dunkley, DJ; Dasgupta, S</t>
  </si>
  <si>
    <t>Das, Kaushik; Bose, Sankar; Karmakar, Subrata; Dunkley, Daniel J.; Dasgupta, Somnath</t>
  </si>
  <si>
    <t>Multiple tectonometamorphic imprints in the lower crust: first evidence of ca. 950 Ma (zircon U-Pb SHRIMP) compressional reworking of UHT aluminous granulites from the Eastern Ghats Belt, India</t>
  </si>
  <si>
    <t>deep crustal reworking; Eastern Ghats Belt; India; UHT aluminous granulites; zircon U-Pb SHRIMP ages</t>
  </si>
  <si>
    <t>PARTIAL MELTING EQUILIBRIA; MG-AL GRANULITES; PHASE-EQUILIBRIA; ORTHO-PYROXENE; KEMP-LAND; SAPPHIRINE GRANULITES; FACIES METAMORPHISM; NAPIER COMPLEX; PELITIC SYSTEM; MOBILE-BELT</t>
  </si>
  <si>
    <t>Integrated structural, petrological and geochronological study on a suite of granulites from the central part of the Eastern Ghats Belt (EGB), India unveil polyphase tectonothermal evolution. We document (a) M-1 ultrahigh temperature (UHT) metamorphism (similar to 1000 degrees C at 6.5-8.5 kbar) on an anticlockwise P-T trajectory simultaneously with early deformations D-1-D-2 involving partial melting, (b) cooling down to similar to 800 degrees C, 6 kbar that produced a variety of coronae/symplectites (M-1R), (c) an unrelated compressional orogeny (D-3) that produced deep crustal shears and mylonitic foliation (S-3m) at low angles to D-1-D-2 structures and was associated with slight loading, and possible partial melt extraction under granulite facies condition (M-2 similar to 7 kbar, 850 degrees C), and (d) localized retrogression (M-3) in the presence of melt accompanying D-4 deformation. This is the first record of the prograde P-T path of the superimposed granulite facies metamorphism in the EGB. U-Pb SHRIMP data of zircon preserves an inherited grain domain of ca. 1700 Ma (Pb-207-Pb-206 age) that traces back the history of EGB with a lineage of the Mesoproterozoic supercontinent, Columbia. The UHT metamorphosed (peak M-1 at ca. 1000 Ma) and subsequently cooled crustal segment (M-1R) was subjected to strong tectonothermal reworking (M-2) along a clockwise P-T path at 953 + 6 Ma (concordia age) that partially exhumed the rocks to mid-crustal levels. A later fluid-induced retrogressive event vis-a-vis melt crystallization occurred at ca. 900 Ma (Pb-207-Pb-206 age). The post-peak evolution reveals striking similarities with those recorded in the rocks of the Rayner Complex of east Antarctica, thereby strengthening the notion of Indo-Antarctic correlation as part of Rodinia. Copyright (C) 2010 John Wiley &amp; Sons. Ltd.</t>
  </si>
  <si>
    <t>[Das, Kaushik] Bengal Engn &amp; Sci Univ, Dept Geol, Howrah 711103, India; [Bose, Sankar] Presidency Coll, Dept Geol, Kolkata, India; [Karmakar, Subrata] Jadavpur Univ, Dept Geol Sci, Kolkata, India; [Dunkley, Daniel J.] Natl Inst Polar Res, Tokyo, Japan; [Dasgupta, Somnath] Indian Inst Sci Educ &amp; Res, Kolkata, India</t>
  </si>
  <si>
    <t>Indian Institute of Engineering Science Technology Shibpur (IIEST); Presidency University, Kolkata; Jadavpur University; Research Organization of Information &amp; Systems (ROIS); National Institute of Polar Research (NIPR) - Japan; Indian Institute of Science Education &amp; Research (IISER) - Kolkata</t>
  </si>
  <si>
    <t>Das, K (corresponding author), Bengal Engn &amp; Sci Univ, Dept Geol, Howrah 711103, India.</t>
  </si>
  <si>
    <t>kaushik.met@gmail.com</t>
  </si>
  <si>
    <t>Das, Kaushik/G-9616-2016; Bose, Sankar/AAM-5992-2020</t>
  </si>
  <si>
    <t>Das, Kaushik/0000-0002-2372-2095; Bose, Sankar/0000-0002-6234-236X; Dunkley, Daniel/0000-0003-0655-4496</t>
  </si>
  <si>
    <t>DST, Government of India; Jadavpur University; Japan Society for the Promotion of Science (JSPS) [07043]; National Institute of Polar Research, Japan; DST of Government of India at Presidency College</t>
  </si>
  <si>
    <t>DST, Government of India(Department of Science &amp; Technology (India)); Jadavpur University(Jadavpur University); Japan Society for the Promotion of Science (JSPS)(Ministry of Education, Culture, Sports, Science and Technology, Japan (MEXT)Japan Society for the Promotion of Science); National Institute of Polar Research, Japan; DST of Government of India at Presidency College</t>
  </si>
  <si>
    <t>Authors thank Dr Ichiro Ohnishi for the EPMA analyses data of biotite in certain key microdomains. T. Kuwajima, H. Nomura and M. Ikeda of Hokkaido University helped during analysis. They also thank Dr N.C. Pant for monazite EMP analysis. Insightful comments by Drs. S.K. Bhowmik and T. Tsunogae helped to improve the quality of the manuscript. Simon Harley's comments and suggestions on an earlier version of this manuscript were very helpful during subsequent revision. Editorial handling by M. Santosh is thankfully acknowledged. KD and SB acknowledge DST, Government of India for a research grant. SK has been supported by the CAS programme of Jadavpur University. SB acknowledges the Japan Society for the Promotion of Science (JSPS grant no. 07043) for working in Yokohama National University in collaboration with the National Institute of Polar Research, Japan. SB was also supported by FIST programme of DST of Government of India at Presidency College. SDG acknowledges financial support from the DST, Government of India through J.C. Bose Fellowship.</t>
  </si>
  <si>
    <t>10.1002/gj.1246</t>
  </si>
  <si>
    <t>WOS:000289658400009</t>
  </si>
  <si>
    <t>Boger, SD</t>
  </si>
  <si>
    <t>Boger, Steven D.</t>
  </si>
  <si>
    <t>Antarctica - Before and after Gondwana</t>
  </si>
  <si>
    <t>Antarctica; Gondwana; Tectonics; Subduction; Accretion; Collision; Extension; Rifting</t>
  </si>
  <si>
    <t>PRINCE-CHARLES-MOUNTAINS; U-PB ZIRCON; DRONNING-MAUD-LAND; NORTHERN VICTORIA-LAND; ALBANY-FRASER OROGEN; MARIE-BYRD-LAND; HIGH-GRADE METAMORPHISM; APATITE FISSION-TRACK; ECLOGITE-FACIES METAMORPHISM; WESTERN GAWLER CRATON</t>
  </si>
  <si>
    <t>The origin of the Antarctic continent can be traced to a relatively small late Archaean cratonic nucleus centred on the Terre Adelie regions of East Antarctica and the Gawler Craton region of South Australia. From the late Archaean to the present, the evolution of the proto-Antarctic continent was remarkably dynamic with quasi-continuous growth driven by accretionary or collisional events, episodically punctuated by periods of crustal extension and rifting. The evolution of the continent can be broken into seven main steps: (1) late Palaeoproterozoic to middle Mesoproterozoic accretion and collision added crust first to the Antarctic nucleus's eastern margin, then to its western margin. These events resulted in the incorporation of the Antarctic nucleus within a single large continent that included all of Proterozoic Australia, a more cryptic Curnamona-Beardsmore Craton and most probably Laurentia (2) Rifting in the middle to late Mesoproterozoic separated a block of continental crust of unknown dimensions to form an ocean-facing margin, the western edge of which was defined by the ancestral Darling Fault in Western Australia and its unnamed continuation in Antarctica. (3) Inversion of this margin followed shortly and led to the Grenville aged collision and juxtaposition of proto-Antarctica with the Crohn Craton, a continental block of inferred Archaean and Palaeoproterozoic age that now underlies much of central East Antarctica. The Pinjarra Orogen, exposed along the coast of Western Australia, defines the orogenic belt marking this collision. In Antarctica the continuation of this belt has been imaged in sub-ice geophysical datasets and can be inferred from sparse outcrop data and via the widespread dispersal of syn-tectonic zircons. (4) Tectonic quiescence from the latest Mesoproterozoic to the Cryogenian was the forerunner to Ediacaran rifting that separated Laurentia and the majority of the Curnamona-Beardsmore craton from the amalgam of East Antarctica and Australia. The result was the formation of the ancestral Pacific Ocean. (5) The rifting of Laurentia was mirrored by convergence along the opposing margin of the continent. Convergence ultimately sutured material with Indian and African affinities during a series of Ediacaran and Cambrian events related to the formation of Gondwana. These events added much of the crust that today defines the East Antarctic coastline between longitudes 30 degrees W and 100 degrees E. (6) The amalgamation of Gondwana marked a shift in the locus of subduction from between the pre-Gondwana cratons to Gondwana's previously passive Pacific margin. The result was the establishment of the accretionary Terra Australis and Gondwanide orogenies. These were to last from the late Cambrian to the Cretaceous. and together accreted vast sequences of Gondwana derived sediment as well as fragments of older and allochthonous or para-allochthonous continental crust to Gondwana's Pacific margin. (7) The final phases of accretion overlapped with the initiation of extension and somewhat later rifting within Gondwana. Extension started in the late Carboniferous, although continental separation did not begin until the middle Jurassic. Gondwana then fragmented sequentially with Africa-South America, India, Australia and the finally the blocks of New Zealand separating between the middle Jurassic and the late Cretaceous. The late Cretaceous separation of Antarctica and Australia split the original Antarctic nucleus, terminating more than 2.4 billion years of shared evolution. The slightly younger separation of New Zealand forme the modern Antarctic continent. Crown Copyright (C) 2010 Published by Elsevier B.V, on behalf of International Association for Gondwana Research. All rights reserved.</t>
  </si>
  <si>
    <t>Univ Melbourne, Sch Earth Sci, Melbourne, Vic 3010, Australia</t>
  </si>
  <si>
    <t>Boger, SD (corresponding author), Univ Melbourne, Sch Earth Sci, Melbourne, Vic 3010, Australia.</t>
  </si>
  <si>
    <t>sdboger@unimelb.edu.au</t>
  </si>
  <si>
    <t>Boger, Steven/B-8799-2013</t>
  </si>
  <si>
    <t>Boger, Steven/0000-0003-0739-6266</t>
  </si>
  <si>
    <t>10.1016/j.gr.2010.09.003</t>
  </si>
  <si>
    <t>720OG</t>
  </si>
  <si>
    <t>WOS:000287289400001</t>
  </si>
  <si>
    <t>Cox, MJ; Watkins, JL; Reid, K; Brierley, AS</t>
  </si>
  <si>
    <t>Cox, Martin J.; Watkins, Jonathan L.; Reid, Keith; Brierley, Andrew S.</t>
  </si>
  <si>
    <t>Spatial and temporal variability in the structure of aggregations of Antarctic krill (Euphausia superba) around South Georgia, 1997-1999</t>
  </si>
  <si>
    <t>acoustic; aggregation; Antarctic krill; Euphausia superba; South Georgia; swarm</t>
  </si>
  <si>
    <t>ACOUSTIC TECHNIQUES; FISH SCHOOLS; ABUNDANCE; IDENTIFICATION; PREDATORS; PENGUINS; CLUSTERS; DENSITY; BIOMASS; SHAPES</t>
  </si>
  <si>
    <t>Antarctic krill are important in the South Georgia (548 degrees S 358 degrees W) marine ecosystem. They form aggregations that vary widely in packing density (&lt;1 to 1000 s of individuals m(-3)), length (tens to thousands of metres), and height (tens of metres). Acoustic surveys are often used to estimate krill biomass and provide data that give insight into aggregation structure. Using dual-frequency (38 and 120 kHz) acoustic data collected during six surveys conducted around South Georgia during the 1997, 1998, and 1999 austral summers, we isolated 2990 aggregations by applying the Shoal Analysis and Patch Estimation System algorithm in Echoview and a krill-length-dependent acoustic identifier (Delta Sv120-38). Multivariate cluster (partition) analysis was applied to metrics from each of the aggregations, resulting in three aggregation types with an overall proportional split of 0.28 : 0.28 : 0.44. Types 1 and 3 had low mean densities (&lt;2 g m(-3)), whereas Type 2 had a mean density of 94 g m(-3). Intersurvey differences were found between the effort-corrected numbers of aggregation types (p 2.5e(-6)), and between on-and off-continental shelf areas (p = 1.5e(-7)), with a greater number of Type 2 aggregations being found on-shelf. The findings suggest intersurvey variation in krill catchability, with krill being more likely to be caught on-shelf.</t>
  </si>
  <si>
    <t>[Cox, Martin J.; Brierley, Andrew S.] Univ St Andrews, Pelag Ecol Res Grp, Gatty Marine Lab, St Andrews KY16 8LB, Fife, Scotland; [Watkins, Jonathan L.] British Antarctic Survey, Cambridge CB3 0ET, England; [Reid, Keith] Commiss Conservat Antarctic Marine Living Resourc, N Hobart, Tas 7002, Australia</t>
  </si>
  <si>
    <t>University of St Andrews; UK Research &amp; Innovation (UKRI); Natural Environment Research Council (NERC); NERC British Antarctic Survey</t>
  </si>
  <si>
    <t>Cox, MJ (corresponding author), Univ St Andrews, Pelag Ecol Res Grp, Gatty Marine Lab, St Andrews KY16 8LB, Fife, Scotland.</t>
  </si>
  <si>
    <t>mjc16@st-and.ac.uk</t>
  </si>
  <si>
    <t>Brierley, Andrew/G-8019-2011</t>
  </si>
  <si>
    <t>Brierley, Andrew/0000-0002-6438-6892</t>
  </si>
  <si>
    <t>UK Natural Environment Research Council; NERC [bas0100025] Funding Source: UKRI; Natural Environment Research Council [bas0100025] Funding Source: researchfish</t>
  </si>
  <si>
    <t>UK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</si>
  <si>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We thank the Masters, officers, and crew of the RRS James Clark Ross cruises JR17, JR28, and JR38. MJC was supported by a UK Natural Environment Research Council PhD studentship [note that the views expressed are those of the author, not of the Commission].</t>
  </si>
  <si>
    <t>10.1093/icesjms/fsq202</t>
  </si>
  <si>
    <t>723FR</t>
  </si>
  <si>
    <t>WOS:000287492400008</t>
  </si>
  <si>
    <t>Kirchgässner, A</t>
  </si>
  <si>
    <t>Kirchgaessner, Amelie</t>
  </si>
  <si>
    <t>An analysis of precipitation data from the Antarctic base Faraday/Vernadsky</t>
  </si>
  <si>
    <t>INTERNATIONAL JOURNAL OF CLIMATOLOGY</t>
  </si>
  <si>
    <t>Antarctic Peninsula; precipitation; climate change</t>
  </si>
  <si>
    <t>HEMISPHERE ANNULAR MODE; CLIMATE-CHANGE; SOUTHERN-OSCILLATION; PENINSULA; VARIABILITY; CIRCULATION; TRENDS; TEMPERATURES; RESOLUTION; LAYER</t>
  </si>
  <si>
    <t>A recent study on cloud observations reports an increase in total cloud cover at Faraday/Vernadsky since 1960 in the annual and wintertime data. The aim of this present study is to investigate whether this increase in total cloud cover has influenced the precipitation in this region. For this purpose, precipitation observations at the Antarctic base Faraday/Vernadsky between 1960 and 1999 were analysed. A positive trend, significant at the 5% level, was found in the number of precipitation events recorded during winter, showing an increase of 13 events per decade. The annual number of precipitation days has increased by 5.7 per decade during the period of investigation, with highest increase rates being observed in winter and autumn. The characteristics of these findings confirm that results previously published though trends presented here are similar to 50% smaller due to a more thorough data quality control of the observational data. These results indicate that an increase in total cloud cover at Faraday/Vernadsky observed since 1960 in the annual and wintertime data is reflected in higher numbers of precipitation events and days. Analyses of the precipitation type found an increase in the proportion of events of non-frozen precipitation, which is significant (1% level) on an annual basis as well as in spring and autumn (both significant at 5% level). This is a clear manifestation of the year round temperature increase observed over the Antarctic Peninsula. The increase in non-frozen precipitation will have reduced the albedo in the region and will thus have contributed to the temperature-albedo feedback. To refreeze rain that is draining through glaciers energy is extracted from the surrounding ice, thereby physically corroding the ice. This will have contributed to the observed retreat of glaciers around the Antarctic Peninsula. As non-frozen precipitation falling on frozen ground cannot be stored but instead runs off, less water will be available for the ecosystem. Copyright. (C) 2010 Royal Meteorological Society</t>
  </si>
  <si>
    <t>British Antarctic Survey, NERC, Cambridge CB3 0ET, England</t>
  </si>
  <si>
    <t>Kirchgässner, A (corresponding author), British Antarctic Survey, NERC, Madingley Rd, Cambridge CB3 0ET, England.</t>
  </si>
  <si>
    <t>ACRKI@bas.ac.uk</t>
  </si>
  <si>
    <t>Kirchgaessner, Amelie/JGL-9010-2023</t>
  </si>
  <si>
    <t>Kirchgaessner, Amelie/0000-0001-7483-3652</t>
  </si>
  <si>
    <t>0899-8418</t>
  </si>
  <si>
    <t>1097-0088</t>
  </si>
  <si>
    <t>INT J CLIMATOL</t>
  </si>
  <si>
    <t>Int. J. Climatol.</t>
  </si>
  <si>
    <t>10.1002/joc.2083</t>
  </si>
  <si>
    <t>731EX</t>
  </si>
  <si>
    <t>WOS:000288090200007</t>
  </si>
  <si>
    <t>Justino, F; Setzer, A; Bracegirdle, TJ; Mendes, D; Grimm, A; Dechiche, G; Schaefer, CEGR</t>
  </si>
  <si>
    <t>Justino, F.; Setzer, A.; Bracegirdle, T. J.; Mendes, D.; Grimm, A.; Dechiche, G.; Schaefer, C. E. G. R.</t>
  </si>
  <si>
    <t>Harmonic analysis of climatological temperature over Antarctica: present day and greenhouse warming perspectives</t>
  </si>
  <si>
    <t>Climate changes; Antarctica; IPCC; harmonic analysis; surface temperature annual cycle</t>
  </si>
  <si>
    <t>SOUTHERN-HEMISPHERE CIRCULATION; CENTER CLIMATE MODEL; AVHRR NDVI DATA; ATMOSPHERIC CIRCULATION; 20TH-CENTURY SIMULATION; SEMIANNUAL OSCILLATION; COUPLED MODELS; PART 1; VARIABILITY; TRENDS</t>
  </si>
  <si>
    <t>On the basis of ERA40 and NCEP/NCAR Reanalysis (NNR) and simulations from CCCma, CCSM, CSIRO, HadCM3, MIROC-MEDRES and GFDL, which support the Intergovernmental Panel on Climate Change (IPCC) 4th Assessment Report (AR4), we demonstrated that the amplitude of the annual and the semi-annual harmonics delivered by the ERA40 and NNR is dominated by distinct seasonal variability. The maximum first harmonic amplitude of near surface temperature 2-metre air temperature (t2m) according the NNR is located over the Plateau of East Antarctica, whereas analyses for ERA40 show maximum amplitude over the west Antarctic ice sheet. The spatial pattern of the first harmonic of t2m in NNR more closely corresponds to station observations, suggesting that the seasonal cycle of t2m over Antarctica may be biased in ERA-40. A comparison between the global climate models (GCMs) and NNR demonstrates that the models satisfactorily simulate the amplitude of the first and second harmonics; however, the modelling results differ among themselves in terms of the amplitude values. Larger seasonal variability is identified for CCCma, HadCM3 and MIROC-MEDRES with values as high as 20 degrees C over the Antarctic plateau. We have further identified that the CSIRO GCM does not reproduce the seasonal amplitude of t2m as compared to other models, which is primarily due to its overestimation of the cloud cover and weak seasonal changes of precipitation. Calculations of the harmonic analysis based upon greenhouse warming (GW) conditions reveal that there is no substantial seasonal difference between the amplitude of the first harmonic as projected by GW and present day (PD) simulations over the Antarctic continent. Over the polar ocean, however, the amplitude of the first harmonic is reduced in all climate models under future conditions. In order to narrow down the uncertainties on future climate projections, analyses of the cloud forcing which include the short- and long-wave radiation and the surface mass balance (SMB) may provide substantial information on the cause of the discrepancies as simulated by climate models over the Antarctic region. Copyright (C) 2010 Royal Meteorological Society</t>
  </si>
  <si>
    <t>[Justino, F.; Schaefer, C. E. G. R.] Univ Fed Vicosa, Dept Agr Engn, Vicosa, MG, Brazil; [Bracegirdle, T. J.] British Antarctic Survey, Cambridge CB3 0ET, England; [Grimm, A.] Univ Fed Parana, Dept Fis, BR-80060000 Curitiba, Parana, Brazil; [Dechiche, G.] Univ Sao Paulo, Dept Ciencias Atmosfer, BR-09500900 Sao Paulo, Brazil</t>
  </si>
  <si>
    <t>Universidade Federal de Vicosa; UK Research &amp; Innovation (UKRI); Natural Environment Research Council (NERC); NERC British Antarctic Survey; Universidade Federal do Parana; Universidade de Sao Paulo</t>
  </si>
  <si>
    <t>Justino, F (corresponding author), Univ Fed Vicosa, Dept Agr Engn, PH Holfs S-N, Vicosa, MG, Brazil.</t>
  </si>
  <si>
    <t>fjustino@ufv.br</t>
  </si>
  <si>
    <t>Criosfera, Inct/J-8639-2013; Flavio, Justino/AAT-2037-2020; Bracegirdle, Tom/AAD-6060-2020; Setzer, Alberto W/HCI-4388-2022; Grimm, Alice M/C-8137-2013; Mendes, David/B-4377-2011; Schaefer, Carlos Ernesto/AAY-4977-2020; MENDES, DAVID/IXX-0718-2023</t>
  </si>
  <si>
    <t>Setzer, Alberto W/0000-0002-2466-7366; Grimm, Alice M/0000-0002-9056-4656; Mendes, David/0000-0003-1418-5109; Ernesto Goncalves Reynaud Schaefer, Carlos/0000-0001-7060-1598; Ernesto Goncalves Reynaud Schaefer, Carlos/0000-0001-5735-3227; Bracegirdle, Thomas/0000-0002-8868-4739</t>
  </si>
  <si>
    <t>Brazilian National Research Counsel (CNPq) [550004/2107-6]; NERC [bas0100023] Funding Source: UKRI; Natural Environment Research Council [bas0100023] Funding Source: researchfish</t>
  </si>
  <si>
    <t>Brazilian National Research Counsel (CNPq)(Conselho Nacional de Desenvolvimento Cientifico e Tecnologico (CNPQ)); NERC(UK Research &amp; Innovation (UKRI)Natural Environment Research Council (NERC)); Natural Environment Research Council(UK Research &amp; Innovation (UKRI)Natural Environment Research Council (NERC))</t>
  </si>
  <si>
    <t>Support for this research has been provided through Brazilian Antarctic Program (Proj. 550004/2107-6) which is funded by the Brazilian National Research Counsel (CNPq). We acknowledge the modelling groups for making their simulations available for analysis, the Program for Climate Model Diagnosis and Inter-comparison (PCMDI) for collecting and archiving the CMIP3 model output, and the WCRP's Working Group on Coupled Modelling (WGCM) for organizing the model data analysis activity. The WCRP CMIP3 multimodel data set is supported by the Office of Science, US Department of Energy.</t>
  </si>
  <si>
    <t>10.1002/joc.2090</t>
  </si>
  <si>
    <t>731FD</t>
  </si>
  <si>
    <t>WOS:000288090800003</t>
  </si>
  <si>
    <t>Public Science for a Global Empire: The British Questfor the South Magnetic Pole</t>
  </si>
  <si>
    <t>It is well known to historians of science that, early in the nineteenthcentury, terrestrial magnetism became both a popular science and asignificant research enterprise in Europe. For Britain, as a maritimepower, it offered benefits for navigation. Theoretical physicistsclaimed that, with enough observations of magnetic variation, intensity,and dip taken throughout the world over time, they could deduce regularmathematical laws to explain the phenomena. Because of the lack ofdata from the region, particular attention focused on field researchin deep southern latitudes. Finding the precise location of the SouthMagnetic Pole became a prime goal for some enthusiasts. With burgeoningcolonies in Africa and the Antipodes, Britain assumed a leading rolein this effort. British scientists looked to their government forfunding and called on the Admiralty to dispatch expeditions. It isless well known that both popular and scientific interest in terrestrialmagnetism continued throughout the nineteenth century and into theearly twentieth century. The H.M.S. Erebus and H.M.S. Terror (1839-1843), H.M.S. Challenger (1872-1876), and R.Y. Discovery (1901-1904)sailed to the Antarctic as part of Britain's extended MagneticCrusade, which culminated with Royal Society geologist T. W.Edgeworth David of the Nimrod expedition reachingthe South Magnetic Pole in 1909.</t>
  </si>
  <si>
    <t>[Larson, Edward J.] Pepperdine Univ, Sch Law, 24255 Pacific Coast Highway, Malibu, CA 90263 USA; [Larson, Edward J.] Pepperdine Univ, Humanities Div, 24255 Pacific Coast Highway, Malibu, CA 90263 USA</t>
  </si>
  <si>
    <t>Larson, EJ (corresponding author), Pepperdine Univ, Sch Law, 24255 Pacific Coast Highway, Malibu, CA 90263 USA.;Larson, EJ (corresponding author), Pepperdine Univ, Humanities Div, 24255 Pacific Coast Highway, Malibu, CA 90263 USA.</t>
  </si>
  <si>
    <t>1545-6994</t>
  </si>
  <si>
    <t>VL4DC</t>
  </si>
  <si>
    <t>WOS:000843473600002</t>
  </si>
  <si>
    <t>Ellis, LT; Bednarek-Ochyra, H; Ochyra, R; Aranda, SC; Colotti, MT; Schiavone, MM; Dulin, MV; Erzberger, P; Ezer, T; Kara, R; Gabriel, R; Hedenäs, L; Holyoak, DT; Odor, P; Papp, B; Sabovljevic, M; Seppelt, RD; Smith, VR; Sotiaux, A; Szurdoki, E; Vanderpoorten, A; van Rooy, J; Zarnowiec, J</t>
  </si>
  <si>
    <t>Ellis, L. T.; Bednarek-Ochyra, H.; Ochyra, R.; Calvo Aranda, Silvia; Colotti, Maria T.; Schiavone, Maria M.; Dulin, Michail V.; Erzberger, P.; Ezer, Tulay; Kara, Recep; Gabriel, Rosalina; Hedenas, Lars; Holyoak, David T.; Odor, P.; Papp, B.; Sabovljevic, M.; Seppelt, R. D.; Smith, V. R.; Sotiaux, Andre; Szurdoki, E.; Vanderpoorten, Alain; van Rooy, J.; Zarnowiec, J.</t>
  </si>
  <si>
    <t>New national and regional bryophyte records, 26</t>
  </si>
  <si>
    <t>JOURNAL OF BRYOLOGY</t>
  </si>
  <si>
    <t>ANNOTATED CHECKLIST; NEW-ZEALAND; MOSSES; MUSCI; POTTIACEAE; LIST; GRIMMIACEAE; PATTERNS; EUROPE; FLORA</t>
  </si>
  <si>
    <t>[Bednarek-Ochyra, H.; Ochyra, R.] Polish Acad Sci, Lab Bryol, Inst Bot, Krakow, Poland; [Calvo Aranda, Silvia] CSIC, Museo Nacl Ciencias Nat, Dept Biodiversidad &amp; Biol Evolut, E-28006 Madrid, Spain; [Colotti, Maria T.; Schiavone, Maria M.] Fac Ciencias Nat, San Miguel De Tucuman, Tucuman, Argentina; [Colotti, Maria T.; Schiavone, Maria M.] IML, San Miguel De Tucuman, Tucuman, Argentina; [Dulin, Michail V.] Komi Sci Ctr UB RAS, Inst Biol, Syktyvkar, Komi Republic, Russia; [Ellis, L. T.] Nat Hist Museum, Dept Bot, London SW7 5BD, England; [Ezer, Tulay; Kara, Recep] Nigde Univ, Fac Sci &amp; Arts, Dept Biol, Nigde, Turkey; [Gabriel, Rosalina] Univ Acores, Dept Ciencias Agr, Angra Do Heroismo, Portugal; [Hedenas, Lars] Swedish Museum Nat Hist, Dept Cryptogam Bot, S-10405 Stockholm, Sweden; [Odor, P.] Eotvos Lorand Univ, Dept Plant Taxon &amp; Ecol, Budapest, Hungary; [Papp, B.] Hungarian Nat Hist Museum, Dept Bot, Budapest, Hungary; [Sabovljevic, M.] Univ Belgrade, Inst Bot &amp; Bot Garden, Fac Biol, Belgrade 11001, Serbia; [Seppelt, R. D.] Australian Antarctic Div, Kingston, Tas, Australia; [Smith, V. R.] Univ Stellenbosch, Dept Bot, Matieland, South Africa; [Sotiaux, Andre] Natl Bot Garden Belgium, Domein Van Bouchout, Meise, Belgium; [Vanderpoorten, Alain] Univ Liege, Inst Bot, B-4000 Liege, Belgium; [van Rooy, J.] S African Natl Biodivers Inst, Natl Herbarium, Pretoria, South Africa</t>
  </si>
  <si>
    <t>Polish Academy of Sciences; Consejo Superior de Investigaciones Cientificas (CSIC); CSIC - Museo Nacional de Ciencias Naturales (MNCN); Russian Academy of Sciences; Komi Science Centre of the Ural Branch of the Russian Academy of Sciences; Institute of Biology, Komi Scientific Centre, Ural Branch RAS; Natural History Museum London; Nigde Omer Halisdemir University; Universidade dos Acores; Swedish Museum of Natural History; Eotvos Lorand University; University of Belgrade; Australian Antarctic Division; Stellenbosch University; University of Liege; South African National Biodiversity Institute</t>
  </si>
  <si>
    <t>Ellis, LT (corresponding author), Nat Hist Museum, Dept Bot, Cromwell Rd, London SW7 5BD, England.</t>
  </si>
  <si>
    <t>l.ellis@nhm.ac.uk</t>
  </si>
  <si>
    <t>Òdor, Péter/ABE-3552-2020; Sabovljevic, Marko/AAJ-2593-2020; Bednarek-Ochyra, Halina/K-7507-2012; KARA, Recep/E-6319-2019; Gabriel, Rosalina/F-1598-2013; Sabovljevic, Marko S/ABC-8637-2020; Dulin, Michail V/A-8799-2016; Odor, Peter/HKW-7859-2023; van Rooy, Jacques/P-2806-2014</t>
  </si>
  <si>
    <t>Sabovljevic, Marko/0000-0001-5809-0406; KARA, Recep/0000-0001-6594-7172; Sabovljevic, Marko S/0000-0001-5809-0406; Odor, Peter/0000-0003-1729-8897; van Rooy, Jacques/0000-0002-7822-5547; Ochyra, Ryszard/0000-0002-2541-0722; Zarnowiec, Jan/0000-0002-9662-7531; Bednarek-Ochyra, Halina/0000-0002-6994-8313</t>
  </si>
  <si>
    <t>Walloon Region; CIUNT (Secretaria de Ciencia y Tecnica, Universidad Nacional de Tucuman); Direccao Regional da Ciencia e Tecnologia dos Acores [M311/I009A/2005]; Russian Foundation for Basic Research [09-04-00281-a]</t>
  </si>
  <si>
    <t>Walloon Region; CIUNT (Secretaria de Ciencia y Tecnica, Universidad Nacional de Tucuman)(Secretaria de Ciencia y Tecnologia (SECYT)); Direccao Regional da Ciencia e Tecnologia dos Acores; Russian Foundation for Basic Research(Russian Foundation for Basic Research (RFBR)Spanish Government)</t>
  </si>
  <si>
    <t>Financial support of the Walloon Region, convention C81, is gratefully acknowledged by A. Sotiaux and A. Vanderpoorten. Their many thanks are owed to Renee Skrzypczak and Tom Blockeel for confirming the identity of Pottiopsis caespitosa and Cynodontium jenneri, respectively. The contribution of M. T. Colloti and M. M. Schiavone has of been financially supported by CIUNT (Secretaria de Ciencia y Tecnica, Universidad Nacional de Tucuman). S. C. Aranda was supported by a PhD grant from Direccao Regional da Ciencia e Tecnologia dos Acores (M311/I009A/2005). The research of M. V. Dulin was performed with the financial support of Russian Foundation for Basic Research (project no. 09-04-00281-a).</t>
  </si>
  <si>
    <t>0373-6687</t>
  </si>
  <si>
    <t>1743-2820</t>
  </si>
  <si>
    <t>J BRYOL</t>
  </si>
  <si>
    <t>J. Bryol.</t>
  </si>
  <si>
    <t>10.1179/1743282010Y.0000000014</t>
  </si>
  <si>
    <t>757MT</t>
  </si>
  <si>
    <t>WOS:000290091600009</t>
  </si>
  <si>
    <t>Indian and Pacific Ocean Influences on Southeast Australian Drought and Soil Moisture</t>
  </si>
  <si>
    <t>SEA-SURFACE TEMPERATURE; EL-NINO MODOKI; CLIMATE VARIABILITY; RAINFALL VARIABILITY; WINTER RAINFALL; ANNULAR MODE; MODULATION; DIPOLE; ENSO; OSCILLATION</t>
  </si>
  <si>
    <t>The relative influences of Indian and Pacific Ocean modes of variability on Australian rainfall and soil moisture are investigated for seasonal, interannual, and decadal time scales. For the period 1900-2006, observations, reanalysis products, and hindcasts of soil moisture during the cool season (June October) are used to assess the impacts of El Nino-Southern Oscillation (ENSO) and the Indian Ocean dipole (IOD) on southeastern Australia and the Murray Darling Basin, two regions that have recently suffered severe droughts. A distinct asymmetry is found in the impacts of the opposite phases of both ENSO and IOD on Australian rainfall and soil moisture. There are significant differences between the dominant drivers of drought at interannual and decadal time scales. On interannual time scales, both ENSO and the IOD modify southeastern Australian soil moisture, with the driest (wettest) conditions over the southeast and more broadly over large parts of Australia occurring during years when an El Nino and a positive IOD event (La Nina and a negative IOD event) co-occur. The atmospheric circulation associated with these responses is discussed. Lower-frequency variability over southeastern Australia, however, including multiyear drought periods, seems to be more robustly related to Indian Ocean temperatures than Pacific conditions. The frequencies of both positive and negative IOD events are significantly different during periods of prolonged drought compared to extended periods of normal rainfall. In contrast, the frequency of ENSO events remains largely unchanged during prolonged dry and wet periods. For the Murray Darling Basin, there appears to be a significant influence by La Nina and both positive and negative IOD events. In particular, La Nina plays a much more prominent role than for more southern regions, especially on interannual time scales and during prolonged wet periods. For prolonged dry (wet) periods, positive IOD events also occur in unusually high (low) numbers.</t>
  </si>
  <si>
    <t>[Ummenhofer, Caroline C.; Sen Gupta, Alexander; England, Matthew H.] Univ New S Wales, Climate Change Res Ctr, Sydney, NSW 2052, Australia; [Briggs, Peter R.; Raupach, Michael R.] Ctr Australian Weather &amp; Climate Res, Canberra, ACT, Australia; [Meyers, Gary A.] CSIRO Marine &amp; Atmospher Res, Hobart, Tas, Australia; [Meyers, Gary A.] Univ Tasmania, Inst Marine &amp; Antarctic Res, Hobart, Tas, Australia</t>
  </si>
  <si>
    <t>University of New South Wales Sydney; Commonwealth Scientific &amp; Industrial Research Organisation (CSIRO); Commonwealth Scientific &amp; Industrial Research Organisation (CSIRO); University of Tasmania</t>
  </si>
  <si>
    <t>Ummenhofer, CC (corresponding author), Univ New S Wales, Climate Change Res Ctr, Sydney, NSW 2052, Australia.</t>
  </si>
  <si>
    <t>c.ummenhofer@unsw.cdu.au</t>
  </si>
  <si>
    <t>England, Matthew/A-7539-2011; Risbey, James/M-8419-2013; Pook, Michael J/A-3810-2012; Briggs, Peter/AFK-3754-2022; McIntosh, Peter C/F-7594-2012; Briggs, Peter/AAG-2536-2022; Sen Gupta, Alexander/B-7995-2011</t>
  </si>
  <si>
    <t>England, Matthew/0000-0001-9696-2930; Risbey, James/0000-0003-3202-9142; Briggs, Peter/0000-0002-7164-0545; Briggs, Peter/0000-0002-7164-0545; Sen Gupta, Alexander/0000-0001-5226-871X</t>
  </si>
  <si>
    <t>Australian Research Council; South Eastern Australian Climate Initiative</t>
  </si>
  <si>
    <t>Australian Research Council(Australian Research Council); South Eastern Australian Climate Initiative</t>
  </si>
  <si>
    <t>Use of the following observational and reanalysis products is gratefully acknowledged: NCEP-NCAR reanalysis and NOAA_ERSST_V2 SST data provided by NOAA/OAR/ESRL/PSD, Boulder, Colorado, through their Web site (http://www.cdc.noaa.gov), and the ERA-40 data developed by the European Centre for Medium-Range Weather Forecasting. An earlier version of the manuscript benefited from helpful suggestions by Andrew Marshall, Andrea Taschetto, and three anonymous reviewers. This work was supported by the Australian Research Council. The contributions of P. R. Briggs and M. R. Raupach were funded by the South Eastern Australian Climate Initiative.</t>
  </si>
  <si>
    <t>10.1175/2010JCLI3475.1</t>
  </si>
  <si>
    <t>743NQ</t>
  </si>
  <si>
    <t>WOS:000289025500001</t>
  </si>
  <si>
    <t>Nash, SB</t>
  </si>
  <si>
    <t>Nash, Susan Bengtson</t>
  </si>
  <si>
    <t>Persistent organic pollutants in Antarctica: current and future research priorities</t>
  </si>
  <si>
    <t>JOURNAL OF ENVIRONMENTAL MONITORING</t>
  </si>
  <si>
    <t>TERRA-NOVA BAY; LONG-RANGE TRANSPORT; MARGINAL ICE-ZONE; SOUTH ATLANTIC; POLYCHLORINATED-BIPHENYLS; ORGANOCHLORINE PESTICIDES; WEIGHT-LOSS; PCBS; ATMOSPHERE; WATER</t>
  </si>
  <si>
    <t>As Antarctica's pivotal role in influencing global climate processes gains increasing attention so too does public and scientific interest in the general state of Antarctic ecosystem health as a function of multiple stressors, including contamination by anthropogenic chemicals. Persistent organic pollutant (POP) research internationally has sought to elucidate the impacts of an ever increasing diversity of POPs on the environment. The challenges of this research are compounded in the Antarctic context, by key gaps in historical data and our understanding of chemical behaviour in polar landscapes. In order to ensure maximum longevity and value of research outputs, efforts must be centred upon addressing these research gaps. Ultimately, Antarctic POP research will benefit from co-ordinated investment into spatially and temporally comprehensive research and monitoring efforts such as those responsible for the continued progress of this research field in the Arctic and other global regions.</t>
  </si>
  <si>
    <t>Griffith Univ, Atmospher Environm Res Ctr AERC, Nathan, Qld 4111, Australia</t>
  </si>
  <si>
    <t>Nash, SB (corresponding author), Griffith Univ, Atmospher Environm Res Ctr AERC, 170 Kessels Rd, Nathan, Qld 4111, Australia.</t>
  </si>
  <si>
    <t>s.bengtsonnash@griffith.edu.au</t>
  </si>
  <si>
    <t>Bengtson Nash, Susan/GMX-4611-2022; Bengtson Nash, Susan/I-3942-2015</t>
  </si>
  <si>
    <t>Bengtson Nash, Susan/0000-0001-5928-0850; Bengtson Nash, Susan/0000-0001-5928-0850</t>
  </si>
  <si>
    <t>ROYAL SOC CHEMISTRY</t>
  </si>
  <si>
    <t>THOMAS GRAHAM HOUSE, SCIENCE PARK, MILTON RD, CAMBRIDGE CB4 0WF, CAMBS, ENGLAND</t>
  </si>
  <si>
    <t>1464-0325</t>
  </si>
  <si>
    <t>1464-0333</t>
  </si>
  <si>
    <t>J ENVIRON MONITOR</t>
  </si>
  <si>
    <t>J. Environ. Monit.</t>
  </si>
  <si>
    <t>10.1039/c0em00230e</t>
  </si>
  <si>
    <t>Chemistry, Analytical; Environmental Sciences</t>
  </si>
  <si>
    <t>Chemistry; Environmental Sciences &amp; Ecology</t>
  </si>
  <si>
    <t>732CH</t>
  </si>
  <si>
    <t>WOS:000288160200001</t>
  </si>
  <si>
    <t>Riesch, R; Plath, M; Schlupp, I</t>
  </si>
  <si>
    <t>Riesch, R.; Plath, M.; Schlupp, I.</t>
  </si>
  <si>
    <t>Toxic hydrogen sulphide and dark caves: pronounced male life-history divergence among locally adapted Poecilia mexicana (Poeciliidae)</t>
  </si>
  <si>
    <t>cave fish; divergent natural selection; ecological speciation; extremophile teleosts; life-history evolution; livebearing</t>
  </si>
  <si>
    <t>MALE MATING-BEHAVIOR; IMMIGRANTS MAINTAINS DIFFERENTIATION; ANTARCTIC ICEFISHES CHANNICHTHYIDAE; SEX-BIASED PREDATION; SPERM COMPETITION; GENETIC DIFFERENTIATION; SELECTIVE PREDATION; EXTREMOPHILE FISH; ATLANTIC MOLLIES; UNIQUE FAMILY</t>
  </si>
  <si>
    <t>Chronic environmental stress is known to induce evolutionary change. Here, we assessed male life-history trait divergence in the neotropical fish Poecilia mexicana from a system that has been described to undergo incipient ecological speciation in adjacent, but reproductively isolated toxic/nontoxic and surface/cave habitats. Examining both field-caught and common garden-reared specimens, we investigated the extent of differentiation and plasticity of life-history strategies employed by male P. mexicana. We found strong site-specific life-history divergence in traits such as fat content, standard length and gonadosomatic index. The majority of site-specific life-history differences were also expressed under common garden-rearing conditions. We propose that apparent conservatism of male life histories is the result of other (genetically based) changes in physiology and behaviour between populations. Together with the results from previous studies, this is strong evidence for local adaptation as a result of ecologically based divergent selection.</t>
  </si>
  <si>
    <t>[Riesch, R.] N Carolina State Univ, Dept Biol, David Clark Labs 127, Raleigh, NC 27695 USA; [Riesch, R.; Schlupp, I.] Univ Oklahoma, Dept Zool, Norman, OK 73019 USA; [Plath, M.] Goethe Univ Frankfurt, Dept Ecol &amp; Evolut, Frankfurt, Germany</t>
  </si>
  <si>
    <t>North Carolina State University; University of Oklahoma System; University of Oklahoma - Norman; Goethe University Frankfurt</t>
  </si>
  <si>
    <t>Riesch, R (corresponding author), N Carolina State Univ, Dept Biol, David Clark Labs 127, Raleigh, NC 27695 USA.</t>
  </si>
  <si>
    <t>ruedigerriesch@web.de</t>
  </si>
  <si>
    <t>Riesch, Rüdiger/A-5787-2008; Schlupp, Ingo/C-3913-2012</t>
  </si>
  <si>
    <t>Riesch, Rüdiger/0000-0002-6769-8808; Riesch, Rudiger/0000-0002-0223-1254; Schlupp, Ingo/0000-0002-2460-5667</t>
  </si>
  <si>
    <t>NSF [DEB-0813783, DEB-0743406]</t>
  </si>
  <si>
    <t>We thank F. J. Garcia de Leon as well as C. and M. Tobler for their help in the field. R. R. also thanks D. Reznick for his instruction on life-history sampling techniques. The Mexican Government and the Municipal of Tacotalpa kindly provided permits for the work in Mexico. Financial support came from NSF (DEB-0813783 and DEB-0743406).</t>
  </si>
  <si>
    <t>10.1111/j.1420-9101.2010.02194.x</t>
  </si>
  <si>
    <t>723UE</t>
  </si>
  <si>
    <t>WOS:000287531900011</t>
  </si>
  <si>
    <t>Survival and energetic costs of repeated cold exposure in the Antarctic midge, Belgica antarctica: a comparison between frozen and supercooled larvae</t>
  </si>
  <si>
    <t>Antarctic midge; energy reserves; freeze-tolerance; heat shock protein; repeated cold exposure</t>
  </si>
  <si>
    <t>HEAT-SHOCK PROTEINS; FLUCTUATING THERMAL REGIMES; EUROSTA-SOLIDAGINIS DIPTERA; DROSOPHILA-MELANOGASTER; FREEZE-TOLERANCE; CLIMATIC VARIABILITY; HIGH-TEMPERATURE; RANA-SYLVATICA; PARASITIC WASP; WOOD FROG</t>
  </si>
  <si>
    <t>In this study, we examined the effects of repeated cold exposure (RCE) on the survival, energy content and stress protein expression of larvae of the Antarctic midge, Belgica antarctica (Diptera: Chironomidae). Additionally, we compared results between larvae that were frozen at -5 degrees C in the presence of water during RCE and those that were supercooled at -5 degrees C in a dry environment. Although &gt;95% of larvae survived a single 12. h bout of freezing at -5 C, after five cycles of RCE survival of frozen larvae dropped below 70%. Meanwhile, the survival of control and supercooled larvae was unchanged, remaining around 90% for the duration of the study. At the tissue level, frozen larvae had higher rates of cell mortality in the midgut than control and supercooled larvae. Furthermore, larvae that were frozen during RCE experienced a dramatic reduction in energy reserves; after five cycles, frozen larvae had 25% less lipid, 30% less glycogen and nearly 40% less trehalose than supercooled larvae. Finally, larvae that were frozen during RCE had higher expression of hsp70 than those that were supercooled, indicating a higher degree of protein damage in the frozen group. Results were similar between larvae that had accumulated 60h of freezing at -5 degrees C over five cycles of RCE and those that were frozen continuously for 60h, suggesting that the total time spent frozen determines the physiological response. Our results suggest that it is preferable, both from a survival and energetic standpoint, for larvae to seek dry microhabitats where they can avoid inoculative freezing and remain unfrozen during RCE.</t>
  </si>
  <si>
    <t>[Teets, Nicholas M.; Denlinger, David L.] Ohio State Univ, Dept Entomol, Columbus, OH 43210 USA; [Kawarasaki, Yuta; Lee, Richard E., Jr.] Miami Univ, Dept Zool, Oxford, OH 45056 USA; [Denlinger, David L.] Ohio State Univ, Dept Ecol Evolut &amp; Organismal Biol, Columbus, OH 43210 USA</t>
  </si>
  <si>
    <t>University System of Ohio; Ohio State University; University System of Ohio; Miami University; University System of Ohio; Ohio State University</t>
  </si>
  <si>
    <t>Teets, NM (corresponding author), Ohio State Univ, Dept Entomol, 1735 Neil Ave, Columbus, OH 43210 USA.</t>
  </si>
  <si>
    <t>teets.23@buckeyemail.osu.edu</t>
  </si>
  <si>
    <t>Kawarasaki, Yuta/AAD-4032-2019; Teets, Nicholas/IQT-5328-2023; Teets, Nicholas/H-7386-2013</t>
  </si>
  <si>
    <t>NSF [ANT-0837559, 0837613]; Office of Polar Programs (OPP); Directorate For Geosciences [0837613, 0837559] Funding Source: National Science Foundation</t>
  </si>
  <si>
    <t>NSF(National Science Foundation (NSF)); Office of Polar Programs (OPP); Directorate For Geosciences(National Science Foundation (NSF)NSF - Directorate for Geosciences (GEO))</t>
  </si>
  <si>
    <t>This research was supported by NSF grants ANT-0837559 and 0837613. We are grateful for the hard work and assistance of the support staff at Palmer Station. We also thank Brian Kemmenoe, Richard Montione and the rest of the staff at the OSU Campus Microscopy and Imaging Facility for their help.</t>
  </si>
  <si>
    <t>10.1242/jeb.051912</t>
  </si>
  <si>
    <t>718NL</t>
  </si>
  <si>
    <t>WOS:000287130200021</t>
  </si>
  <si>
    <t>Hórreo, JL; Ayllón, F; Perez, J; Beall, E; Garcia-Vazquez, E</t>
  </si>
  <si>
    <t>Horreo, Jose L.; Ayllon, Fernando; Perez, Juliana; Beall, Edward; Garcia-Vazquez, Eva</t>
  </si>
  <si>
    <t>Interspecific Hybridization, a Matter of Pioneering? Insights from Atlantic Salmon and Brown Trout</t>
  </si>
  <si>
    <t>JOURNAL OF HEREDITY</t>
  </si>
  <si>
    <t>colonization; hybridization; relaxed mate choice; Salmo salar; Salmo trutta</t>
  </si>
  <si>
    <t>ANTARCTIC KERGUELEN ISLANDS; WESTSLOPE CUTTHROAT TROUT; ASYMMETRIC HYBRIDIZATION; RAINBOW-TROUT; LIFE-HISTORY; SALAR; TRUTTA; INTROGRESSION; POPULATIONS; INVASION</t>
  </si>
  <si>
    <t>Interspecific hybridization may occur in situations of recent contact between a colonizer and a resident species, being more intense in the colonization front. Atlantic salmon Salmo salar and brown trout S. trutta have been sympatric species since their origin and they share spatial and temporal spawning niches, exhibiting low levels of bidirectional interspecific hybridization and introgression throughout their distribution range. Different causes have been identified for increased hybridization, from escapes or deliberate releases of domesticated fish to sneaking male behavior. We have examined hybridization rates and direction in different situations of advance of one of these species into a territory formerly inhabited by the other (247 samples were analyzed in northern Spain and 487 in Kerguelen Islands). In all cases, hybrids found in the colonization front were offspring of colonizer females and resident males. We hypothesize that these findings are the result of adaptive relaxed mate choice of colonizing females, regardless of the relative abundance of each species.</t>
  </si>
  <si>
    <t>[Horreo, Jose L.; Ayllon, Fernando; Perez, Juliana; Garcia-Vazquez, Eva] Univ Oviedo, Dept Biol Func, E-33006 Oviedo, Spain; [Ayllon, Fernando] Univ Autonoma Barcelona, Dept Genet &amp; Microbiol, Bellaterra 08193, Cerdanyola Vall, Spain; [Beall, Edward] INRA UPPA, UMR ECOBIOP, St Pee Sur Nivelle, France</t>
  </si>
  <si>
    <t>University of Oviedo; Autonomous University of Barcelona; Universite de Pau et des Pays de l'Adour; INRAE</t>
  </si>
  <si>
    <t>Garcia-Vazquez, E (corresponding author), Univ Oviedo, Dept Biol Func, E-33006 Oviedo, Spain.</t>
  </si>
  <si>
    <t>egv@uniovi.es</t>
  </si>
  <si>
    <t>Garcia-Vazquez, Eva/Y-7293-2019; Horreo, Jose L./H-5207-2015; Ayllon, Fernando/JVZ-0994-2024</t>
  </si>
  <si>
    <t>Horreo, Jose L./0000-0002-9851-7651; Ayllon, Fernando/0009-0005-6051-7348; Garcia-Vazquez, Eva/0000-0002-8429-838X</t>
  </si>
  <si>
    <t>Spanish National project [MICINN CGL2009-08279]; French IPEV [365, 1041]</t>
  </si>
  <si>
    <t>Spanish National project(Spanish Government); French IPEV</t>
  </si>
  <si>
    <t>This study was supported by the Spanish National project MICINN CGL2009-08279. Field sampling in the Kerguelen Islands was funded by the French IPEV Programmes SALMOPOP 365 and SALMEVOL 1041, Ludo Aventura (Gijon), and Helly Hansen.</t>
  </si>
  <si>
    <t>0022-1503</t>
  </si>
  <si>
    <t>1465-7333</t>
  </si>
  <si>
    <t>J HERED</t>
  </si>
  <si>
    <t>J. Hered.</t>
  </si>
  <si>
    <t>10.1093/jhered/esq130</t>
  </si>
  <si>
    <t>Evolutionary Biology; Genetics &amp; Heredity</t>
  </si>
  <si>
    <t>723HF</t>
  </si>
  <si>
    <t>WOS:000287496700010</t>
  </si>
  <si>
    <t>Nikurashin, M; Vallis, G</t>
  </si>
  <si>
    <t>Nikurashin, Maxim; Vallis, Geoffrey</t>
  </si>
  <si>
    <t>A Theory of Deep Stratification and Overturning Circulation in the Ocean</t>
  </si>
  <si>
    <t>LARGE-SCALE CIRCULATION; ANTARCTIC CIRCUMPOLAR CURRENT; MESOSCALE EDDIES; VENTILATED THERMOCLINE; ABYSSAL CIRCULATION; SOUTHERN-OCEAN; MODELS; TRANSPORT; WIND; DIFFUSION</t>
  </si>
  <si>
    <t>A simple theoretical model of the deep stratification and meridional overturning circulation in an idealized single-basin ocean with a circumpolar channel is presented. The theory includes the effects of wind, eddies, and diapycnal mixing; predicts the deep stratification in terms of the surface forcing and other problem parameters; makes no assumption of zero residual circulation; and consistently accounts for the interaction between the circumpolar channel and the rest of the ocean. The theory shows that dynamics of the overturning circulation can be characterized by two limiting regimes, corresponding to weak and strong diapycnal mixing. The transition between the two regimes is described by a nondimensional number characterizing the strength of the diffusion-driven compared to the wind-driven overturning circulation. In the limit of weak diapycnal mixing, deep stratification throughout the ocean is produced by the effects of wind and eddies in a circumpolar channel and maintained even in the limit of vanishing diapycnal diffusivity and in a flat-bottomed ocean. The overturning circulation across the deep stratification is driven by the diapycnal mixing in the basin away from the channel but is sensitive, through changes in stratification, to the wind and eddies in the channel. In the limit of strong diapycnal mixing, deep stratification is primarily set by eddies in the channel and diapycnal mixing in the basin away from the channel, with the wind over the circumpolar channel playing a secondary role. Analytical solutions for the deep stratification and overturning circulation in the limit of weak diapycnal mixing and numerical solutions that span the regimes of weak to strong diapycnal mixing are presented. The theory is tested with a coarse-resolution ocean general circulation model configured in an idealized geometry. A series of experiments performed to examine the sensitivity of the deep stratification and the overturning circulation to variations in wind stress and diapycnal mixing compare well with predictions from the theory.</t>
  </si>
  <si>
    <t>[Nikurashin, Maxim] Princeton Univ, AOS Program, Princeton, NJ 08540 USA</t>
  </si>
  <si>
    <t>Princeton University</t>
  </si>
  <si>
    <t>Nikurashin, M (corresponding author), Princeton Univ, AOS Program, Princeton, NJ 08540 USA.</t>
  </si>
  <si>
    <t>man@alum.mit.edu</t>
  </si>
  <si>
    <t>Nikurashin, Maxim/P-4018-2019; Nikurashin, Maxim/J-3506-2013</t>
  </si>
  <si>
    <t>Nikurashin, Maxim/0000-0002-5714-8343</t>
  </si>
  <si>
    <t>NOAA [NA08OAR4320752]; NSF [OCE-1027603]; Division Of Ocean Sciences; Directorate For Geosciences [1027603] Funding Source: National Science Foundation</t>
  </si>
  <si>
    <t>NOAA(National Oceanic Atmospheric Admin (NOAA) - USA); NSF(National Science Foundation (NSF)); Division Of Ocean Sciences; Directorate For Geosciences(National Science Foundation (NSF)NSF - Directorate for Geosciences (GEO))</t>
  </si>
  <si>
    <t>We thank two anonymous reviewers for their useful comments and suggestions. We acknowledge support from NOAA via Award NA08OAR4320752 and from NSF via Award OCE-1027603.</t>
  </si>
  <si>
    <t>10.1175/2010JPO4529.1</t>
  </si>
  <si>
    <t>747MX</t>
  </si>
  <si>
    <t>WOS:000289325200007</t>
  </si>
  <si>
    <t>Lenn, YD; Rippeth, TP; Old, CP; Bacon, S; Polyakov, I; Ivanov, V; Hölemann, J</t>
  </si>
  <si>
    <t>Lenn, Yueng-Djern; Rippeth, Tom P.; Old, Chris P.; Bacon, Sheldon; Polyakov, Igor; Ivanov, Vladimir; Hoelemann, Jens</t>
  </si>
  <si>
    <t>Intermittent Intense Turbulent Mixing under Ice in the Laptev Sea Continental Shelf</t>
  </si>
  <si>
    <t>ARCTIC-OCEAN; YERMAK PLATEAU; VERTICAL STRUCTURE; INTERNAL WAVES; TIDAL CURRENTS; HEAT FLUXES; DISSIPATION; HALOCLINE; NORTH; EVOLUTION</t>
  </si>
  <si>
    <t>Vertical mixing in the bottom boundary layer and pycnocline of the Laptev Sea is evaluated from a rapidly sampled 12-h time series of microstructure temperature, conductivity, and shear observations collected under 100% sea ice during October 2008. The bottom boundary turbulent kinetic energy dissipation was observed to be enhanced (epsilon similar to 10(-4) W m(-3)) beyond background levels (epsilon similar to 10(-6) W m(-3)), extending up to 10 m above the seabed when simulated tidal currents were directed on slope. Upward heat fluxes into the halocline-class waters along the Laptev Sea seabed peaked at similar to 4-8 W m(-2), averaging out to similar to 2 W m(-2) over the 12-h sampling period. In the Laptev Sea pycnocline, an isolated 2-h episode of intense dissipation (epsilon similar to 10(-3) W m(-3)) and vertical diffusivities was observed that was not clue to a localized wind event. Observations from an acoustic Doppler current meter moored in the central Laptev Sea near the M-2 critical latitude are consistent with a previous model in which mixing episodes are driven by an enhancement of the pycnocline shear resulting from the alignment of the rotating pycnocline shear vector with the under-ice stress vector. Upward cross-pycnocline heat fluxes from the Arctic halocline peaked at similar to 54 W m(-2), resulting in a 12-h average of similar to 12 W m(-2). These results highlight the intermittent nature of Arctic shelf sea mixing processes and how these processes can impact the transformation of Arctic Ocean water masses. The observations also clearly demonstrate that absence or presence of sea ice profoundly affects the availability of near-inertial kinetic energy to drive vertical mixing on the Arctic shelves.</t>
  </si>
  <si>
    <t>[Lenn, Yueng-Djern; Rippeth, Tom P.; Old, Chris P.] Bangor Univ, Sch Ocean Sci, Menai Bridge LL59 5AB, Anglesey, Wales; [Bacon, Sheldon] Natl Oceanog Ctr, Southampton, Hants, England; [Polyakov, Igor; Ivanov, Vladimir] Univ Alaska, Int Arctic Res Ctr, Fairbanks, AK 99701 USA; [Ivanov, Vladimir] Scottish Assoc Marine Sci, Oban, Argyll, Scotland; [Ivanov, Vladimir] Arctic &amp; Antarctic Res Inst, St Petersburg 199226, Russia; [Hoelemann, Jens] Alfred Wegener Inst Polar &amp; Marine Res, D-2850 Bremerhaven, Germany</t>
  </si>
  <si>
    <t>Bangor University; NERC National Oceanography Centre; University of Alaska System; University of Alaska Fairbanks; UHI Millennium Institute; Arctic &amp; Antarctic Research Institute; Helmholtz Association; Alfred Wegener Institute, Helmholtz Centre for Polar &amp; Marine Research</t>
  </si>
  <si>
    <t>Bacon, Sheldon/B-1519-2013; Ivanov, Vladimir/AAX-6830-2020; Ivanov, Vladimir/J-5979-2014; Hoelemann, Jens/N-3608-2016</t>
  </si>
  <si>
    <t>Bacon, Sheldon/0000-0002-2471-9373; Ivanov, Vladimir/0000-0003-2569-6027; Old, Christopher/0000-0002-1611-4913; Lenn, Yueng-Djern/0000-0001-6031-523X; Hoelemann, Jens/0000-0001-5102-4086</t>
  </si>
  <si>
    <t>U.K. Natural Environment Research Council ASBO Arctic IPY Consortium; NERC [NE/F002432, NE/H016007/1]; NERC [NE/I028947/1, NE/H016007/1, NE/D006201/1, dml010007] Funding Source: UKRI; Natural Environment Research Council [dml010007, NE/D006201/1, noc010012, NE/H016007/1, NE/I028947/1] Funding Source: researchfish</t>
  </si>
  <si>
    <t>U.K. Natural Environment Research Council ASBO Arctic IPY Consortium; NERC(UK Research &amp; Innovation (UKRI)Natural Environment Research Council (NERC)); NERC(UK Research &amp; Innovation (UKRI)Natural Environment Research Council (NERC)); Natural Environment Research Council(UK Research &amp; Innovation (UKRI)Natural Environment Research Council (NERC))</t>
  </si>
  <si>
    <t>This microstructure data were collected under the U.K. Natural Environment Research Council ASBO Arctic IPY Consortium Grant, with additional support for the analysis provided by the NERC Grants NE/F002432 and NE/H016007/1. The authors thank their partners at IARC, Fairbanks, and the captain and crew of the I/B Kapitan Dranitsyn. We acknowledge Ben Powell for his essential technical support. This study has been much improved by constructive feedback from Laurie Padman and Ilker Fer.</t>
  </si>
  <si>
    <t>10.1175/2010JPO4425.1</t>
  </si>
  <si>
    <t>WOS:000289325200010</t>
  </si>
  <si>
    <t>Richoux, NB</t>
  </si>
  <si>
    <t>Richoux, Nicole B.</t>
  </si>
  <si>
    <t>Trophic ecology of zooplankton at a frontal transition zone: fatty acid signatures at the subtropical convergence, Southern Ocean</t>
  </si>
  <si>
    <t>plankton studies; food web; diet; regional variations; euphausiids</t>
  </si>
  <si>
    <t>KRILL EUPHAUSIA-SUPERBA; ANTARCTIC KRILL; LIPID-COMPOSITION; MEGANYCTIPHANES-NORVEGICA; HERBIVOROUS COPEPODS; COMMUNITY STRUCTURE; INDIAN-OCEAN; TROPHODYNAMICS; REGION; BAY</t>
  </si>
  <si>
    <t>Regional variations in fatty acid composition were assessed in zooplankton communities situated immediately north and south of the subtropical convergence (STC), where warm (maximum 21 degrees C) nutrient-poor waters of the southwest Indian Ocean converge with cool (minimum 11 degrees C) nutrient-rich subantarctic waters of the Southern Ocean. I hypothesized that food web structures differ from north to south based on average spatial differences in primary productivity, and that zooplankton in the more productive region show enhanced herbivorous feeding. Several taxonomic groups including euphausiids showed differences in their fatty acid signatures from north to south, indicating the existence of measurable within- and among-species differences in trophic relationships between the two communities, presumably stemming from variations in food quality and availability. The indices 22:6 omega 3/20:5 omega 3, 18:1 omega 9/18:1 omega 7 and Sigma omega 3/Sigma omega 6 indicated that carnivory was the dominant feeding mode in the north, whereas herbivory was more prevalent in the south, a pattern that was not detected in the same region using stable isotope ratios. Such conflicting results substantiate the importance of utilizing more than one method to investigate feeding relationships in aquatic systems. Fatty acid profiles of the amphipod Themisto gaudichaudii revealed some distinct herbivory markers, indicating more complex feeding habits by this important pelagic species than previously reported. My findings shed new light on the regional variations in zooplankton diet and food web dynamics in a poorly understood but critically important frontal zone bordering the Southern Ocean.</t>
  </si>
  <si>
    <t>Rhodes Univ, Dept Zool &amp; Entomol, ZA-6140 Grahamstown, South Africa</t>
  </si>
  <si>
    <t>Rhodes University</t>
  </si>
  <si>
    <t>Richoux, NB (corresponding author), Rhodes Univ, Dept Zool &amp; Entomol, ZA-6140 Grahamstown, South Africa.</t>
  </si>
  <si>
    <t>n.richoux@ru.ac.za</t>
  </si>
  <si>
    <t>Richoux, Nicole/0000-0002-9501-6368</t>
  </si>
  <si>
    <t>Department of Environmental Affairs and Tourism; Rhodes University; University of Cape Town</t>
  </si>
  <si>
    <t>Funding was provided through grants to P. W. Froneman, Southern Ocean Group, from the Department of Environmental Affairs and Tourism (via the South African National Antarctic Program) and administered by the National Research Foundation. Additional funds and facilities from Rhodes University and the University of Cape Town are appreciated.</t>
  </si>
  <si>
    <t>10.1093/plankt/fbq132</t>
  </si>
  <si>
    <t>717EG</t>
  </si>
  <si>
    <t>WOS:000287025500012</t>
  </si>
  <si>
    <t>Mottram, V; Middleton, B; Williams, P; Arendt, J</t>
  </si>
  <si>
    <t>Mottram, Victoria; Middleton, Benita; Williams, Peter; Arendt, Josephine</t>
  </si>
  <si>
    <t>The impact of bright artificial white and 'blue-enriched' light on sleep and circadian phase during the polar winter</t>
  </si>
  <si>
    <t>JOURNAL OF SLEEP RESEARCH</t>
  </si>
  <si>
    <t>antarctica; blue-enriched light; circadian phase; sleep</t>
  </si>
  <si>
    <t>SEASONAL AFFECTIVE-DISORDER; POLYCHROMATIC-LIGHT; MELATONIN RHYTHM; ANTARCTIC WINTER; ACTION SPECTRUM; WAVELENGTH; HUMANS; PHOTORECEPTOR; SENSITIVITY; INSOMNIA</t>
  </si>
  <si>
    <t>Delayed sleep phase (and sometimes free-run) is common in the Antarctic winter (no natural sunlight) and optimizing the artificial light conditions is desirable. This project evaluated sleep when using 17 000 K blue-enriched lamps compared with standard white lamps (5000 K) for personal and communal illumination. Base personnel, 10 males, five females, 32.5 +/- 8 years took part in the study. From 24 March to 21 September 2006 light exposure alternated between 4-5-week periods of standard white (5000 K) and blue-enriched lamps (17 000 K), with a 3-week control before and after extra light. Sleep and light exposure were assessed by actigraphy and sleep diaries. General health (RAND 36-item questionnaire) and circadian phase (urinary 6-sulphatoxymelatonin rhythm) were evaluated at the end of each light condition. Direct comparison (rmANOVA) of blue-enriched light with white light showed that sleep onset was earlier by 19 min (P = 0.022), and sleep latency tended to be shorter by 4 min (P = 0.065) with blue-enriched light. Analysing all light conditions, control, blue and white, again provided evidence for greater efficiency of blue-enriched light compared with white (P &lt; 0.05), but with the best sleep timing, duration, efficiency and quality in control natural light conditions. Circadian phase was earlier on average in midwinter blue compared with midwinter white light by 45 min (P &lt; 0.05). Light condition had no influence on general health. We conclude that the use of blue-enriched light had some beneficial effects, notably earlier sleep, compared with standard white light during the polar winter.</t>
  </si>
  <si>
    <t>[Middleton, Benita; Arendt, Josephine] Univ Surrey, Ctr Chronobiol, Fac Hlth &amp; Med Sci, Guildford GU2 7XH, Surrey, England; [Mottram, Victoria] Derriford Hosp, British Antarctic Survey, Med Unit, Plymouth PL6 8DH, Devon, England; [Williams, Peter] Univ Surrey, Dept Math &amp; Stat, Guildford GU2 7XH, Surrey, England</t>
  </si>
  <si>
    <t>University of Surrey; Derriford Hospital; UK Research &amp; Innovation (UKRI); Natural Environment Research Council (NERC); NERC British Antarctic Survey; University of Surrey</t>
  </si>
  <si>
    <t>Arendt, J (corresponding author), Univ Surrey, Ctr Chronobiol, Fac Hlth &amp; Med Sci, Guildford GU2 7XH, Surrey, England.</t>
  </si>
  <si>
    <t>j.arendt@surrey.ac.uk</t>
  </si>
  <si>
    <t>British Antarctic Survey via the British Antarctic Survey Medical Unit, Stockgrand Ltd, UK; Philips Lighting B.V., Eindhoven, The Netherlands; Natural Environment Research Council [bas010013] Funding Source: researchfish; NERC [bas010013] Funding Source: UKRI</t>
  </si>
  <si>
    <t>British Antarctic Survey via the British Antarctic Survey Medical Unit, Stockgrand Ltd, UK; Philips Lighting B.V., Eindhoven, The Netherlands(Netherlands Government); Natural Environment Research Council(UK Research &amp; Innovation (UKRI)Natural Environment Research Council (NERC)); NERC(UK Research &amp; Innovation (UKRI)Natural Environment Research Council (NERC))</t>
  </si>
  <si>
    <t>This study was supported by the British Antarctic Survey via the British Antarctic Survey Medical Unit, Stockgrand Ltd, UK, and Philips Lighting B.V., Eindhoven, The Netherlands (unrestricted research grant).</t>
  </si>
  <si>
    <t>0962-1105</t>
  </si>
  <si>
    <t>1365-2869</t>
  </si>
  <si>
    <t>J SLEEP RES</t>
  </si>
  <si>
    <t>J. Sleep Res.</t>
  </si>
  <si>
    <t>10.1111/j.1365-2869.2010.00875.x</t>
  </si>
  <si>
    <t>Clinical Neurology; Neurosciences</t>
  </si>
  <si>
    <t>Neurosciences &amp; Neurology</t>
  </si>
  <si>
    <t>731WE</t>
  </si>
  <si>
    <t>WOS:000288139600005</t>
  </si>
  <si>
    <t>Dunshea, G; Duffield, D; Gales, N; Hindell, M; Wells, RS; Jarman, SN</t>
  </si>
  <si>
    <t>Dunshea, Glenn; Duffield, Deborah; Gales, Nick; Hindell, Mark; Wells, Randall S.; Jarman, Simon N.</t>
  </si>
  <si>
    <t>Telomeres as age markers in vertebrate molecular ecology</t>
  </si>
  <si>
    <t>age estimation; biological age; demography; noninvasive; terminal restriction fragment</t>
  </si>
  <si>
    <t>QUANTITATIVE PCR; LENGTH; DNA; SURVIVAL; ASSOCIATION; SEQUENCE; DYNAMICS; BLOOD; CELLS; TIME</t>
  </si>
  <si>
    <t>Chronological age is a fundamental and yet elusive variable in studies of many wild animals. Telomeres are nucleoprotein structures on the ends of chromosomes that change size throughout the life of many animals and because of this property have been advocated as a means to estimate age. In this review, we assess the existing and potential application of using telomeres for age estimation. We argue that there are conceptual and statistical inconsistencies in previous studies and that the basis for telomere change over time is not well understood and affected by several intrinsic and extrinsic process unrelated to chronological time. Furthermore, these processes are likely to vary spatially and temporally for animal populations. We conclude that the current data suggest telomeres should not be used for age estimation. If telomere-based age estimation is to be used, more work in understanding variability in key processes affecting telomere dynamics and rigorous substantiation via blind testing is needed.</t>
  </si>
  <si>
    <t>[Dunshea, Glenn; Hindell, Mark] Univ Tasmania, Inst Marine &amp; Antarctic Studies, Marine Predator Unit, Hobart, Tas 7001, Australia; [Dunshea, Glenn; Gales, Nick; Jarman, Simon N.] Australian Antarctic Div, Australian Marine Mammal Ctr, Kingston, Tas 7050, Australia; [Duffield, Deborah] Portland State Univ, Dept Biol, Portland, OR 97207 USA; [Wells, Randall S.] Mote Marine Lab, Chicago Zool Soc, Sarasota, FL 34236 USA</t>
  </si>
  <si>
    <t>University of Tasmania; Australian Antarctic Division; Portland State University; Mote Marine Laboratory &amp; Aquarium</t>
  </si>
  <si>
    <t>Dunshea, G (corresponding author), Univ Tasmania, Inst Marine &amp; Antarctic Studies, Marine Predator Unit, Private Bag 129, Hobart, Tas 7001, Australia.</t>
  </si>
  <si>
    <t>glenn.dunshea@aad.gov.au</t>
  </si>
  <si>
    <t>Hindell, Mark A/K-1131-2013; Jarman, Simon/H-9265-2016</t>
  </si>
  <si>
    <t>Dunshea, Glenn/0000-0002-8683-0181; Hindell, Mark/0000-0002-7823-7185; Jarman, Simon/0000-0002-0792-9686</t>
  </si>
  <si>
    <t>Australian Government Antarctic Division; Australian Marine Mammal Center; Winifred Violet Estate Trust Fund; ANZ Ian Holsworth Wildlife Research Endowment</t>
  </si>
  <si>
    <t>Australian Government Antarctic Division(Australian Government); Australian Marine Mammal Center; Winifred Violet Estate Trust Fund; ANZ Ian Holsworth Wildlife Research Endowment</t>
  </si>
  <si>
    <t>This work was funded by the Australian Government Antarctic Division, the Australian Marine Mammal Center and the Winifred Violet Estate Trust Fund. We gratefully acknowledge and thank Glenn Jacobson for help with figure preparation and the staff and volunteers of the Sarasota Dolphin Research Program without whom collection and storage of samples would not have been possible. Four anonymous reviewers made suggestions that substantially improved the manuscript. The Sarasota Dolphin Research Program and associated sample collection is conducted under the United States Government National Marine Fisheries Service Scientific Research Permit Numbers 522-1569 and 522-1785 and Glenn Dunshea's participation is conducted under the University of Tasmania Animal Ethics Permit A8315. Glenn Dunshea is the recipient of an Australian Postgraduate Award and is also funded through an ANZ Ian Holsworth Wildlife Research Endowment.</t>
  </si>
  <si>
    <t>10.1111/j.1755-0998.2010.02976.x</t>
  </si>
  <si>
    <t>719JE</t>
  </si>
  <si>
    <t>WOS:000287200200001</t>
  </si>
  <si>
    <t>Mackintosh, A; Golledge, N; Domack, E; Dunbar, R; Leventer, A; White, D; Pollard, D; DeConto, R; Fink, D; Zwartz, D; Gore, D; Lavoie, C</t>
  </si>
  <si>
    <t>Mackintosh, Andrew; Golledge, Nicholas; Domack, Eugene; Dunbar, Robert; Leventer, Amy; White, Duanne; Pollard, David; DeConto, Robert; Fink, David; Zwartz, Dan; Gore, Damian; Lavoie, Caroline</t>
  </si>
  <si>
    <t>Retreat of the East Antarctic ice sheet during the last glacial termination</t>
  </si>
  <si>
    <t>PRODUCTION-RATE CALIBRATION; SEA-LEVEL CHANGE; HOLOCENE DEGLACIATION; EXPOSURE AGES; HISTORY; CLIMATE; PENINSULA; MAXIMUM; HILLS; SHELF</t>
  </si>
  <si>
    <t>The retreat of the East Antarctic ice sheet at the end of the last glacial period has been attributed to both sea-level rise and warming of the ocean at the margin of the ice sheet, but it has been challenging to test these hypotheses. Given the lack of constraints on the timing of retreat, it has been difficult to evaluate whether the East Antarctic ice sheet contributed to meltwater pulse 1a, an abrupt sea-level rise of approximately 20 m that occurred about 14,700 years ago. Here we use terrestrial exposure ages and marine sedimentological analyses to show that ice retreat in Mac. Robertson Land, East Antarctica, initiated about 14,000 years ago, became widespread about 12,000 years ago, and was completed by about 7,000 years ago. We use two models of different complexities to assess the forcing of the retreat. Our simulations suggest that, although the initial stage of retreat may have been forced by sea-level rise, the majority of the ice loss resulted from ocean warming at the onset of the Holocene epoch. In light of our age model we conclude that the East Antarctic ice sheet is unlikely to have been the source of meltwater pulse 1a, and, on the basis of our simulations, suggest that Antarctic ice sheets made an insignificant contribution to eustatic sea-level rise at this time.</t>
  </si>
  <si>
    <t>[Mackintosh, Andrew; Golledge, Nicholas; Zwartz, Dan] Victoria Univ Wellington, Antarctic Res Ctr, Wellington 6012, New Zealand; [Domack, Eugene; Lavoie, Caroline] Hamilton Coll, Dept Geosci, Clinton, NY 13323 USA; [Dunbar, Robert] Stanford Univ, Stanford, CA 94305 USA; [Leventer, Amy] Colgate Univ, Dept Geol, Hamilton, NY 13346 USA; [White, Duanne; Gore, Damian] Macquarie Univ, Dept Environm &amp; Geog, N Ryde, NSW 2109, Australia; [Pollard, David] Penn State Univ, Earth &amp; Environm Syst Inst, University Pk, PA 16802 USA; [DeConto, Robert] Univ Massachusetts, Dept Geosci, Amherst, MA 01003 USA; [Fink, David] Australian Nucl Sci &amp; Technol Org, Inst Environm Res, Menai, NSW 2234, Australia</t>
  </si>
  <si>
    <t>Victoria University Wellington; Hamilton College; Stanford University; Colgate University; Macquarie University; Pennsylvania Commonwealth System of Higher Education (PCSHE); Pennsylvania State University; Pennsylvania State University - University Park; University of Massachusetts System; University of Massachusetts Amherst; Australian Nuclear Science &amp; Technology Organisation</t>
  </si>
  <si>
    <t>Mackintosh, A (corresponding author), Victoria Univ Wellington, Antarctic Res Ctr, Wellington 6012, New Zealand.</t>
  </si>
  <si>
    <t>andrew.mackintosh@vuw.ac.nz</t>
  </si>
  <si>
    <t>fink, David/A-9518-2012; White, Duanne A/E-6919-2012; Lavoie, Caroline/J-5968-2013</t>
  </si>
  <si>
    <t>fink, David/0000-0001-7156-4602; Lavoie, Caroline/0000-0002-4477-1443; Dunbar, Robert/0000-0002-9728-5609; Leventer, Amy/0000-0001-9401-0987; Mackintosh, Andrew/0000-0002-6430-4711; Golledge, Nicholas/0000-0001-7676-8970; Gore, Damian/0000-0002-0377-8518; White, Duanne/0000-0003-0740-2072</t>
  </si>
  <si>
    <t>VUW Foundation [ARCCIM, ARCMORG]; New Zealand FRST ANDRILL; ANZICE [CO5X1001, VICX0704]; National Science Foundation [OPP-9909367, OPP-9909837]; NSF-OPP [0732467]; Australian Antarctic Division [AAS1071, 1332]; Australian Institute of Nuclear Science and Engineering [03/048]; Australian Research Council [DP0556728]; Macquarie University; Australian Research Council [DP0556728] Funding Source: Australian Research Council; Directorate For Geosciences; Office of Polar Programs (OPP) [0732467] Funding Source: National Science Foundation</t>
  </si>
  <si>
    <t>VUW Foundation; New Zealand FRST ANDRILL; ANZICE; National Science Foundation(National Science Foundation (NSF)); NSF-OPP(National Science Foundation (NSF)); Australian Antarctic Division; Australian Institute of Nuclear Science and Engineering; Australian Research Council(Australian Research Council); Macquarie University; Australian Research Council(Australian Research Council); Directorate For Geosciences; Office of Polar Programs (OPP)(National Science Foundation (NSF)NSF - Directorate for Geosciences (GEO))</t>
  </si>
  <si>
    <t>The New Zealand team acknowledges financial support from VUW Foundation grants ARCCIM, ARCMORG and New Zealand FRST ANDRILL and ANZICE grants CO5X1001 and VICX0704. The US team thanks the scientific staff, Captain J. Borkowski and his ECO crew, and the Raytheon Polar Services staff who participated on cruise NBP0101. The marine work was supported by National Science Foundation grants OPP-9909367 to A.L., OPP-9909837 to R.D. and NSF-OPP grant 0732467 to E.D. The Australian team thanks the Australian Antarctic Division (AAS1071, 1332), Australian Institute of Nuclear Science and Engineering (03/048), Australian Research Council (DP0556728) and Macquarie University for logistic and financial support. We also thank staff at the Antarctic Marine Geology Research Facility at Florida State University, and T. Fanning, J. Pickard and T. Labrum for field assistance. K. Fleming provided modelled eustatic sea-level data. R. Peltier and R. Drummond provided both eustatic and relative sea-level data for the Mac. Robertson Land coast. B. Hall calibrated and interpreted 14C ages from Taylor Valley.</t>
  </si>
  <si>
    <t>10.1038/NGEO1061</t>
  </si>
  <si>
    <t>WOS:000287802300021</t>
  </si>
  <si>
    <t>Jazdzewska, A</t>
  </si>
  <si>
    <t>Jazdzewska, Anna</t>
  </si>
  <si>
    <t>Soft bottom sublittoral amphipod fauna of Admiralty Bay, King George Island, Antarctic</t>
  </si>
  <si>
    <t>OCEANOLOGICAL AND HYDROBIOLOGICAL STUDIES</t>
  </si>
  <si>
    <t>LAST GLACIAL MAXIMUM; SOUTHERN-OCEAN; ICE-SHEET; CRUSTACEA; BIODIVERSITY; BIOGEOGRAPHY; LILJEBORGIA; HISTORY; GENUS; SEA</t>
  </si>
  <si>
    <t>The present analysis is based on 140 quantitative samples collected from depths of 20 to 500 m in the central basin of Admiralty Bay and its inner shallow area, Ezcurra Inlet. One hundred and twenty species were identified, of which 47 species were new for Admiralty Bay. Mean density of crustaceans decreased with depth. Highest species richness was observed at depths of 50 - 100 m. Historical data and present investigations revealed distinct differences in the amphipod assemblages at different depths. In the subtidal zone, Gondogeneia antarctica was the dominant species; in the shallow sublittoral (down to ca 50 m) Prostebbingia gracilis and Hippomedon kergueleni played an important role. Below 50 m, the importance of phoxocephalid species increased.</t>
  </si>
  <si>
    <t>Jazdzewska, A (corresponding author), Univ Lodz, Lab Polar Biol &amp; Oceanobiol, Ul Banacha 12-16, PL-90237 Lodz, Poland.</t>
  </si>
  <si>
    <t>jazdz@wp.pl</t>
  </si>
  <si>
    <t>Jazdzewska, Anna/AAK-4697-2020</t>
  </si>
  <si>
    <t>Jazdzewska, Anna/0000-0003-2529-0641</t>
  </si>
  <si>
    <t>Polish Ministry of Science and Higher Education [51/N-IPY/2007/0]; European Community</t>
  </si>
  <si>
    <t>Polish Ministry of Science and Higher Education(Ministry of Science and Higher Education, Poland); European Community</t>
  </si>
  <si>
    <t>Thanks to M. Grabowski and K. Jazdzewski for their comments and to K. Magner for checking the language of the manuscript. This work was supported by research grant 51/N-IPY/2007/0 from the Polish Ministry of Science and Higher Education. Support was also received from the Synthesys Project, which is financed by the European Community Research Infrastructure Action under the FP6 Structuring the European Research Area Programme. Part of the identification was carried out during visits to the Institute royal des Sciences naturelles de Belgique. Some of the data used in this paper were obtained from the Australian Antarctic Data Centre (IDN Node AMD/AU), a part of the Australian Antarctic Division (Commonwealth of Australia). These data are described in the metadata record Impacts of trawling on benthic habitats in the subantarctic and high antarctic - Benthic Invertebrate Database Constable, A., Doust, S., Lamb, T., Moore, K. and Welsford, D. (2007, updated 2008).</t>
  </si>
  <si>
    <t>1730-413X</t>
  </si>
  <si>
    <t>1897-3191</t>
  </si>
  <si>
    <t>OCEANOL HYDROBIOL ST</t>
  </si>
  <si>
    <t>Oceanol. Hydrobiol. Stud.</t>
  </si>
  <si>
    <t>10.2478/s13545-011-0001-z</t>
  </si>
  <si>
    <t>811RX</t>
  </si>
  <si>
    <t>WOS:000294231900001</t>
  </si>
  <si>
    <t>Hall, S; Thatje, S</t>
  </si>
  <si>
    <t>Hall, Sally; Thatje, Sven</t>
  </si>
  <si>
    <t>Temperature-driven biogeography of the deep-sea family Lithodidae (Crustacea: Decapoda: Anomura) in the Southern Ocean</t>
  </si>
  <si>
    <t>Cold adaptation; King crab; Predators; Climate change; Polar ecosystems; Biogeography</t>
  </si>
  <si>
    <t>EARLY JUVENILE DEVELOPMENT; REPRODUCTIVE-BIOLOGY; CLIMATE-CHANGE; CRAB; ECOLOGY; LARVAL; LIMITATION; TOLERANCE; BRACHYURA; SANTOLLA</t>
  </si>
  <si>
    <t>Species' distributions are dynamic and are linked to the changing physical environment. Temperature is considered to be a major factor influencing biogeography, especially in ectotherms such as the family Lithodidae. Lithodids are rare amongst decapods in their ability to inhabit the higher latitudes of the Southern Ocean; however, they are usually found in locations where water temperature is above 0.5 degrees C. This study, for the first time, provides a baseline indication of the limits of the lithodid distribution around Antarctica, which will be instrumental in any future work on range extensions in this group. The distribution of lithodids is likely to change as temperatures along the West Antarctic Peninsula continue to rise, and range extensions by durophagous predators, such as the lithodids, are regarded as a potential threat to the unique structure of Antarctic continental-shelf ecosystems.</t>
  </si>
  <si>
    <t>[Hall, Sally; Thatje, Sven] Univ Southampton, Natl Oceanog Ctr, Sch Ocean &amp; Earth Sci, Southampton SO14 3ZH, Hants, England</t>
  </si>
  <si>
    <t>University of Southampton; NERC National Oceanography Centre</t>
  </si>
  <si>
    <t>Hall, S (corresponding author), Univ Southampton, Natl Oceanog Ctr, Sch Ocean &amp; Earth Sci, European Way, Southampton SO14 3ZH, Hants, England.</t>
  </si>
  <si>
    <t>smh57@noc.soton.ac.uk</t>
  </si>
  <si>
    <t>Total Foundation [Abyss2100]; Marine Biodiversity and Ecosystem Functioning Network of Excellence MarBEF [GOCE-CT-2003-505446]; NERC</t>
  </si>
  <si>
    <t>Total Foundation(Total SA); Marine Biodiversity and Ecosystem Functioning Network of Excellence MarBEF; NERC(UK Research &amp; Innovation (UKRI)Natural Environment Research Council (NERC))</t>
  </si>
  <si>
    <t>This research is supported through a grant from the Total Foundation (Abyss2100) to Sven Thatje. We would like to thank staff at the National Museum of Natural History, Smithsonian Institute, Washington (USNM), especially Rafael Lemaitre and Karen Reed; Regis Cleva at the Museum national d'Histoire naturelle, Paris (MNHN); Paul Clark at the Natural History Museum (NHM), London; Enrique Macpherson at the Centro de Estudios Avanzados de Blanes; Michael Turkay at the Senckenberg Museum, Frankfurt; and Ana Ramos and her group at Instituto Espanol de Oceanografia, Vigo. This study would not have been possible without the information made available by these institutions. This work was supported by the Marine Biodiversity and Ecosystem Functioning Network of Excellence MarBEF (contract no. GOCE-CT-2003-505446) of the FP6, and through a NERC PhD studentship to Sally Hall.</t>
  </si>
  <si>
    <t>10.1007/s00300-010-0890-0</t>
  </si>
  <si>
    <t>WOS:000288349800005</t>
  </si>
  <si>
    <t>Smith, JA; Hillenbrand, CD; Kuhn, G; Larter, RD; Graham, AGC; Ehrmann, W; Moreton, SG; Forwick, M</t>
  </si>
  <si>
    <t>Smith, James A.; Hillenbrand, Claus-Dieter; Kuhn, Gerhard; Larter, Robert D.; Graham, Alastair G. C.; Ehrmann, Werner; Moreton, Steven G.; Forwick, Matthias</t>
  </si>
  <si>
    <t>Deglacial history of the West Antarctic Ice Sheet in the western Amundsen Sea Embayment</t>
  </si>
  <si>
    <t>West Antarctic Ice Sheet (WAIS); Last Glacial Maximum (LGM); Amundsen sea; Dating; Deglaciation; Reverse slope</t>
  </si>
  <si>
    <t>LAST GLACIAL MAXIMUM; PINE ISLAND GLACIER; ROSS-SEA; SURFACE SEDIMENTS; HOLOCENE RETREAT; SUBGLACIAL TILL; FLOW DYNAMICS; C-14 DATES; PENINSULA; RADIOCARBON</t>
  </si>
  <si>
    <t>The Amundsen Sea Embayment (ASE) drains approximately 35% of the West Antarctic Ice Sheet (WAIS) and is one of the most rapidly changing parts of the cryosphere. In order to predict future ice sheet behaviour, modellers require long-term records of ice-sheet melting to constrain and build confidence in their simulations. Here, we present detailed marine geological and radiocarbon data along three palaeo-ice stream tributary troughs in the western ASE to establish vital information on the timing of deglaciation of the WAIS since the Last Glacial Maximum (LGM). We have undertaken multi-proxy analyses of the cores (core description, shear strength, x-radiographs, magnetic susceptibility, wet bulk density, total organic carbon/nitrogen, carbonate content and clay mineral analyses) in order to: (1) characterise the sedimentological facies and depositional environments; and (2) identify the horizon(s) in each core that would yield the most reliable age for deglaciation. In accordance with previous studies we identify three key facies, which offer the most reliable stratigraphies for dating deglaciation by recording the transition from a grounded ice sheet to open marine environments. These facies are: i) subglacial, ii) proximal grounding line, and iii) seasonal open marine. In addition, we incorporate ages from other facies (e.g., glaciomarine diamictons deposited at some distance from the grounding line, such as glaciogenic debris flows and iceberg-rafted diamictons and turbates) into our deglacial model. In total, we have dated 78 samples (mainly the acid insoluble organic (AIO) fraction, but also calcareous foraminifers), which include 63 downcore and 15 surface samples. Through careful sample selection prior to dating, we have established a robust deglacial chronology for this sector of the WAIS. Our data show that deglaciation of the western ASE was probably underway as early as 22,351 calibrated years before present (cal yr BP), reaching the mid-shelf by 13,837 cal yr BP and the inner shelf to within c.10-12 km of the present ice shelf front between 12,618 and 10,072 cal yr BR The deglacial steps in the western ASE broadly coincide with the rapid rises in sea-level associated with global meltwater pulses 1 a and 1b, although given the potential dating uncertainty, additional, more precise ages are required before these findings can be fully substantiated. Finally, we show that the rate of ice-sheet retreat increased across the deep (up to 1600 m) basins of the inner shelf, highlighting the importance of reverse slope and pinning points in accelerated phases of deglaciation. (C) 2010 Elsevier Ltd. All rights reserved.</t>
  </si>
  <si>
    <t>[Smith, James A.; Hillenbrand, Claus-Dieter; Larter, Robert D.; Graham, Alastair G. C.] British Antarctic Survey, Cambridge CB3 0ET, England; [Kuhn, Gerhard] Alfred Wegener Inst Polar &amp; Marine Res, D-27515 Bremerhaven, Germany; [Ehrmann, Werner] Univ Leipzig, Inst Geophys &amp; Geol, D-04103 Leipzig, Germany; [Moreton, Steven G.] NERC Radiocarbon Facil Environm, E Kilbride, Lanark, Scotland; [Forwick, Matthias] Univ Tromso, Dept Geol, N-9037 Tromso, Norway</t>
  </si>
  <si>
    <t>UK Research &amp; Innovation (UKRI); Natural Environment Research Council (NERC); NERC British Antarctic Survey; Helmholtz Association; Alfred Wegener Institute, Helmholtz Centre for Polar &amp; Marine Research; Leipzig University; UK Research &amp; Innovation (UKRI); Natural Environment Research Council (NERC); NERC British Geological Survey; UiT The Arctic University of Tromso</t>
  </si>
  <si>
    <t>Smith, JA (corresponding author), British Antarctic Survey, Madingley Rd, Cambridge CB3 0ET, England.</t>
  </si>
  <si>
    <t>jaas@bas.ac.uk</t>
  </si>
  <si>
    <t>Smith, James A/N-1836-2013; Moreton, Steven G/C-2373-2009</t>
  </si>
  <si>
    <t>Moreton, Steven G/0000-0002-8030-2433; Forwick, Matthias/0000-0001-6153-5891; Kuhn, Gerhard/0000-0001-6069-7485; Larter, Robert/0000-0002-8414-7389; Graham, Alastair/0000-0002-2880-2908</t>
  </si>
  <si>
    <t>Natural Environment Research Council; Alfred Wegener Institute; UK Natural Environment Research Council (NERC) [NE/F000359/1]; Deutsche Forschungsgemeinschaft; NERC [NE/F000359/1, NRCF010001, bas0100027, bosc01001] Funding Source: UKRI; Natural Environment Research Council [NRCF010001, bas0100027, NE/F000359/1, bosc01001] Funding Source: researchfish</t>
  </si>
  <si>
    <t>Natural Environment Research Council(UK Research &amp; Innovation (UKRI)Natural Environment Research Council (NERC)); Alfred Wegener Institute; UK Natural Environment Research Council (NERC)(UK Research &amp; Innovation (UKRI)Natural Environment Research Council (NERC)); Deutsche Forschungsgemeinschaft(German Research Foundation (DFG)); NERC(UK Research &amp; Innovation (UKRI)Natural Environment Research Council (NERC)); Natural Environment Research Council(UK Research &amp; Innovation (UKRI)Natural Environment Research Council (NERC))</t>
  </si>
  <si>
    <t>This study is part of the British Antarctic Survey Polar Science for Planet Earth Programme (GRADES-QWAD and Palaeo-Ice Sheets work package), funded by The Natural Environment Research Council. Additional funding from the Alfred Wegener Institute MARCOPOLI Programme, the UK Natural Environment Research Council (NERC) New Investigator Grant NE/F000359/1 and the Deutsche Forschungsgemeinschaft (grant to Werner Ehrmann) is also acknowledged. We wish to thank the expert technical help of NDT services (notably Ian Tomlinson and Zammo) for providing core x-rays and Jeremy Sothcott (BOSCORF) for help with core logging. In addition, we thank the captains, officers, crew, support staff and scientists who participated in cruises JR141 and ANT-XXIII/4. Finally the comments of Phil O'Brien and an anonymous reviewer are greatly appreciated and have helped improve the clarity of our paper.</t>
  </si>
  <si>
    <t>10.1016/j.quascirev.2010.11.020</t>
  </si>
  <si>
    <t>WOS:000288840000002</t>
  </si>
  <si>
    <t>Honary, F; Marple, SR; Barratt, K; Chapman, P; Grill, M; Nielsen, E</t>
  </si>
  <si>
    <t>Honary, Farideh; Marple, Steve R.; Barratt, Keith; Chapman, Peter; Grill, Martin; Nielsen, Erling</t>
  </si>
  <si>
    <t>Invited Article: Digital beam-forming imaging riometer systems</t>
  </si>
  <si>
    <t>REVIEW OF SCIENTIFIC INSTRUMENTS</t>
  </si>
  <si>
    <t>RESOLUTION; IMAGER</t>
  </si>
  <si>
    <t>The design and operation of a new generation of digital imaging riometer systems developed by Lancaster University are presented. In the heart of the digital imaging riometer is a field-programmable gate array (FPGA), which is used for the digital signal processing and digital beam forming, completely replacing the analog Butler matrices which have been used in previous designs. The reconfigurable nature of the FPGA has been exploited to produce tools for remote system testing and diagnosis which have proven extremely useful for operation in remote locations such as the Arctic and Antarctic. Different FPGA programs enable different instrument configurations, including a 4 x 4 antenna filled array (producing 4 x 4 beams), an 8 x 8 antenna filled array (producing 7 x 7 beams), and a Mills cross system utilizing 63 antennas producing 556 usable beams. The concept of using a Mills cross antenna array for riometry has been successfully demonstrated for the first time. The digital beam forming has been validated by comparing the received signal power from cosmic radio sources with results predicted from the theoretical beam radiation pattern. The performances of four digital imaging riometer systems are compared against each other and a traditional imaging riometer utilizing analog Butler matrices. The comparison shows that digital imaging riometer systems, with independent receivers for each antenna, can obtain much better measurement precision for filled arrays or much higher spatial resolution for the Mills cross configuration when compared to existing imaging riometer systems. (C) 2011 American Institute of Physics. [doi:10.1063/1.3567309]</t>
  </si>
  <si>
    <t>[Honary, Farideh; Marple, Steve R.; Chapman, Peter] Univ Lancaster, Dept Phys, Lancaster LA1 4YB, England; [Barratt, Keith] Cable Sense Ltd, Lancaster LA1 4XQ, England; [Grill, Martin] SRI Int, Menlo Pk, CA 94025 USA; [Nielsen, Erling] Max Planck Inst Solar Syst Res, D-37191 Katlenburg Lindau, Germany</t>
  </si>
  <si>
    <t>Lancaster University; SRI International; Max Planck Society</t>
  </si>
  <si>
    <t>Honary, F (corresponding author), Univ Lancaster, Dept Phys, Lancaster LA1 4YB, England.</t>
  </si>
  <si>
    <t>f.honary@lancaster.ac.uk</t>
  </si>
  <si>
    <t>Marple, Steven/0000-0002-7544-5130; Honary, Farideh/0000-0002-7998-5628</t>
  </si>
  <si>
    <t>Royal Society Visiting Fellowship; UK's Particle Physics and Astronomy Research Council (PPARC); Science and Technology Facilities Council (STFC); STFC [ST/F003005/1] Funding Source: UKRI; Science and Technology Facilities Council [ST/F003005/1] Funding Source: researchfish</t>
  </si>
  <si>
    <t>Royal Society Visiting Fellowship(Royal Society); UK's Particle Physics and Astronomy Research Council (PPARC); Science and Technology Facilities Council (STFC)(UK Research &amp; Innovation (UKRI)Science &amp; Technology Facilities Council (STFC)Science and Technology Development Fund (STDF)); STFC(UK Research &amp; Innovation (UKRI)Science &amp; Technology Facilities Council (STFC)); Science and Technology Facilities Council(UK Research &amp; Innovation (UKRI)Science &amp; Technology Facilities Council (STFC))</t>
  </si>
  <si>
    <t>We are deeply indebted to the late Tor Hagfors, who provided invaluable advice and input, especially during his three-month visit to Lancaster University made possible through a Royal Society Visiting Fellowship. We gratefully acknowledge the support given by Andrew Senior. We thank Paul Wild for his assistance calculating the side lobe levels for the ARIES and IRIS riometers, and Mathew Beharrell for the riometer phase maps.; ARIES development was funded by the UK's Particle Physics and Astronomy Research Council (PPARC), now the Science and Technology Facilities Council (STFC). We would like to thank all at the European Incoherent Scatter Radar (EISCAT) facility in Tromso for their practical assistance with the installation and operation of ARIES. We thank our colleagues at the Arctic Lidar Observatory for Middle Atmosphere Research (ALOMAR), Andoya, Norway, for their support deploying and operating AIRIS; our colleagues at the Polar Research Institute of China for their support in deploying the riometer at Ny-Alesund, Norway; and also our colleagues at the Indian Institute of Geomagnetism in Mumbai for deploying the riometer at Maitri, Antarctica.</t>
  </si>
  <si>
    <t>1305 WALT WHITMAN RD, STE 300, MELVILLE, NY 11747-4501 USA</t>
  </si>
  <si>
    <t>0034-6748</t>
  </si>
  <si>
    <t>1089-7623</t>
  </si>
  <si>
    <t>REV SCI INSTRUM</t>
  </si>
  <si>
    <t>Rev. Sci. Instrum.</t>
  </si>
  <si>
    <t>10.1063/1.3567309</t>
  </si>
  <si>
    <t>Instruments &amp; Instrumentation; Physics, Applied</t>
  </si>
  <si>
    <t>Instruments &amp; Instrumentation; Physics</t>
  </si>
  <si>
    <t>745EV</t>
  </si>
  <si>
    <t>WOS:000289149600001</t>
  </si>
  <si>
    <t>Production of an extracellular protease by an Antarctic bacterial isolate (Bacillus sp. JSP1) as a potential feed additive</t>
  </si>
  <si>
    <t>REVISTA COLOMBIANA DE CIENCIAS PECUARIAS</t>
  </si>
  <si>
    <t>antarctic; Bacillus sp.; feed additive; keratin; livestock production; protease</t>
  </si>
  <si>
    <t>ALKALINE PROTEASE; KERATINOLYTIC ACTIVITY; SERINE-PROTEASE; PURIFICATION; KERATINASE; PERFORMANCE; ALIGNMENT; SEQUENCE; STARTER; GROWTH</t>
  </si>
  <si>
    <t>Extracellular proteolytic activity was found in JSP1, an Antarctic bacterial isolate. The strain was related to Bacillus sp, based on 16S rRNA gene sequence analysis. The JSP1 protease was partially purified by ammonium sulfate precipitation. Optimal enzyme activity occurred at 40 degrees C and pH 7.4. Enzyme activity was significantly enhanced in the presence of Mg2+ and Ca2+ and was completely inactivated in presence of Cu2+, Zn2+, Hg2+, EDTA and SDS. The enzyme hydrolyzed casein the most effectively among the protein substrates tested. The enzyme also exhibited relatively high activity on keratin and gluten, and was active against peptidyl conjugates such as L-Leu-p-Nitroanilide and N-Succinyl-L-Phe-p-Nitroanilide. This study suggests that JSP1 protease could be utilized as a potential environmentally-friendly feed additive in animal production.</t>
  </si>
  <si>
    <t>[Cho, Jaiesoon] Konkuk Univ, Dept Anim Sci &amp; Environm, Coll Anim Biosci &amp; Technol, Seoul 143701, South Korea; [Park, Inkyung] Konkuk Univ, Anim Resources Res Ctr, Coll Anim Biosci &amp; Technol, Seoul 143701, South Korea</t>
  </si>
  <si>
    <t>Konkuk University; Konkuk University</t>
  </si>
  <si>
    <t>Cho, J (corresponding author), Konkuk Univ, Dept Anim Sci &amp; Environm, Coll Anim Biosci &amp; Technol, 1 Hwayang Dong, Seoul 143701, South Korea.</t>
  </si>
  <si>
    <t>UNIV ANTIOQUIA, FAC CIENCIAS AGRARIAS</t>
  </si>
  <si>
    <t>MEDELLIN</t>
  </si>
  <si>
    <t>CIUDADELA ROBLEDO, CARRERA 75 NO 65-87 OF 6-225, APARTADO AEREO 1226, MEDELLIN, 00000, COLOMBIA</t>
  </si>
  <si>
    <t>0120-0690</t>
  </si>
  <si>
    <t>2256-2958</t>
  </si>
  <si>
    <t>REV COLOMB CIENC PEC</t>
  </si>
  <si>
    <t>Rev. Colomb Cienc. Pecu.</t>
  </si>
  <si>
    <t>Agriculture, Dairy &amp; Animal Science</t>
  </si>
  <si>
    <t>859CI</t>
  </si>
  <si>
    <t>WOS:000297851500002</t>
  </si>
  <si>
    <t>Melles, M; Brigham-Grette, J; Minyuk, P; Koeberl, C; Andreev, A; Cook, T; Fedorov, G; Gebhardt, C; Haltia-Hovi, E; Kukkonen, M; Nowaczyk, N; Schwamborn, G; Wennrich, V</t>
  </si>
  <si>
    <t>Melles, Martin; Brigham-Grette, Julie; Minyuk, Pavel; Koeberl, Christian; Andreev, Andrei; Cook, Timothy; Fedorov, Grigory; Gebhardt, Catalina; Haltia-Hovi, Eeva; Kukkonen, Maaret; Nowaczyk, Norbert; Schwamborn, Georg; Wennrich, Volker</t>
  </si>
  <si>
    <t>El'Gygytgyn Scientific Party</t>
  </si>
  <si>
    <t>The Lake El'gygytgyn Scientific Drilling Project Conquering Arctic Challenges through Continental Drilling</t>
  </si>
  <si>
    <t>SCIENTIFIC DRILLING</t>
  </si>
  <si>
    <t>IMPACT CRATER; CORE PG1351; CHUKOTKA; SEDIMENTS; RECORD; CLIMATE; RUSSIA; GEOCHEMISTRY; SIBERIA; AGE</t>
  </si>
  <si>
    <t>Between October 2008 and May 2009, the International Continental Scientific Drilling Program (ICDP) co-sponsored a campaign at Lake El ' gygytgyn, located in a 3.6-Ma-old meteorite impact crater in northeastern Siberia. Drilling targets included three holes in the center of the 170-m-deep lake, utilizing the lake ice cover as a drilling platform, plus one hole close to the shore in the western lake catchment. At the lake's center. the entire 315-m-thick lake sediment succession was penetrated. The sediments lack any hiatuses (i.e., no evidence of basin glaciation or desiccation), and their composition reflects the regional climatic and environmental history with great sensitivity. Hence, the record provides the first comprehensive and widely timecontinuous insights into the evolution of the terrestrial Arctic since mid-Pliocene times. This is particularly true for the lowermost 40 meters and uppermost 150 meters of the sequence, which were drilled with almost 100% recovery and likely reflect the initial lake stage during the Pliocene and the last similar to 2.9 Ma, respectively. Nearly 200 meters of underlying rock were also recovered; these cores consist of an almost complete section of the various types of impact breccias including broken and fractured volcanic basement rocks and associated melt clasts. The investigation of this core sequence promises new information concerning the El ' gygytgyn impact event, including the composition and nature of the meteorite, the energy released, and the shock behavior of the volcanic basement rocks. Complementary information on the regional environmental history, including the permafrost history and lake-level fluctuations, is being developed from a 142-m-long drill core recovered from the permafrost deposits in the lake catchment. This core consists of gravelly and sandy alluvial fan deposits in ice-rich permafrost, presumably comprising a discontinuous record of both Quaternary and Pliocene deposits.</t>
  </si>
  <si>
    <t>[Melles, Martin; Andreev, Andrei; Kukkonen, Maaret; Wennrich, Volker] Univ Cologne, Inst Geol &amp; Mineral, Zuelpicher Str 49a, D-50674 Cologne, Germany; [Brigham-Grette, Julie; Cook, Timothy] Univ Massachusetts, Dept Geosci, Amherst, MA 01003 USA; [Minyuk, Pavel] FEB RAS, North East Interdisciplinary Sci Res Inst, Magadan 685000, Russia; [Koeberl, Christian] Univ Vienna, Dept Lithospher Res, A-1090 Vienna, Austria; [Koeberl, Christian] Nat Hist Museum, A-1010 Vienna, Austria; [Fedorov, Grigory] Arctic &amp; Antarctic Res Inst, St Petersburg 199397, Russia; [Gebhardt, Catalina; Schwamborn, Georg] Alfred Wegener Inst Polar &amp; Marine Res, D-27568 Bremerhaven, Germany; [Haltia-Hovi, Eeva; Nowaczyk, Norbert] GFZ German Res Ctr Geosci, D-14473 Potsdam, Germany</t>
  </si>
  <si>
    <t>University of Cologne; University of Massachusetts System; University of Massachusetts Amherst; Russian Academy of Sciences; University of Vienna; Arctic &amp; Antarctic Research Institute; Helmholtz Association; Alfred Wegener Institute, Helmholtz Centre for Polar &amp; Marine Research; Helmholtz Association; Helmholtz-Center Potsdam GFZ German Research Center for Geosciences</t>
  </si>
  <si>
    <t>Melles, M (corresponding author), Univ Cologne, Inst Geol &amp; Mineral, Zuelpicher Str 49a, D-50674 Cologne, Germany.</t>
  </si>
  <si>
    <t>mmelles@uni-koeln.de</t>
  </si>
  <si>
    <t>Wennrich, Volker/I-3435-2012; Andreev, Andrei A/J-2701-2015; Gebhardt, Catalina/AHI-6432-2022; Schwamborn, Georg Johannes/ABC-9636-2020; Melles, Martin/J-4070-2012; Fedorov, Grigory/N-5788-2019</t>
  </si>
  <si>
    <t>Wennrich, Volker/0000-0003-3617-1963; Andreev, Andrei A/0000-0002-8745-9636; Gebhardt, Catalina/0000-0002-3227-0676; Schwamborn, Georg Johannes/0000-0001-9635-0539; Melles, Martin/0000-0003-0977-9463; Fedorov, Grigory/0000-0003-2269-4501; Cook, Timothy/0000-0002-4982-6415; Koeberl, Christian/0000-0001-5155-7405</t>
  </si>
  <si>
    <t>International Continental Scientific Drilling Program (ICDP); U.S. National Science Foundation (NSF); German Federal Ministry of Education and Research (BMBF); Alfred Wegener Institute (AWI); GeoForschungsZentrum Potsdam (GFZ); Russian Academy of Sciences Far East Branch (RAS FEB); Russian Foundation for Basic Research (RFBR); Austrian Federal Ministry of Science and Research (BMWF)</t>
  </si>
  <si>
    <t>International Continental Scientific Drilling Program (ICDP); U.S. National Science Foundation (NSF)(National Science Foundation (NSF)); German Federal Ministry of Education and Research (BMBF)(Federal Ministry of Education &amp; Research (BMBF)); Alfred Wegener Institute (AWI); GeoForschungsZentrum Potsdam (GFZ); Russian Academy of Sciences Far East Branch (RAS FEB); Russian Foundation for Basic Research (RFBR)(Russian Foundation for Basic Research (RFBR)); Austrian Federal Ministry of Science and Research (BMWF)</t>
  </si>
  <si>
    <t>Funding for this research was provided by the International Continental Scientific Drilling Program (ICDP), the U.S. National Science Foundation (NSF), the German Federal Ministry of Education and Research (BMBF), Alfred Wegener Institute (AWI) and GeoForschungsZentrum Potsdam (GFZ), the Russian Academy of Sciences Far East Branch (RAS FEB), the Russian Foundation for Basic Research (RFBR), and the Austrian Federal Ministry of Science and Research (BMWF).</t>
  </si>
  <si>
    <t>COPERNICUS GESELLSCHAFT MBH</t>
  </si>
  <si>
    <t>GOTTINGEN</t>
  </si>
  <si>
    <t>BAHNHOFSALLEE 1E, GOTTINGEN, 37081, GERMANY</t>
  </si>
  <si>
    <t>1816-8957</t>
  </si>
  <si>
    <t>1816-3459</t>
  </si>
  <si>
    <t>SCI DRILL</t>
  </si>
  <si>
    <t>Sci. Drill.</t>
  </si>
  <si>
    <t>10.2204/iodp.sd.11.03.2011</t>
  </si>
  <si>
    <t>V53FQ</t>
  </si>
  <si>
    <t>Green Submitted, gold, Green Published</t>
  </si>
  <si>
    <t>WOS:000210343700003</t>
  </si>
  <si>
    <t>Nisbet, ICT; Mostello, CS; Veit, RR; Fox, JW; Afanasyev, V</t>
  </si>
  <si>
    <t>Nisbet, Ian C. T.; Mostello, Carolyn S.; Veit, Richard R.; Fox, James W.; Afanasyev, Vsevolod</t>
  </si>
  <si>
    <t>Migrations and Winter Quarters of Five Common Terns Tracked Using Geolocators</t>
  </si>
  <si>
    <t>Common Tern; geolocator; Massachusetts; migration; seabird; staging; Sterna hirundo; winter quarters</t>
  </si>
  <si>
    <t>SOUTHERN BRAZIL; PELAGIC SEABIRD; FEEDING BIOLOGY; ARGENTINA; ROSEATE; FOOD</t>
  </si>
  <si>
    <t>Ten geolocators (light-level data loggers) were attached to Common Terns (Sterna hirundo) at a breeding site in the northeastern USA in 2007 and 2008; six were retrieved (five with useful data) in 2008 and 2009. The birds wintered in four discrete areas on the north and east coasts of South America, from Guyana (6-7 degrees N) to northeastern Argentina (36-42 degrees S); three remained within restricted areas for most or all of the winter, whereas two ranged more widely. They left the breeding area at various dates between 1 August and 14 September; three migrated directly from the breeding area while two first moved southwest to stage near Cape Hatteras. All five birds flew directly to the vicinity of Puerto Rico, then moved along the north and east coasts of South America, staging at scattered locations for periods of 3-11 d, before reaching their winter quarters at various dates from 6 September to 26 October. Two birds left their winter quarters on 2 March and 4 April, staged in northern Brazil for 47 and 6 d, then traveled via the Bahamas to reach the breeding site on 1 May. During breeding and post-breeding periods, the birds spent a mean of 7 min each day and virtually no time at night resting on the water, but during the rest of the year they often rested on the water for up to 6 h by day and up to 11 h at night. Leg-mounted geolocators caused several adverse effects but did not reduce survival. Received 26 February 2010, accepted 29 April 2010.</t>
  </si>
  <si>
    <t>[Nisbet, Ian C. T.] ICT Nisbet Co, N Falmouth, MA 02556 USA; [Mostello, Carolyn S.] Massachusetts Div Fisheries &amp; Wildlife, Westborough, MA 01581 USA; [Veit, Richard R.] CUNY Coll Staten Isl, Dept Biol, Staten Isl, NY 10314 USA; [Fox, James W.; Afanasyev, Vsevolod] British Antarctic Survey, Cambridge CB3 0ET, England</t>
  </si>
  <si>
    <t>City University of New York (CUNY) System; College of Staten Island (CUNY); UK Research &amp; Innovation (UKRI); Natural Environment Research Council (NERC); NERC British Antarctic Survey</t>
  </si>
  <si>
    <t>Nisbet, ICT (corresponding author), ICT Nisbet Co, 150 Alder Lane, N Falmouth, MA 02556 USA.</t>
  </si>
  <si>
    <t>icnisbet@verizon.net</t>
  </si>
  <si>
    <t>Fox, James W./0000-0002-3107-696X</t>
  </si>
  <si>
    <t>Nuttall Ornithological Club; NERC [bas010013] Funding Source: UKRI; Natural Environment Research Council [bas010013] Funding Source: researchfish</t>
  </si>
  <si>
    <t>Nuttall Ornithological Club; NERC(UK Research &amp; Innovation (UKRI)Natural Environment Research Council (NERC)); Natural Environment Research Council(UK Research &amp; Innovation (UKRI)Natural Environment Research Council (NERC))</t>
  </si>
  <si>
    <t>We thank the Blake Fund of the Nuttall Ornithological Club for financial support, P. Szczys for sexing the birds, P. Trull for information on band removal in Guyana, J. Spendelow, S. Luecke, E. Lencer, N. French, J. Hatt and S. Mitra for help in the field, T. Boswell for help with GIS, and the New Bedford Harbor Trustee Council for logistical support.</t>
  </si>
  <si>
    <t>10.1675/063.034.0104</t>
  </si>
  <si>
    <t>WOS:000288524800004</t>
  </si>
  <si>
    <t>Ismar, SMH; Phillips, RA; Rayner, MJ; Hauber, ME</t>
  </si>
  <si>
    <t>Ismar, Stefanie M. H.; Phillips, Richard A.; Rayner, Matt J.; Hauber, Mark E.</t>
  </si>
  <si>
    <t>GEOLOCATION TRACKING OF THE ANNUAL MIGRATION OF ADULT AUSTRALASIAN GANNETS (MORUS SERRATOR) BREEDING IN NEW ZEALAND</t>
  </si>
  <si>
    <t>WILSON JOURNAL OF ORNITHOLOGY</t>
  </si>
  <si>
    <t>PETREL PTERODROMA-COOKII; OCEAN; SEABIRDS; BEHAVIOR</t>
  </si>
  <si>
    <t>The long breeding period and high reproductive investment of seabirds make use of resource-rich foraging areas pivotal both during and between breeding seasons. We tracked adult Australasian Gannets (Morus serrator) from their New Zealand breeding colony at Cape Kidnappers to Australia during the non-breeding period to assess wintering behavior and migratory routes for this species. Data from three recovered geolocation sensor (GLS) tags showed that both a male and a female M. serrator, and a hybrid M. capensis X M. serrator migrated across the Tasman Sea to winter in Australian and Tasmanian coastal waters. Tracked birds covered distances of up to 13,000 km on their migration. These movements were consistent with historical records of band recoveries. Received 28 April 2010. Accepted 29 September 2010.</t>
  </si>
  <si>
    <t>[Ismar, Stefanie M. H.; Rayner, Matt J.; Hauber, Mark E.] Univ Auckland, Sch Biol Sci, Auckland 1, New Zealand; [Phillips, Richard A.] British Antarctic Survey, Nat Environm Res Council, Cambridge CB3 0ET, England; [Rayner, Matt J.] Natl Inst Water &amp; Atmospher Res Ltd NIWA, Newmarket 1149, New Zealand; [Hauber, Mark E.] CUNY Hunter Coll, Dept Psychol, New York, NY 10065 USA</t>
  </si>
  <si>
    <t>University of Auckland; UK Research &amp; Innovation (UKRI); Natural Environment Research Council (NERC); NERC British Antarctic Survey; City University of New York (CUNY) System; Hunter College (CUNY)</t>
  </si>
  <si>
    <t>Ismar, SMH (corresponding author), Univ Auckland, Sch Biol Sci, Private Bag 92019, Auckland 1, New Zealand.</t>
  </si>
  <si>
    <t>sism007@aucklanduni.ac.nz</t>
  </si>
  <si>
    <t>Ismar, Stefanie MH/H-1133-2017</t>
  </si>
  <si>
    <t>Rayner, Matt/0000-0002-1168-6699</t>
  </si>
  <si>
    <t>Education New Zealand; Faculty of Science, University of Auckland; University of Auckland's Faculty of Science Research Committee; British Antarctic Survey Ecosystem Programme; Natural Environment Research Council [bas0100025] Funding Source: researchfish; NERC [bas0100025] Funding Source: UKRI</t>
  </si>
  <si>
    <t>Education New Zealand; Faculty of Science, University of Auckland; University of Auckland's Faculty of Science Research Committee; British Antarctic Survey Ecosystem Programme; Natural Environment Research Council(UK Research &amp; Innovation (UKRI)Natural Environment Research Council (NERC)); NERC(UK Research &amp; Innovation (UKRI)Natural Environment Research Council (NERC))</t>
  </si>
  <si>
    <t>This research was funded by Education New Zealand through an International Doctoral Research Scholarship and by the Faculty of Science, University of Auckland (to SMHI), the University of Auckland's Faculty of Science Research Committee (to MEH), and the British Antarctic Survey Ecosystem Programme (RAP). All research was conducted under Animal Ethics and Department of Conservation (DoC) research permits. The DoC, Napier Office, kindly provided accommodation in the field, and Cape Kidnappers landowners and farm managers kindly gave admission to the property. We thank Michael G. Anderson, Sandra H. Anderson, Donald C. Dearborn, Andrea Gager, Jethro S. Johnson, Angela F. Little, Gabriel Machovsky-Capuska, Craig D. Millar, Mala Nesaratnam, Stuart Parsons, David Raubenheimer, Rachel C. Shaw, Vivian Ward, Sarah J. Withers for help in the field, and Scott A. Shaffer and an anonymous referee for constructive comments on the manuscript.</t>
  </si>
  <si>
    <t>WILSON ORNITHOLOGICAL SOC</t>
  </si>
  <si>
    <t>5400 BOSQUE BLVD, STE 680, WACO, TX 76710 USA</t>
  </si>
  <si>
    <t>1559-4491</t>
  </si>
  <si>
    <t>WILSON J ORNITHOL</t>
  </si>
  <si>
    <t>Wilson J. Ornithol.</t>
  </si>
  <si>
    <t>10.1676/10-072.1</t>
  </si>
  <si>
    <t>734TB</t>
  </si>
  <si>
    <t>WOS:000288360100015</t>
  </si>
  <si>
    <t>Kulk, G; van de Poll, WH; Visser, RJW; Buma, AGJ</t>
  </si>
  <si>
    <t>Kulk, Gemma; van de Poll, Willem H.; Visser, Ronald J. W.; Buma, Anita G. J.</t>
  </si>
  <si>
    <t>Distinct differences in photoacclimation potential between prokaryotic and eukaryotic oceanic phytoplankton</t>
  </si>
  <si>
    <t>Eukaryotic picophytoplankton; Growth; Photoacclimation; Photosynthesis; Prochlorococcus; Synechococcus</t>
  </si>
  <si>
    <t>MARINE CYANOBACTERIUM PROCHLOROCOCCUS; DIVINYL CHLOROPHYLL-A; COMMUNITY STRUCTURE; NORTH-ATLANTIC; EMILIANIA-HUXLEYI; FLUCTUATING LIGHT; ANTARCTIC DIATOM; SARGASSO SEA; RED-SEA; SYNECHOCOCCUS</t>
  </si>
  <si>
    <t>Six (pico)phytoplankton strains typical for the open oligotrophic oceans were acclimated to different irradiance regimes mimicking stable (ranging from 10 to 125 mu mol photons m(-2) s(-1)) and dynamic (averaging at 50 and 125 mu mol photons m(-2) S-1) water column conditions. Photoacclimation potential of the different phytoplankton species was assessed by analysis of specific growth rates, pigment composition, pigment absorption, elemental composition, and photosynthetic characteristics. Results showed distinct differences between the studied prokaryotic species, Prochlorococcus marinus and Synechococcus sp. (two strains), and the eukaryotic species. Ostreococcus sp., Emiliania huxleyi, and Thalassiosira oceanica. Based on growth and photosynthetic characteristics, the photoacclimation potential of the eukaryotic species was significantly higher compared to that of the prokaryotic species under high and dynamic irradiance conditions. Likewise, the eukaryotic species performed better than the prokaryotic species after photoacclimation to low irradiance conditions. No consistent differences between constant and dynamic irradiance treatments were found. Differences in pigment composition, for example the presence of a xanthophyll cycle, may have played an important role in the success of photoacclimation of the studied phytoplankton species. These results imply that the high photoacclimation potential of eukaryotic oceanic phytoplankton offers a selective advantage over prokaryotic phytoplankton, in both the upper mixed layer and the deep chlorophyll maximum. Thus, factors other than photoacclimation potential, for example low nutrient availability, are likely to explain the high abundance of prokaryotic picophytoplankton in the open oligotrophic oceans. (C) 2010 Elsevier B.V. All rights reserved.</t>
  </si>
  <si>
    <t>[Kulk, Gemma; Visser, Ronald J. W.; Buma, Anita G. J.] Univ Groningen, Dept Ocean Ecosyst, Energy &amp; Sustainabil Res Inst Groningen, NL-9747 AG Groningen, Netherlands; [van de Poll, Willem H.] Royal Netherlands Inst Sea Res, Dept Biol Oceanog, NL-1790 AB Den Burg, Netherlands</t>
  </si>
  <si>
    <t>University of Groningen; Utrecht University; Royal Netherlands Institute for Sea Research (NIOZ)</t>
  </si>
  <si>
    <t>Kulk, G (corresponding author), Univ Groningen, Dept Ocean Ecosyst, Energy &amp; Sustainabil Res Inst Groningen, Nijenborgh 7, NL-9747 AG Groningen, Netherlands.</t>
  </si>
  <si>
    <t>g.kulk@rug.nl</t>
  </si>
  <si>
    <t>Buma, Anita GJ/E-8372-2015</t>
  </si>
  <si>
    <t>Kulk, Gemma/0000-0002-0224-7547; van de Poll, Willem/0000-0003-4095-4338</t>
  </si>
  <si>
    <t>Netherlands Organization for Scientific Research (NWO) [817.01.009, 839.08.422]</t>
  </si>
  <si>
    <t>Netherlands Organization for Scientific Research (NWO)(Netherlands Organization for Scientific Research (NWO))</t>
  </si>
  <si>
    <t>This work was supported by the Netherlands Organization for Scientific Research (NWO), grant numbers 817.01.009 (GK) and 839.08.422 (WHP). Field data from Stratiphyt cruise I (64PE309) were used. [SS]</t>
  </si>
  <si>
    <t>FEB 28</t>
  </si>
  <si>
    <t>10.1016/j.jembe.2010.12.011</t>
  </si>
  <si>
    <t>730PK</t>
  </si>
  <si>
    <t>WOS:000288046200009</t>
  </si>
  <si>
    <t>Husmann, G; Philipp, EER; Rosenstiel, P; Vazquez, S; Abele, D</t>
  </si>
  <si>
    <t>Husmann, G.; Philipp, E. E. R.; Rosenstiel, P.; Vazquez, S.; Abele, D.</t>
  </si>
  <si>
    <t>Immune response of the Antarctic bivalve Laternula elliptica to physical stress and microbial exposure</t>
  </si>
  <si>
    <t>Antimicrobial activity; Hemocytes; Immune system; Reactive oxygen species (ROS)</t>
  </si>
  <si>
    <t>OXYGEN INTERMEDIATE PRODUCTION; CRASSOSTREA-VIRGINICA; EASTERN OYSTERS; PACIFIC OYSTER; PATHOGENIC BACTERIA; CALLINECTES-SAPIDUS; BLUE-CRAB; HEMOCYTES; MARINE; GIGAS</t>
  </si>
  <si>
    <t>Marine bivalves, such as the Antarctic soft shell clam Laternula elliptica (King and Broderip 1831), experience a wide range of environmental influences including the permanent contact to the surrounding microbial community due to filter feeding or strong physiochemical disturbances in a changing environment. Such impacts are anticipated to influence L elliptica physiology, including the immune system, especially under the current climate change conditions at the Western Antarctic Peninsula (WAP). To understand basal immune defence reactions in L elliptica, we investigated in vitro hemocyte responses upon bacterial challenge or after stimulation with different substances of microbial origin (pathogen associated molecular patterns, PAMPS). To study the age-dependent in vivo response of hemocyte abundance, starvation and injury experiments were undertaken with young and old individuals. Hemocytes of L. elliptica feature common immune functions such as phagocytosis and ROS generation, as well as agglutination of bacterial cells. ROS generation response to different stimuli was generally low and lower in larger/older animals compared to smaller/younger individuals. Physiological conditions such as size/age, starvation and injury modulated the abundance of hemocytes in L. elliptica. Implications are that current and future climate change conditions in West Antarctic coastal ecosystems scenarios may lead to changes in species survival and population composition. (C) 2010 Elsevier B.V. All rights reserved.</t>
  </si>
  <si>
    <t>[Husmann, G.; Philipp, E. E. R.; Rosenstiel, P.] Univ Kiel, Inst Clin Mol Biol, D-24105 Kiel, Germany; [Abele, D.] Alfred Wegener Inst Polar &amp; Marine Res, D-27570 Bremerhaven, Germany; [Vazquez, S.] Univ Buenos Aires, Fac Farm &amp; Bioquim, Catedra Biotecnol, CONICET, RA-1113 Buenos Aires, DF, Argentina</t>
  </si>
  <si>
    <t>University of Kiel; Helmholtz Association; Alfred Wegener Institute, Helmholtz Centre for Polar &amp; Marine Research; University of Buenos Aires; Consejo Nacional de Investigaciones Cientificas y Tecnicas (CONICET)</t>
  </si>
  <si>
    <t>Philipp, EER (corresponding author), Univ Kiel, Inst Clin Mol Biol, Schittenhelmstr 12, D-24105 Kiel, Germany.</t>
  </si>
  <si>
    <t>e.philipp@ikmb.uni-kiel.de; doris.abele@awi.de</t>
  </si>
  <si>
    <t>Rosenstiel, Philip/A-5137-2009; Vazquez, Susana/AEP-5214-2022</t>
  </si>
  <si>
    <t>Rosenstiel, Philip/0000-0002-9692-8828; Vazquez, Susana/0000-0002-0760-6254; Abele, Doris/0000-0002-5766-5017</t>
  </si>
  <si>
    <t>DFG [PH141-5-1]</t>
  </si>
  <si>
    <t>Many thanks to M. Schwanitz, C. Daniels, H. Schmidt, Dr. K. Zacher, the Argentinean Divers and the Crew of Jubany for the logistic help at the Argentinean Antarctic Station Jubany. Prof. U. Zaehringer of the Research Center Borstel kindly provided the LPS for hemocytes stimulations. We also thank 2 anonymous reviewers which greatly improved the manuscript. The study was funded by the DFG project PH141-5-1 (E.P. and G.H.) and the DFG Cluster of Excellence The Future Ocean. [SS]</t>
  </si>
  <si>
    <t>10.1016/j.jembe.2010.12.013</t>
  </si>
  <si>
    <t>WOS:000288046200011</t>
  </si>
  <si>
    <t>Trathan, PN; Fretwell, PT; Stonehouse, B</t>
  </si>
  <si>
    <t>Trathan, Philip N.; Fretwell, Peter T.; Stonehouse, Bernard</t>
  </si>
  <si>
    <t>First Recorded Loss of an Emperor Penguin Colony in the Recent Period of Antarctic Regional Warming: Implications for Other Colonies</t>
  </si>
  <si>
    <t>NORTHEAST ATLANTIC WATERS; ENDANGERED TOP PREDATOR; CLIMATE-CHANGE; APTENODYTES-FORSTERI; RANGE EXPANSION; SOUTHERN-OCEAN; ADELIE LAND; SEA-ICE; PENINSULA; POPULATION</t>
  </si>
  <si>
    <t>In 1948, a small colony of emperor penguins Aptenodytes forsteri was discovered breeding on Emperor Island (67 degrees 51' 52 '' S, 68 degrees 42' 20 '' W), in the Dion Islands, close to the West Antarctic Peninsula (Stonehouse 1952). When discovered, the colony comprised approximately 150 breeding pairs; these numbers were maintained until 1970, after which time the colony showed a continuous decline. By 1999 there were fewer than 20 pairs, and in 2009 high-resolution aerial photography revealed no remaining trace of the colony. Here we relate the decline and loss of the Emperor Island colony to a well-documented rise in local mean annual air temperature and coincident decline in seasonal sea ice duration. The loss of this colony provides empirical support for recent studies (Barbraud &amp; Weimerskirch 2001; Jenouvrier et al 2005, 2009; Ainley et al 2010; Barber-Meyer et al 2005) that have highlighted the vulnerability of emperor penguins to changes in sea ice duration and distribution. These studies suggest that continued climate change is likely to impact upon future breeding success and colony viability for this species. Furthermore, a recent circumpolar study by Fretwell &amp; Trathan (2009) highlighted those Antarctic coastal regions where colonies appear most vulnerable to such changes. Here we examine which other colonies might be at risk, discussing various ecological factors, some previously unexplored, that may also contribute to future declines. The implications of this are important for future modelling work and for understanding which colonies actually are most vulnerable.</t>
  </si>
  <si>
    <t>[Trathan, Philip N.; Fretwell, Peter T.] British Antarctic Survey, Cambridge CB3 0ET, England; [Stonehouse, Bernard] Univ Cambridge, Scott Polar Res Inst, Cambridge CB2 1ER, England</t>
  </si>
  <si>
    <t>Trathan, PN (corresponding author), British Antarctic Survey, Cambridge CB3 0ET, England.</t>
  </si>
  <si>
    <t>p.trathan@bas.ac.uk</t>
  </si>
  <si>
    <t>BAS; United Kingdom Overseas Territories Environment Programme [BAT601]; NERC [bas0100025] Funding Source: UKRI; Natural Environment Research Council [bas0100025] Funding Source: researchfish</t>
  </si>
  <si>
    <t>BAS; United Kingdom Overseas Territories Environment Programme; NERC(UK Research &amp; Innovation (UKRI)Natural Environment Research Council (NERC)); Natural Environment Research Council(UK Research &amp; Innovation (UKRI)Natural Environment Research Council (NERC))</t>
  </si>
  <si>
    <t>This work was supported in part by the BAS Ecosystem Programme and by a United Kingdom Overseas Territories Environment Programme Grant (BAT601) to PTF and PNT. The funders had no role in study design, data collection and analysis, decision to publish, or preparation of the manuscript.</t>
  </si>
  <si>
    <t>e14738</t>
  </si>
  <si>
    <t>10.1371/journal.pone.0014738</t>
  </si>
  <si>
    <t>729EM</t>
  </si>
  <si>
    <t>Green Published, Green Accepted, Green Submitted, gold</t>
  </si>
  <si>
    <t>WOS:000287931400003</t>
  </si>
  <si>
    <t>Lamarque, JF; McConnell, JR; Shindell, DT; Orlando, JJ; Tyndall, GS</t>
  </si>
  <si>
    <t>Lamarque, Jean-Francois; McConnell, J. R.; Shindell, D. T.; Orlando, J. J.; Tyndall, G. S.</t>
  </si>
  <si>
    <t>Understanding the drivers for the 20th century change of hydrogen peroxide in Antarctic ice-cores</t>
  </si>
  <si>
    <t>STRATOSPHERIC OZONE; SOUTH-POLE; SNOW; H2O2; CHEMISTRY; RADICALS; INCREASE; IMPACT; AIR; SIMULATIONS</t>
  </si>
  <si>
    <t>Observations and model simulations of an Antarctic ice-core record of hydrogen peroxide during the last similar to 150 years are analyzed. The observations indicate a relative increase in hydrogen peroxide by approximately 50% since 1900, with most of the change since the early 1970s. Using two model simulations spanning 1850 to present, we show that the modeled relative change in annual-mean surface hydrogen peroxide parallels the equivalent signal from the ice core record. In addition, we show that this relative change can be explained by the relative changes in tropospheric ozone concentration and mostly in ozone photolysis rates (J((OD)-D-1)). The simulated signal is therefore intimately related to the changes in stratospheric ozone associated with increases in chlorofluorocarbons; this is further demonstrated using total ozone column observations and the associated observed change in ice-core hydrogen peroxide. Citation: Lamarque, J.-F., J. R. McConnell, D. T. Shindell, J. J. Orlando, and G. S. Tyndall (2011), Understanding the drivers for the 20th century change of hydrogen peroxide in Antarctic ice-cores, Geophys. Res. Lett., 38, L04810, doi:10.1029/2010GL045992.</t>
  </si>
  <si>
    <t>[Lamarque, Jean-Francois; Orlando, J. J.; Tyndall, G. S.] Natl Ctr Atmospher Res, NCAR Earth Syst Lab, Boulder, CO 80305 USA; [McConnell, J. R.] Desert Res Inst, Reno, NV 89512 USA; [Shindell, D. T.] NASA, Goddard Inst Space Studies, New York, NY 10025 USA</t>
  </si>
  <si>
    <t>National Center Atmospheric Research (NCAR) - USA; Nevada System of Higher Education (NSHE); Desert Research Institute NSHE; National Aeronautics &amp; Space Administration (NASA); NASA Goddard Space Flight Center; Goddard Institute for Space Studies</t>
  </si>
  <si>
    <t>Lamarque, JF (corresponding author), Natl Ctr Atmospher Res, NCAR Earth Syst Lab, 1850 Table Mesa Dr, Boulder, CO 80305 USA.</t>
  </si>
  <si>
    <t>lamar@ucar.edu</t>
  </si>
  <si>
    <t>Lamarque, Jean-Francois/L-2313-2014; Shindell, Drew/D-4636-2012</t>
  </si>
  <si>
    <t>Shindell, Drew/0000-0003-1552-4715</t>
  </si>
  <si>
    <t>NSF [OPP-9904294, OPP-0538427]; National Science Foundation; Office of Polar Programs (OPP); Directorate For Geosciences [0839093] Funding Source: National Science Foundation</t>
  </si>
  <si>
    <t>NSF(National Science Foundation (NSF)); National Science Foundation(National Science Foundation (NSF)); Office of Polar Programs (OPP); Directorate For Geosciences(National Science Foundation (NSF)NSF - Directorate for Geosciences (GEO))</t>
  </si>
  <si>
    <t>The total ozone column data were obtained from the World Ozone and Ultraviolet Radiation Data Centre (WOUDC) operated by Environment Canada, Toronto, Ontario, Canada under the auspices of the World Meteorological Organization. The authors would like to thank S. Madronich and D. Kinnison for their constructive feedback on a previous version of this paper. Development of the ice hydrogen peroxide records was funded by NSF grants OPP-9904294 and OPP-0538427, and we gratefully acknowledge the U.S. ITASE and WAIS Divide projects teams for assistance in obtaining the ice cores. The National Center for Atmospheric Research is operated by the University Corporation for Atmospheric Research under sponsorship of the National Science Foundation.</t>
  </si>
  <si>
    <t>FEB 25</t>
  </si>
  <si>
    <t>L04810</t>
  </si>
  <si>
    <t>10.1029/2010GL045992</t>
  </si>
  <si>
    <t>727NR</t>
  </si>
  <si>
    <t>WOS:000287808400001</t>
  </si>
  <si>
    <t>Fautin, DG</t>
  </si>
  <si>
    <t>Fautin, Daphne Gail</t>
  </si>
  <si>
    <t>Corallimorphus niwa new species (Cnidaria: Anthozoa), New Zealand members of Corallimorphus, and redefinition of Corallimorphidae and its members</t>
  </si>
  <si>
    <t>sea anemones; deep sea; Coelenterata; Corynactis; Pseudocorynactis</t>
  </si>
  <si>
    <t>The new species of anthozoan Corallimorphus niwa occurs at depths of 926-1773 m in seas around New Zealand. This new species shares with other members of Corallimorphus stiff and hyaline mesoglea, short column relative to its broad oral disc, and deep-sea habitat. It differs from other members of Corallimorphus in having an equal number of marginal and discal tentacles, the discal tentacles arrayed in multiple circlets. Groups of Corallimorphus are defined by tentacle array; C. niwa n. sp. characterizes the new niwa group. Two of the other five valid species of Corallimorphus (C. profundus and C. pilatus) constitute the profundus group, members of which have about four times as many marginal as discal tentacles, the discal tentacles arrayed in a single circlet; the three members of the rigidus group (C. rigidus, C. denhartogi, and C. ingens) have about twice as many marginal as discal tentacles, the discal tentacles arrayed in multiple circlets. The definition of genus Corallimorphus must be modified to accommodate this species; this also involves synonymizing with one another the other two genera of family Corallimorphidae, Corynactis and Pseudocorynactis. The formal definitions of order Corallimorpharia and family Corallimorphidae are adjusted to be in parallel and hierarchical format.</t>
  </si>
  <si>
    <t>[Fautin, Daphne Gail] Univ Kansas, Dept Ecol &amp; Evolutionary Biol, Lawrence, KS 66045 USA; [Fautin, Daphne Gail] Univ Kansas, Nat Hist Museum, Lawrence, KS 66045 USA; [Fautin, Daphne Gail] Univ Kansas, Biodivers Inst, Lawrence, KS 66045 USA</t>
  </si>
  <si>
    <t>Fautin, DG (corresponding author), Univ Kansas, Dept Ecol &amp; Evolutionary Biol, 1200 Sunnyside Dr, Lawrence, KS 66045 USA.</t>
  </si>
  <si>
    <t>fautin@ku.edu</t>
  </si>
  <si>
    <t>New Zealand Ministry of Fisheries, Land Information New Zealand; National Institute of Water and Atmospheric Research; Department of Conservation; New Zealand Ministry of Foreign Affairs and Trade; National Institute of Water and Atmosphere Ltd.; NIWA; US National Science Foundation [EF-0531779]</t>
  </si>
  <si>
    <t>New Zealand Ministry of Fisheries, Land Information New Zealand; National Institute of Water and Atmospheric Research; Department of Conservation; New Zealand Ministry of Foreign Affairs and Trade; National Institute of Water and Atmosphere Ltd.; NIWA; US National Science Foundation(National Science Foundation (NSF))</t>
  </si>
  <si>
    <t>Specimens came from the NIWA Invertebrate Collection. Some specimens and the in-situ photo (which was taken using NIWA's DTIS camera system) were obtained as part of the Ocean Survey 20/20 Chatham/Challenger Biodiversity and Seabed Habitat Project, jointly funded by the New Zealand Ministry of Fisheries, Land Information New Zealand, National Institute of Water and Atmospheric Research, and Department of Conservation. Antarctic specimens of C. profundus were collected as part of the Ocean Survey 20/20 International Polar Year - Census of Antarctic Marine Life, Ross Sea Biodiversity voyage 2008, jointly funded by Land Information New Zealand, New Zealand Ministry of Fisheries, Antarctica New Zealand, New Zealand Ministry of Foreign Affairs and Trade, and National Institute of Water and Atmosphere Ltd. I thank Sadie Mills and Kareen Schnabel for providing access to the specimens and logistical support for their study, NIWA for financial support, David Bowden for access to in-situ photos, many other NIWA employees for support and camaraderie, and Matthew Jones for my first glimpse of Corallimorphus niwa n. sp. Andrea Crowther and Wendy Eash-Loucks provided valuable advice; Sukeerthi Bokka and Shawn Saving created the map. This research was partly made possible by grant EF-0531779 from the US National Science Foundation in the program Assembling the Tree of Life.</t>
  </si>
  <si>
    <t>FEB 24</t>
  </si>
  <si>
    <t>725TJ</t>
  </si>
  <si>
    <t>WOS:000287668700002</t>
  </si>
  <si>
    <t>Tian, LY; Castillo, PR; Lonsdale, PF; Hahm, D; Hilton, DR</t>
  </si>
  <si>
    <t>Tian, Liyan; Castillo, Paterno R.; Lonsdale, Peter F.; Hahm, Doshik; Hilton, David R.</t>
  </si>
  <si>
    <t>Petrology and Sr-Nd-Pb-He isotope geochemistry of postspreading lavas on fossil spreading axes off Baja California Sur, Mexico</t>
  </si>
  <si>
    <t>GEOCHEMISTRY GEOPHYSICS GEOSYSTEMS</t>
  </si>
  <si>
    <t>Sr-Nd-Pb-He isotopes; postspreading lavas; fossil spreading axes; mantle heterogeneity; partial melting of the mantle</t>
  </si>
  <si>
    <t>EAST PACIFIC RISE; MANTLE HETEROGENEITY BENEATH; ANTARCTIC-PHOENIX RIDGE; OCEAN ISLAND BASALTS; MIDOCEAN RIDGE; SOCORRO ISLAND; CONTINENTAL-MARGIN; CONVECTION PLUMES; MELT GENERATION; NOBLE-GAS</t>
  </si>
  <si>
    <t>Postspreading volcanism has built large seamounts and volcanic ridges along the short axes of a highly segmented part of the East Pacific Rise crest that ceased spreading at the end of the middle Miocene, offshore Baja California Sur, Mexico. Lava samples from Rosa Seamount, the largest volcano, are predominantly alkalic basalts, mugearites, and benmoreites. This lavas series was generated through fractional crystallization and is compositionally similar to the moderately alkalic lava series in many oceanic islands. Samples from volcanic ridges at three adjacent failed spreading axes include mildly alkalic, transitional, and tholeiitic basalts and differentiated trachyandesites and andesite. The subtle but distinct petrologic and isotopic differences among the four sites may be due to differences in the degree of partial melting of a common, heterogeneous source. Postspreading lavas from these four abandoned axes off Baja California Sur together with those from other fossil spreading axes and from seamount volcanoes that grew on the East Pacific Rise flanks define a compositional continuum ranging from normal mid-ocean ridge basalt (NMORB)-like to ocean island basalt (OIB)-like. We propose that the compositional spectrum of these intraplate volcanic lavas is due to different degrees of partial melting of the compositionally heterogeneous suboceanic mantle in the eastern Pacific. A large degree of partial melting of this heterogeneous mantle during vigorous mantle upwelling at an active spreading center produces NMORB melts, whereas a lesser degree of partial melting during weak mantle upwelling following cessation of spreading produces OIB-like melts. The latter melts have a low (&lt;8 R-A) He-3/He-4 signature indicating their formation is different from that of OIBs from major hot spot volcanoes in the Pacific with high He-3/He-4 ratios, such as Hawaii and Galapagos.</t>
  </si>
  <si>
    <t>[Tian, Liyan; Castillo, Paterno R.; Lonsdale, Peter F.; Hahm, Doshik; Hilton, David R.] Univ Calif San Diego, Scripps Inst Oceanog, La Jolla, CA 92093 USA</t>
  </si>
  <si>
    <t>Tian, LY (corresponding author), Univ Calif San Diego, Scripps Inst Oceanog, 9500 Gilman Dr, La Jolla, CA 92093 USA.</t>
  </si>
  <si>
    <t>l1tian@ucsd.edu</t>
  </si>
  <si>
    <t>Hilton, David R/B-7611-2008</t>
  </si>
  <si>
    <t>NSF [OCE0550237, OCE9116493]; University of California</t>
  </si>
  <si>
    <t>NSF(National Science Foundation (NSF)); University of California(University of California System)</t>
  </si>
  <si>
    <t>We are grateful to R. Solidum for analysis of some major elements data by XRF at SIO, C. MacIsaac, G. Lugmair, and X. Liu for their assistance with the TIMS analysis, and J. Kluesner for help with Figure 1. We also thank two anonymous reviewers for their constructive comments and suggestions which significantly improved the paper and Joel Baker for thorough editorial handling. This work was funded by NSF OCE0550237 grant to PRC and DRH, NSF OCE9116493 grant to PFL, and the University of California Ship Fund.</t>
  </si>
  <si>
    <t>1525-2027</t>
  </si>
  <si>
    <t>GEOCHEM GEOPHY GEOSY</t>
  </si>
  <si>
    <t>Geochem. Geophys. Geosyst.</t>
  </si>
  <si>
    <t>Q0AC10</t>
  </si>
  <si>
    <t>10.1029/2010GC003319</t>
  </si>
  <si>
    <t>727NB</t>
  </si>
  <si>
    <t>WOS:000287806400001</t>
  </si>
  <si>
    <t>Foote, AD; Morin, PA; Durban, JW; Pitman, RL; Wade, P; Willerslev, E; Gilbert, MTP; da Fonseca, RR</t>
  </si>
  <si>
    <t>Foote, Andrew D.; Morin, Phillip A.; Durban, John W.; Pitman, Robert L.; Wade, Paul; Willerslev, Eske; Gilbert, M. Thomas P.; da Fonseca, Rute R.</t>
  </si>
  <si>
    <t>Positive selection on the killer whale mitogenome</t>
  </si>
  <si>
    <t>mitochondria; genome; selection</t>
  </si>
  <si>
    <t>MITOCHONDRIAL-DNA; EVOLUTION; CLIMATE; SITES</t>
  </si>
  <si>
    <t>Mitochondria produce up to 95 per cent of the eukaryotic cell's energy. The coding genes of the mitochondrial DNA may therefore evolve under selection owing to metabolic requirements. The killer whale, Orcinus orca, is polymorphic, has a global distribution and occupies a range of ecological niches. It is therefore a suitable organism for testing this hypothesis. We compared a global dataset of the complete mitochondrial genomes of 139 individuals for amino acid changes that were associated with radical physico-chemical property changes and were influenced by positive selection. Two such selected non-synonymous amino acid changes were found; one in each of two ecotypes that inhabit the Antarctic pack ice. Both substitutions were associated with changes in local polarity, increased steric constraints and alpha-helical tendencies that could influence overall metabolic performance, suggesting a functional change.</t>
  </si>
  <si>
    <t>[Foote, Andrew D.; Willerslev, Eske; Gilbert, M. Thomas P.; da Fonseca, Rute R.] Univ Copenhagen, Ctr GeoGenet, Nat Hist Museum Denmark, DK-1350 Copenhagen, Denmark; [Morin, Phillip A.; Durban, John W.; Pitman, Robert L.] NOAA, Protected Resources Div, SW Fisheries Sci Ctr, Natl Marine Fisheries Serv, La Jolla, CA 92037 USA; [Durban, John W.; Wade, Paul] NOAA, Alaska Fisheries Sci Ctr, Natl Marine Fisheries Serv, Seattle, WA 98115 USA; [da Fonseca, Rute R.] Univ Porto, CIMAR CIIMAR, Ctr Interdisciplinar Invest Marinha &amp; Ambiental, P-4050123 Oporto, Portugal</t>
  </si>
  <si>
    <t>University of Copenhagen; National Oceanic Atmospheric Admin (NOAA) - USA; National Oceanic Atmospheric Admin (NOAA) - USA; Universidade do Porto</t>
  </si>
  <si>
    <t>Foote, AD (corresponding author), Univ Copenhagen, Ctr GeoGenet, Nat Hist Museum Denmark, Oster Volgade 5-7, DK-1350 Copenhagen, Denmark.</t>
  </si>
  <si>
    <t>footead@gmail.com</t>
  </si>
  <si>
    <t>Morin, Phillip A/E-9515-2010; Willerslev, Eske/A-9619-2011; Willerslev, Eske/AAA-5686-2019; Gilbert, Thomas/JSK-2650-2023; da Fonseca, Rute/F-9143-2013; Gilbert, Marcus/A-8936-2013</t>
  </si>
  <si>
    <t>Willerslev, Eske/0000-0002-7081-6748; da Fonseca, Rute/0000-0002-2805-4698; Gilbert, Marcus/0000-0002-5805-7195; Morin, Phillip/0000-0002-3279-1519; Foote, Andrew/0000-0001-7384-1634</t>
  </si>
  <si>
    <t>FEB 23</t>
  </si>
  <si>
    <t>10.1098/rsbl.2010.0638</t>
  </si>
  <si>
    <t>705LX</t>
  </si>
  <si>
    <t>WOS:000286135000035</t>
  </si>
  <si>
    <t>Di Giuseppe, G; Erra, F; Dini, F; Alimenti, C; Vallesi, A; Pedrini, B; Wüthrich, K; Luporini, P</t>
  </si>
  <si>
    <t>Di Giuseppe, Graziano; Erra, Fabrizio; Dini, Fernando; Alimenti, Claudio; Vallesi, Adriana; Pedrini, Bill; Wuethrich, Kurt; Luporini, Pierangelo</t>
  </si>
  <si>
    <t>Antarctic and Arctic populations of the ciliate Euplotes nobilii show common pheromone-mediated cell-cell signaling and cross-mating</t>
  </si>
  <si>
    <t>ciliate mating types and sexual interactions; microbial ecology; NMR structures; polar biology; signaling by water-borne pheromones</t>
  </si>
  <si>
    <t>MOLECULAR-DYNAMICS SIMULATIONS; NMR STRUCTURE DETERMINATION; TORSION ANGLE DYNAMICS; PROTOZOAN CILIATE; ENERGY REFINEMENTS; COLD-ADAPTATION; PROGRAM OPAL; BIOGEOGRAPHY; CILIOPHORA; AUTOCRINE</t>
  </si>
  <si>
    <t>Wild-type strains of the protozoan ciliate Euplotes collected from different locations on the coasts of Antarctica, Tierra del Fuego and the Arctic were taxonomically identified as the morpho-species Euplotes nobilii, based on morphometric and phylogenetic analyses. Subsequent studies of their sexual interactions revealed that mating combinations of Antarctic and Arctic strains form stable pairs of conjugant cells. These conjugant pairs were isolated and shown to complete mutual gene exchange and cross-fertilization. The biological significance of this finding was further substantiated by demonstrating that close homology exists among the three-dimensional structures determined by NMR of the water-borne signaling pheromones that are constitutively secreted into the extracellular space by these interbreeding strains, in which these molecules trigger the switch between the growth stage and the sexual stage of the life cycle. The fact that Antarctic and Arctic E. nobilii populations share the same gene pool and belong to the same biological species provides new support to the biogeographic model of global distribution of eukaryotic microorganisms, which had so far been based exclusively on studies of morphological and phylogenetic taxonomy.</t>
  </si>
  <si>
    <t>[Pedrini, Bill; Wuethrich, Kurt] ETH, Inst Mol Biol &amp; Biophys, CH-8093 Zurich, Switzerland; [Di Giuseppe, Graziano; Erra, Fabrizio; Dini, Fernando] Univ Pisa, Dipartimento Biol, I-56126 Pisa, Italy; [Alimenti, Claudio; Vallesi, Adriana; Luporini, Pierangelo] Univ Camerino, Dipartimento Sci Ambientali, I-62032 Camerino, MC, Italy; [Wuethrich, Kurt] Scripps Res Inst, Dept Mol Biol, La Jolla, CA 92037 USA; [Wuethrich, Kurt] Scripps Res Inst, Skaggs Inst Chem Biol, La Jolla, CA 92037 USA</t>
  </si>
  <si>
    <t>Swiss Federal Institutes of Technology Domain; ETH Zurich; University of Pisa; University of Camerino; Scripps Research Institute; Scripps Research Institute</t>
  </si>
  <si>
    <t>Wüthrich, K (corresponding author), ETH, Inst Mol Biol &amp; Biophys, CH-8093 Zurich, Switzerland.</t>
  </si>
  <si>
    <t>wuthrich@mol.biol.ethz.ch; piero.luporini@unicam.it</t>
  </si>
  <si>
    <t>Pedrini, Bill/J-2237-2018; Vallesi, Adriana/I-9933-2016</t>
  </si>
  <si>
    <t>Pedrini, Bill/0000-0003-4228-7874; Vallesi, Adriana/0000-0002-4127-090X; Alimenti, Claudio/0000-0003-2231-2948; Wuthrich, Kurt/0000-0001-8739-6965; Di Giuseppe, Graziano/0000-0002-9999-7650</t>
  </si>
  <si>
    <t>National Program for Antarctic Research (PNRA); ETH Zurich; Schweizerischer Nationalfonds [PA00A/104097-1]</t>
  </si>
  <si>
    <t>National Program for Antarctic Research (PNRA); ETH Zurich(ETH Zurich); Schweizerischer Nationalfonds(Swiss National Science Foundation (SNSF))</t>
  </si>
  <si>
    <t>This study was funded by the National Program for Antarctic Research (PNRA) to the P. L. and F.D. laboratories, and by the ETH Zurich through research support to K.W. Support for B.P. provided by the Schweizerischer Nationalfonds Fellowship PA00A/104097-1. K.W. is the Cecil H. and Ida M. Green Professor of Structural Biology at the Scripps Research Institute.</t>
  </si>
  <si>
    <t>1091-6490</t>
  </si>
  <si>
    <t>FEB 22</t>
  </si>
  <si>
    <t>10.1073/pnas.1019432108</t>
  </si>
  <si>
    <t>724ML</t>
  </si>
  <si>
    <t>WOS:000287580400024</t>
  </si>
  <si>
    <t>Barnes, DKA; Kuklinski, P; Jackson, JA; Keel, GW; Morley, SA; Winston, JE</t>
  </si>
  <si>
    <t>Barnes, David K. A.; Kuklinski, Piotr; Jackson, Jennifer A.; Keel, Geoff W.; Morley, Simon A.; Winston, Judith E.</t>
  </si>
  <si>
    <t>Scott's collections help reveal accelerating marine life growth in Antarctica</t>
  </si>
  <si>
    <t>BRYOZOANS</t>
  </si>
  <si>
    <t>[Barnes, David K. A.; Jackson, Jennifer A.; Morley, Simon A.] British Antarctic Survey, NERC, Cambridge CB3 0ET, England; [Kuklinski, Piotr] Polish Acad Sci, Inst Oceanol, Sopot, Poland; [Kuklinski, Piotr] Nat Hist Museum, London SW7 5BD, England; [Keel, Geoff W.] Smithsonian Inst, Natl Museum Nat Hist, Washington, DC 20560 USA; [Winston, Judith E.] Virginia Museum Nat Hist, Martinsville, VA 24112 USA</t>
  </si>
  <si>
    <t>UK Research &amp; Innovation (UKRI); Natural Environment Research Council (NERC); NERC British Antarctic Survey; Polish Academy of Sciences; Institute of Oceanology of the Polish Academy of Sciences; Natural History Museum London; Smithsonian Institution; Smithsonian National Museum of Natural History</t>
  </si>
  <si>
    <t>Jackson, Jennifer A/E-7997-2013</t>
  </si>
  <si>
    <t>Kuklinski, Piotr/0000-0002-1507-215X; Jackson, Jennifer/0000-0003-4158-1924</t>
  </si>
  <si>
    <t>50 HAMPSHIRE ST, FLOOR 5, CAMBRIDGE, MA 02139 USA</t>
  </si>
  <si>
    <t>1879-0445</t>
  </si>
  <si>
    <t>R147</t>
  </si>
  <si>
    <t>R148</t>
  </si>
  <si>
    <t>10.1016/j.cub.2011.01.033</t>
  </si>
  <si>
    <t>726ZS</t>
  </si>
  <si>
    <t>WOS:000287767600006</t>
  </si>
  <si>
    <t>Thomas, ID; King, MA; Clarke, PJ; Penna, NT</t>
  </si>
  <si>
    <t>Thomas, Ian D.; King, Matt A.; Clarke, Peter J.; Penna, Nigel T.</t>
  </si>
  <si>
    <t>Precipitable water vapor estimates from homogeneously reprocessed GPS data: An intertechnique comparison in Antarctica</t>
  </si>
  <si>
    <t>MAPPING FUNCTIONS; DRY BIAS; VALIDATION; HUMIDITY; IMPACT; SATELLITE; ACCURACY; NETWORK; DELAY; RADIOSONDES</t>
  </si>
  <si>
    <t>Homogeneously reprocessed GPS data offer the possibility of an accurate, stable, and increasingly long-term record of integrated precipitable water vapor (PW) of particular value in data sparse regions. We present such a global reanalysis of GPS data, focusing on 12 Antarctic sites. We show stepwise improvements of GPS zenith total delay (ZTD) estimates upon adoption of each of (1) absolute antenna phase centre variations, (2) VMF1 tropospheric mapping functions, and (3) an accurate model of a priori zenith hydrostatic delay (ZHD) from observed surface meteorological data. The cumulative effect of these three additions to the analysis is a systematic decrease in the magnitude of GPS estimates of ZTD by an average of similar to 11 mm ZTD (similar to 1.8 mm PW). The resultant GPS PW data set for 2004 shows a mean bias to radiosonde measurements of -0.48 mm PW. Our conclusion is that, in Antarctica at least, a proportion of the widely observed bias between GPS and radiosonde measurements can be explained by earlier GPS analysis deficiencies. We also compare our GPS PW measurements with AIRS and MODIS level 2 PW products. The GPS agreements with AIRS and MODIS are comparable. Reanalyzed GPS gives typically larger measurements than AIRS with a mean site bias of 0.58 mm PW and a mean rms of 1.24 mm PW. By contrast, the GPS measurements are typically smaller than those from MODIS, with a mean site bias of -0.35 mm PW and rms of 1.42 mm PW. PW estimates from reprocessed GPS solutions using state-of-the-art models now have greater potential for assimilation into regional or global numerical weather models.</t>
  </si>
  <si>
    <t>[Thomas, Ian D.; King, Matt A.; Clarke, Peter J.; Penna, Nigel T.] Newcastle Univ, Sch Civil Engn &amp; Geosci, Newcastle Upon Tyne NE1 7RU, Tyne &amp; Wear, England</t>
  </si>
  <si>
    <t>Newcastle University - UK</t>
  </si>
  <si>
    <t>Thomas, ID (corresponding author), Newcastle Univ, Sch Civil Engn &amp; Geosci, Newcastle Upon Tyne NE1 7RU, Tyne &amp; Wear, England.</t>
  </si>
  <si>
    <t>Ian.Thomas@newcastle.ac.uk</t>
  </si>
  <si>
    <t>Penna, Nigel T/K-8995-2012; Clarke, Peter John/B-1783-2008; King, Matt/B-4622-2008</t>
  </si>
  <si>
    <t>Clarke, Peter John/0000-0003-1276-8300; King, Matt/0000-0001-5611-9498; Penna, Nigel/0000-0002-6719-1978</t>
  </si>
  <si>
    <t>NERC; EPSRC; NERC [NE/E007023/1] Funding Source: UKRI; Natural Environment Research Council [NE/E007023/1] Funding Source: researchfish</t>
  </si>
  <si>
    <t>NERC(UK Research &amp; Innovation (UKRI)Natural Environment Research Council (NERC)); EPSRC(UK Research &amp; Innovation (UKRI)Engineering &amp; Physical Sciences Research Council (EPSRC)); NERC(UK Research &amp; Innovation (UKRI)Natural Environment Research Council (NERC)); Natural Environment Research Council(UK Research &amp; Innovation (UKRI)Natural Environment Research Council (NERC))</t>
  </si>
  <si>
    <t>We would like to thank the following for making GPS data available for this project: International GNSS Service (IGS) community; British Antarctic Survey (BAS); Alfred Wegener Institute, Bremerhaven. The research was funded by a NERC fellowship to Matt King and an EPSRC studentship to Ian Thomas. We would also like to thank Paul Tregoning and the other anonymous reviewers for their extensive and constructive comments.</t>
  </si>
  <si>
    <t>D04107</t>
  </si>
  <si>
    <t>10.1029/2010JD013889</t>
  </si>
  <si>
    <t>727NU</t>
  </si>
  <si>
    <t>WOS:000287808700001</t>
  </si>
  <si>
    <t>Direen, NG; Stagg, HMJ; Symonds, PA; Colwell, JB</t>
  </si>
  <si>
    <t>Direen, Nicholas G.; Stagg, Howard M. J.; Symonds, Philip A.; Colwell, Jim B.</t>
  </si>
  <si>
    <t>Dominant symmetry of a conjugate southern Australian and East Antarctic magma-poor rifted margin segment</t>
  </si>
  <si>
    <t>tectonics; rifted margins; Australia; Antarctica</t>
  </si>
  <si>
    <t>OCEAN-CONTINENT TRANSITION; ASYMMETRIC LITHOSPHERIC EXTENSION; WESTERN GAWLER CRATON; NORTH-ATLANTIC; SEISMIC STRATIGRAPHY; MAGNETIC-ANOMALIES; INDIAN-OCEAN; FLEMISH CAP; WILKES LAND; EVOLUTION</t>
  </si>
  <si>
    <t>Synthesis and modeling of published deep seismic and potential field data from the conjugate, magmapoor, rifted margins of the Great Australian Bight, southern Australia, and central Wilkes Land, East Antarctica, show that there is pronounced symmetry of structures in a 300 km wide zone straddling the axis of final breakup. This symmetry is observed consistently for a distance of some hundreds of kilometers along strike. From inboard to outboard, both margins comprise a narrow zone of attenuation of the crystalline continental crust; an approximately 4 km high basement ridge, interpreted as unroofed peridotites, at the location of maximum thinning of the continental crust; and a 60-70 km wide continent-ocean transition zone that contains a sedimentary basin that may be underlain by altered mantle and fragments of crystalline continental crust. The marked breakup symmetry described here is in contrast to the asymmetry of the Iberia-Newfoundland margin and is consistent with the operation of a symmetrical extensional detachment system deforming the whole crust in the center of the rift, as envisaged by some numerical models for the continental rifting process.</t>
  </si>
  <si>
    <t>[Direen, Nicholas G.] Univ Tasmania, Sch Earth Sci, Hobart, Tas 7001, Australia; [Direen, Nicholas G.] Univ Adelaide, Sch Earth &amp; Environm Sci, Continental Evolut Res Grp, Adelaide, SA 5005, Australia; [Direen, Nicholas G.] FrOG Tech Pty Ltd, Blackmans Bay, Tas 7052, Australia; [Stagg, Howard M. J.; Symonds, Philip A.; Colwell, Jim B.] Geosci Australia, Canberra, ACT 2601, Australia</t>
  </si>
  <si>
    <t>University of Tasmania; University of Adelaide; Geoscience Australia</t>
  </si>
  <si>
    <t>Direen, NG (corresponding author), Univ Tasmania, Sch Earth Sci, Hobart, Tas 7001, Australia.</t>
  </si>
  <si>
    <t>n_direen@utas.edu.au</t>
  </si>
  <si>
    <t>Direen, Nicholas/E-6288-2011; Direen, Nicholas/P-5949-2019; Direen, Nicholas G/C-5466-2013</t>
  </si>
  <si>
    <t>Direen, Nicholas/0000-0002-4466-7064; Direen, Nicholas G/0000-0002-4466-7064</t>
  </si>
  <si>
    <t>FEB 18</t>
  </si>
  <si>
    <t>Q02006</t>
  </si>
  <si>
    <t>10.1029/2010GC003306</t>
  </si>
  <si>
    <t>723PS</t>
  </si>
  <si>
    <t>WOS:000287519900001</t>
  </si>
  <si>
    <t>Hayes, CT; Anderson, RF; Fleisher, MQ</t>
  </si>
  <si>
    <t>Hayes, C. T.; Anderson, R. F.; Fleisher, M. Q.</t>
  </si>
  <si>
    <t>Opal accumulation rates in the equatorial Pacific and mechanisms of deglaciation</t>
  </si>
  <si>
    <t>SOUTHERN-OCEAN; LATE-QUATERNARY; PARTICLE COMPOSITION; BIOGENIC SILICA; ANTARCTIC MODE; CARBON-DIOXIDE; CORE V19-30; WATER; PRODUCTIVITY; FLUX</t>
  </si>
  <si>
    <t>A possible imprint on equatorial Pacific sediments of a deglacial reinvigoration of the Southern Ocean overturning is increased opal accumulation rate. This would arise from the transmission of silica-rich deep water to the equatorial thermocline via Subantarctic Mode Water and an associated increase in diatom productivity. In search of this imprint, sediment cores from the central (TT013-PC72) and eastern (V19-30) equatorial Pacific have been analyzed for Th-230-normalized opal accumulation rates over the past five and three glacial terminations, respectively. Equatorial opal accumulation rates sustained relatively low values over much of the records and were punctuated by large increases centered on some terminations, but not all. Furthermore, two periods of increased opal flux were observed that do not coincide with terminations. Sources other than the Southern Ocean may need to be considered in the silica budget of the equatorial Pacific, but the delta C-13 of Neogloboquadrina dutertrei can be used to support the presence of a deepwater nutrient signal in each case. Although a common deglacial mechanism, or a common imprint thereof, for each of the late Pleistocene glaciations remains elusive, the combination of opal flux and delta C-13 of N. dutertrei provides a diagnostic for past injection of deepwater nutrients into the Equatorial Undercurrent.</t>
  </si>
  <si>
    <t>[Hayes, C. T.; Anderson, R. F.; Fleisher, M. Q.] Columbia Univ, Lamont Doherty Earth Observ, Palisades, NY 10964 USA; [Hayes, C. T.; Anderson, R. F.] Columbia Univ, Dept Earth &amp; Environm Sci, New York, NY USA</t>
  </si>
  <si>
    <t>Columbia University; Columbia University</t>
  </si>
  <si>
    <t>Hayes, CT (corresponding author), Columbia Univ, Lamont Doherty Earth Observ, 229 Comer Bldg,61 Route 9W,POB 1000, Palisades, NY 10964 USA.</t>
  </si>
  <si>
    <t>cth@ldeo.columbia.edu</t>
  </si>
  <si>
    <t>Hayes, Christopher/P-3145-2016</t>
  </si>
  <si>
    <t>Hayes, Christopher/0000-0002-5636-2989; Anderson, Robert/0000-0002-8472-2494</t>
  </si>
  <si>
    <t>U.S. National Science Foundation [0526522]; Directorate For Geosciences; Division Of Ocean Sciences [0526522] Funding Source: National Science Foundation</t>
  </si>
  <si>
    <t>U.S. National Science Foundation(National Science Foundation (NSF)); Directorate For Geosciences; Division Of Ocean Sciences(National Science Foundation (NSF)NSF - Directorate for Geosciences (GEO))</t>
  </si>
  <si>
    <t>This manuscript benefited from comments made during a discussion with Jerry McManus and Samar Khatiwala as well as from thought provoking reviews by the editor (Rainer Zahn) and three anonymous reviewers. Thanks to Patricia Malone for opal analyses. This work was supported by the U.S. National Science Foundation through award 0526522. Samples from TT013-PC72 and from V19-30 were provided by repositories at the University of Rhode Island and at the Lamont-Doherty Earth Observatory, respectively. This is LDEO Contribution 7429.</t>
  </si>
  <si>
    <t>PA1207</t>
  </si>
  <si>
    <t>10.1029/2010PA002008</t>
  </si>
  <si>
    <t>723VP</t>
  </si>
  <si>
    <t>WOS:000287535700001</t>
  </si>
  <si>
    <t>Dencausse, G; Arhan, M; Speich, S</t>
  </si>
  <si>
    <t>Dencausse, Guillaume; Arhan, Michel; Speich, Sabrina</t>
  </si>
  <si>
    <t>Is there a continuous Subtropical Front south of Africa?</t>
  </si>
  <si>
    <t>ANTARCTIC CIRCUMPOLAR CURRENT; AGULHAS RETURN CURRENT; WIND-DRIVEN CIRCULATION; ATLANTIC INDIAN-OCEAN; NUMERICAL-MODEL; INTEROCEAN EXCHANGE; RING FORMATION; WATER MASSES; RETROFLECTION; DYNAMICS</t>
  </si>
  <si>
    <t>A 14.3 year series of weekly absolute sea surface height (SSH) and associated geostrophic velocities is used for a study of the subtropical-to-subantarctic frontal system in the region south of Africa. Detecting the fronts from surface velocity maxima confirms a two-stepped transition in both the southeastern Atlantic Ocean ( the Northern and Southern Subtropical fronts (NSTF, SSTF)) and southwestern Indian Ocean ( the Agulhas Front and SSTF), as proposed previously from hydrographic data. An additional front associated with westward flow north of the NSTF is indicative of a partial eastern closure of the South Atlantic subtropical gyre between 11 degrees E and 17.5 degrees E. The role of northwestward propagating Agulhas rings in connecting the two fronts explains the varying location. The SSTF, which marks the southern limit of subtropical waters, is found continuous from the Atlantic to the Indian Ocean in the time-averaged SSH field. In the weekly fields, however, the velocity maximum criterion defining the front is often met at the southern flanks of Agulhas rings or Agulhas eddies at 12 degrees E-23 degrees E, indicating front disruptions. Such discontinuities suggest that no South Atlantic Central Water is directly advected into the Indian Ocean. Instead, the eastward limb of the Indo-Atlantic super gyre encompassing the subtropical gyres of both oceans would rest, at these longitudes, on diffusive processes at the upper levels, and possibly be enhanced at depth. A schematic diagram of the fronts and their relations to Agulhas rings and eddies is proposed.</t>
  </si>
  <si>
    <t>[Dencausse, Guillaume; Arhan, Michel; Speich, Sabrina] IFREMER, Lab Phys Oceans, F-29280 Plouzane, France</t>
  </si>
  <si>
    <t>Centre National de la Recherche Scientifique (CNRS); Ifremer; Institut de Recherche pour le Developpement (IRD); Universite de Bretagne Occidentale</t>
  </si>
  <si>
    <t>Dencausse, G (corresponding author), OMP, LEGOS, Lab Etud Geophys &amp; Oceanog Spatiale, 14 Ave Edouard Belin, F-31400 Toulouse, France.</t>
  </si>
  <si>
    <t>guillaume.dencausse@legos.obs-mip.fr</t>
  </si>
  <si>
    <t>Speich, Sabrina/L-3780-2014</t>
  </si>
  <si>
    <t>Speich, Sabrina/0000-0002-5452-8287</t>
  </si>
  <si>
    <t>INSU (Institut National des Sciences de l'Univers); CNRS; Universite de Bretagne Occidentale</t>
  </si>
  <si>
    <t>INSU (Institut National des Sciences de l'Univers); CNRS(Centre National de la Recherche Scientifique (CNRS)); Universite de Bretagne Occidentale</t>
  </si>
  <si>
    <t>This contribution to the CLIVAR/GoodHope program was supported by the IFREMER program Circulation Oceanique, INSU (Institut National des Sciences de l'Univers), CNRS, and Universite de Bretagne Occidentale. G. Dencausse's contribution was done while a student at the Laboratoire de Physique des Oceans, supported by a grant from the Ecole Normale Superieure.</t>
  </si>
  <si>
    <t>FEB 17</t>
  </si>
  <si>
    <t>C02027</t>
  </si>
  <si>
    <t>10.1029/2010JC006587</t>
  </si>
  <si>
    <t>723QX</t>
  </si>
  <si>
    <t>WOS:000287523000003</t>
  </si>
  <si>
    <t>Levine, JG; Wolff, EW; Jones, AE; Sime, LC</t>
  </si>
  <si>
    <t>Levine, J. G.; Wolff, E. W.; Jones, A. E.; Sime, L. C.</t>
  </si>
  <si>
    <t>The role of atomic chlorine in glacial-interglacial changes in the carbon-13 content of atmospheric methane</t>
  </si>
  <si>
    <t>SEA-SALT AEROSOL; ICE CORE; CLIMATE; SIMULATION; MAXIMUM; MODEL; CH4; BUDGET; SOILS</t>
  </si>
  <si>
    <t>The ice-core record of the carbon-13 content of atmospheric methane (delta(CH4)-C-13) has largely been used to constrain past changes in methane sources. The aim of this paper is to explore, for the first time, the contribution that changes in the strength of a minor methane sink-oxidation by atomic chlorine in the marine boundary layer (Cl-MBL) -could make to changes in delta(CH4)-C-13 on glacial-interglacial timescales. Combining wind and temperature data from a variety of general circulation models with a simple formulation for the concentration of Cl-MBL, we find that changes in the strength of this sink, driven solely by changes in the atmospheric circulation, could have been responsible for changes in delta(CH4)-C-13 of the order of 10% of the glacial-interglacial difference observed. We thus highlight the need to quantify past changes in the strength of this sink, including those relating to changes in the sea-ice source of sea salt aerosol. Citation: Levine, J. G., E. W. Wolff, A. E. Jones, and L. C. Sime (2011), The role of atomic chlorine in glacial-interglacial changes in the carbon-13 content of atmospheric methane, Geophys. Res. Lett., 38, L04801, doi:10.1029/2010GL046122.</t>
  </si>
  <si>
    <t>[Levine, J. G.; Wolff, E. W.; Jones, A. E.; Sime, L. C.] British Antarctic Survey, Cambridge CB3 0ET, England</t>
  </si>
  <si>
    <t>Levine, JG (corresponding author), British Antarctic Survey, High Cross,High Cross,Madingley Rd, Cambridge CB3 0ET, England.</t>
  </si>
  <si>
    <t>Sime, Louise/F-8058-2012; Wolff, Eric W/D-7925-2014; Sime, Louise/AAX-7730-2021; Levine, James/KCZ-2135-2024</t>
  </si>
  <si>
    <t>Sime, Louise/0000-0002-9093-7926; Wolff, Eric W/0000-0002-5914-8531; Sime, Louise/0000-0002-9093-7926; Levine, James/0000-0002-0932-9115</t>
  </si>
  <si>
    <t>Natural Environment Research Council; EU [EVK2-CT-2002-00153]; NERC [bas0100024, NE/E007600/1] Funding Source: UKRI; Natural Environment Research Council [NE/E007600/1, bas0100024] Funding Source: researchfish</t>
  </si>
  <si>
    <t>Natural Environment Research Council(UK Research &amp; Innovation (UKRI)Natural Environment Research Council (NERC)); EU(European Union (EU)); NERC(UK Research &amp; Innovation (UKRI)Natural Environment Research Council (NERC)); Natural Environment Research Council(UK Research &amp; Innovation (UKRI)Natural Environment Research Council (NERC))</t>
  </si>
  <si>
    <t>This work has been carried out as part of the British Antarctic Survey Polar Science for Planet Earth programme. We gratefully acknowledge the funding of the Natural Environment Research Council. The authors also wish to thank the PMIP2 international modeling groups for providing their data for analysis, and the Laboratoire des Sciences du Climat et de l'Environnement (LSCE) for collecting and archiving the model data. The PMIP2/MOTIF Data Archive is supported by CEA, CNRS, the EU project MOTIF (EVK2-CT-2002-00153) and the Programme National d'Etude de la Dynamique du Climat (PNEDC). The analyses were performed using version 10-13-2006 of the database. More information is available on http://pmip2.lsce.ipsl.fr. Finally, we express our thanks to two anonymous reviewers.</t>
  </si>
  <si>
    <t>L04801</t>
  </si>
  <si>
    <t>10.1029/2010GL046122</t>
  </si>
  <si>
    <t>723QK</t>
  </si>
  <si>
    <t>WOS:000287521700005</t>
  </si>
  <si>
    <t>Gupta, AK; Mohan, K; Sarkar, S; Clemens, SC; Ravindra, R; Uttam, RK</t>
  </si>
  <si>
    <t>Gupta, Anil K.; Mohan, K.; Sarkar, Sudipta; Clemens, Steven C.; Ravindra, Rasik; Uttam, Rajesh K.</t>
  </si>
  <si>
    <t>East-West similarities and differences in the surface and deep northern Arabian Sea records during the past 21 Kyr</t>
  </si>
  <si>
    <t>Arabian Sea; Summer monsoon; Foraminifera; Younger Dryas (YD); B-A interstadials; Last Glacial Maximum (LGM)</t>
  </si>
  <si>
    <t>RECENT BENTHIC FORAMINIFERA; NORTHWESTERN INDIAN-OCEAN; OXYGEN MINIMUM ZONE; COMMUNITY STRUCTURE; CONTINENTAL-MARGIN; WATER CIRCULATION; ORGANIC-MATTER; CLIMATE-CHANGE; SOUTH CHINA; ICE-AGE</t>
  </si>
  <si>
    <t>This study analyses monsoon proxy Globigerina bulloides from Ocean Drilling Program (ODP) Hole 723A (western Arabian Sea) and Hole ABP-25, 02 (northeastern Arabian Sea) as well as dominant benthic foraminifera, pteropods, total organic carbon (TOC), Inorganic Carbon (IC) and stable isotope values of benthic foraminifera from Hole ABP-25, 02 to understand summer monsoon-driven changes in the western and eastern Arabian Sea and their impacts on deep-sea ventilation during the past 21 Kyr. We have also combined published TOC data from ODP Hole 724B to understand if deep-sea conditions in the Arabian Sea were same throughout the region during the studied interval. The summer monsoon was generally weaker during cold intervals including the Last Glacial Maximum, the Younger Dryas and the Bond events of the Holocene. From 20 to 10 Kyr, the deep northeastern Arabian Sea was better oxygenated with less organic carbon supply except during 14-12.5 Kyr when TOC values increased, indicating a weaker summer monsoon and a weak oxygen minimum zone (OMZ). The TOC values and the abundance of the eutrophic benthic foraminiferal species Bulimina aculeata, Melonis barleeanum and Uvigerina peregrina increased during the late Holocene whereas well-oxygenated, low organic carbon benthic species Sphaeroidina bulloides as well as pteropods decreased, indicating an intense OMZ and an increased supply of refractory organic material to the Arabian Sea. It is important to note that although the surface response to monsoon variability was more or less similar in the western and northeastern Arabian Sea, the deep-sea conditions show a marked contrast in the two regions during the past 21 Kyr. (C) 2011 Elsevier B.V. All rights reserved.</t>
  </si>
  <si>
    <t>[Gupta, Anil K.; Mohan, K.; Uttam, Rajesh K.] Indian Inst Technol, Dept Geol &amp; Geophys, Kharagpur 721302, W Bengal, India; [Sarkar, Sudipta] Rajiv Gandhi Inst Petr Technol, Dept Geol, Rae Bareli 229316, India; [Clemens, Steven C.] Brown Univ, Dept Geol Sci, Providence, RI 02912 USA; [Ravindra, Rasik] Natl Ctr Antarctic &amp; Ocean Res, Vasco Da Gama 403804, Goa, India</t>
  </si>
  <si>
    <t>Indian Institute of Technology System (IIT System); Indian Institute of Technology (IIT) - Kharagpur; Brown University; Ministry of Earth Sciences (MoES) - India; National Centre for Polar and Ocean Research (NCPOR)</t>
  </si>
  <si>
    <t>Gupta, AK (corresponding author), Indian Inst Technol, Dept Geol &amp; Geophys, Kharagpur 721302, W Bengal, India.</t>
  </si>
  <si>
    <t>anilg@gg.iitkgp.ernet.in</t>
  </si>
  <si>
    <t>Kuppusamy, Mohan/AAC-3900-2021</t>
  </si>
  <si>
    <t>Kuppusamy, Mohan/0000-0002-2558-057X; Gupta, Anil/0000-0003-0536-3911</t>
  </si>
  <si>
    <t>DST, New Delhi [SR/S4/ES-46/2003]; IIT, Kharagpur; NCAOR, Goa</t>
  </si>
  <si>
    <t>DST, New Delhi(Department of Science &amp; Technology (India)); IIT, Kharagpur; NCAOR, Goa</t>
  </si>
  <si>
    <t>Ocean Drilling Program (ODP) and National Center for Antarctic and Ocean Research (NCAOR), Goa are thankfully acknowledged for providing core samples for the present study. This study was supported by DST, New Delhi (No. SR/S4/ES-46/2003) and IIT, Kharagpur. Financial support for AMS 14C dating came from the NCAOR, Goa. Authors thank Laia Alegret and an anonymous reviewer for constructive reviews.</t>
  </si>
  <si>
    <t>FEB 15</t>
  </si>
  <si>
    <t>10.1016/j.palaeo.2010.12.027</t>
  </si>
  <si>
    <t>740ED</t>
  </si>
  <si>
    <t>WOS:000288773500006</t>
  </si>
  <si>
    <t>Liu, JP; Xiao, TY; Chen, LQ</t>
  </si>
  <si>
    <t>Liu, Jiping; Xiao, Tingyin; Chen, Liqi</t>
  </si>
  <si>
    <t>Intercomparisons of Air-Sea Heat Fluxes over the Southern Ocean</t>
  </si>
  <si>
    <t>ANTARCTIC CIRCUMPOLAR WAVE; HEMISPHERE; REANALYSIS; INTERMEDIATE; ICOADS; BUDGET; WORLD</t>
  </si>
  <si>
    <t>Consistency and discrepancy of air-sea latent and sensible heat fluxes (LHF and SHF, respectively) in the Southern Ocean for current-day flux products are analyzed from climatology and interannual-to-decadal variability perspectives. Five flux products are examined, including the National Oceanography Centre, Southampton flux dataset version 2 (NOCS2), the National Centers for Environmental Prediction/Department of Energy Global Reanalysis 2 (NCEP-2), the 40-yr European Centre for Medium-Range Weather Forecasts Re-Analysis (ERA-40), the Hamburg Ocean Atmosphere Parameters and Fluxes from Satellite Data version 3 (HOAPS-3), and the objectively analyzed air sea fluxes (OAFlux). Comparisons suggest that most datasets show encouraging agreement in the spatial distribution of the annual-mean LHF, the meridional profile of the zonal-averaged LHF, the leading empirical orthogonal function (EOF) mode of the LHF and SHF, and the large-scale response of the LHF and SHF to the Antarctic Oscillation (AAO) and El Nino-Southern Oscillation (ENSO). However, substantial spatiotemporal discrepancies are noteworthy. The largest across-data scatter is found in the central Indian sector of the Antarctic Circumpolar Current (ACC) for the annual-mean LHF, and in the Atlantic and Indian sectors of the ACC for the annual-mean SHF, which is comparable to and even larger than their respective interannual variability. The zonal mean of the SHF varies widely across the datasets in the ACC. There is a large spread in the seasonal cycle for the LHF and SHF among the datasets, particularly in the cold season. The datasets show interannual variability of various amplitudes and decadal trends of different signs. The flux variability of the NOCS2 is substantially different from the other datasets. Possible attributions of the identified discrepancies for these flux products are discussed based on the availability of the input meteorological state variables.</t>
  </si>
  <si>
    <t>[Liu, Jiping] Chinese Acad Sci, Inst Atmospher Phys, LASG, State Key Lab Numer Modeling Atmospher Sci &amp; Geop, Beijing 100029, Peoples R China; [Liu, Jiping] Georgia Inst Technol, Sch Earth &amp; Atmospher Sci, Atlanta, GA 30332 USA; [Chen, Liqi] State Ocean Adm, Inst Oceanog 3, Key Lab Global Change &amp; Marine Atmospher Chem, Xiamen, Peoples R China</t>
  </si>
  <si>
    <t>Chinese Academy of Sciences; Institute of Atmospheric Physics, CAS; University System of Georgia; Georgia Institute of Technology; Third Institute of Oceanography, Ministry of Natural Resources</t>
  </si>
  <si>
    <t>Liu, JP (corresponding author), Chinese Acad Sci, Inst Atmospher Phys, LASG, State Key Lab Numer Modeling Atmospher Sci &amp; Geop, Beijing 100029, Peoples R China.</t>
  </si>
  <si>
    <t>jliu@lasg.iap.ac.cn</t>
  </si>
  <si>
    <t>LIU, JIPING/N-6696-2016; Xiao, Tingyin/P-5246-2014</t>
  </si>
  <si>
    <t>Xiao, Tingyin/0000-0001-8751-5194</t>
  </si>
  <si>
    <t>NSF [0838920]; NASA NEWS; NSFC [40876099]; 973 program [2011CB309704]; CAS; Directorate For Geosciences; Office of Polar Programs (OPP) [0838920] Funding Source: National Science Foundation</t>
  </si>
  <si>
    <t>NSF(National Science Foundation (NSF)); NASA NEWS; NSFC(National Natural Science Foundation of China (NSFC)); 973 program(National Basic Research Program of China); CAS(Chinese Academy of Sciences); Directorate For Geosciences; Office of Polar Programs (OPP)(National Science Foundation (NSF)NSF - Directorate for Geosciences (GEO))</t>
  </si>
  <si>
    <t>We thank the anonymous reviewers for their helpful comments. This research was supported by the NSF OPP Antarctic Program (Grant 0838920), NASA NEWS, NSFC (Grant 40876099), 973 program (Grant 2011CB309704), and CAS Hundred Talent Program.</t>
  </si>
  <si>
    <t>10.1175/2010JCLI3699.1</t>
  </si>
  <si>
    <t>734AD</t>
  </si>
  <si>
    <t>WOS:000288304700014</t>
  </si>
  <si>
    <t>Song, YT; Colberg, F</t>
  </si>
  <si>
    <t>Song, Y. Tony; Colberg, Frank</t>
  </si>
  <si>
    <t>Deep ocean warming assessed from altimeters, Gravity Recovery and Climate Experiment, in situ measurements, and a non-Boussinesq ocean general circulation model</t>
  </si>
  <si>
    <t>SEA-LEVEL VARIATIONS; BOTTOM PRESSURE; HEAT-CONTENT; SATELLITE ALTIMETRY; SOUTHERN-OCEAN; GRACE; VARIABILITY; ABYSSAL; SURFACE; REEVALUATION</t>
  </si>
  <si>
    <t>Observational surveys have shown significant oceanic bottom water warming, but they are too spatially and temporally sporadic to quantify the deep ocean contribution to the present-day sea level rise (SLR). In this study, altimetry sea surface height (SSH), Gravity Recovery and Climate Experiment (GRACE) ocean mass, and in situ upper ocean (0-700 m) steric height have been assessed for their seasonal variability and trend maps. It is shown that neither the global mean nor the regional trends of altimetry SLR can be explained by the upper ocean steric height plus the GRACE ocean mass. A non-Boussinesq ocean general circulation model (OGCM), allowing the sea level to rise as a direct response to the heat added into the ocean, is then used to diagnose the deep ocean steric height. Constrained by sea surface temperature data and the top of atmosphere (TOA) radiation measurements, the model reproduces the observed upper ocean heat content well. Combining the modeled deep ocean steric height with observational upper ocean data gives the full depth steric height. Adding a GRACE-estimated mass trend, the data-model combination explains not only the altimetry global mean SLR but also its regional trends fairly well. The deep ocean warming is mostly prevalent in the Atlantic and Indian oceans, and along the Antarctic Circumpolar Current, suggesting a strong relation to the oceanic circulation and dynamics. Its comparison with available bottom water measurements shows reasonably good agreement, indicating that deep ocean warming below 700 m might have contributed 1.1 mm/yr to the global mean SLR or one-third of the altimeter-observed rate of 3.11 +/- 0.6 mm/yr over 1993-2008.</t>
  </si>
  <si>
    <t>[Song, Y. Tony; Colberg, Frank] CALTECH, Jet Prop Lab, Pasadena, CA 91109 USA; [Colberg, Frank] CSIRO Marine &amp; Atmospher Res, Aspendale, Vic 3195, Australia</t>
  </si>
  <si>
    <t>National Aeronautics &amp; Space Administration (NASA); NASA Jet Propulsion Laboratory (JPL); California Institute of Technology; Commonwealth Scientific &amp; Industrial Research Organisation (CSIRO)</t>
  </si>
  <si>
    <t>Song, YT (corresponding author), CALTECH, Jet Prop Lab, 4800 Oak Grove Dr, Pasadena, CA 91109 USA.</t>
  </si>
  <si>
    <t>yuhe.t.song@jpl.nasa.gov</t>
  </si>
  <si>
    <t>Colberg, Frank/F-4360-2014; Song, Y. Tony/G-9514-2016</t>
  </si>
  <si>
    <t>Song, Y. Tony/0000-0001-6903-0804</t>
  </si>
  <si>
    <t>National Aeronautics and Space Administration (NASA)</t>
  </si>
  <si>
    <t>National Aeronautics and Space Administration (NASA)(National Aeronautics &amp; Space Administration (NASA))</t>
  </si>
  <si>
    <t>This research is carried out at the Jet Propulsion Laboratory, California Institute of Technology, under contract with the National Aeronautics and Space Administration (NASA). Many thanks to C. Y. Kuo for providing his version of the upper ocean steric height data and S. G. Purkey and G. C. Johnson for the oceanic bottom water data. Discussions with V. Zlotnicki, J. Willis, and C. K. Shum are greatly appreciated.</t>
  </si>
  <si>
    <t>C02020</t>
  </si>
  <si>
    <t>10.1029/2010JC006601</t>
  </si>
  <si>
    <t>723QB</t>
  </si>
  <si>
    <t>WOS:000287520800002</t>
  </si>
  <si>
    <t>Troshichev, O; Stauning, P; Liou, K; Reeves, G</t>
  </si>
  <si>
    <t>Troshichev, O.; Stauning, P.; Liou, K.; Reeves, G.</t>
  </si>
  <si>
    <t>Saw-tooth substorms: Inconsistency of repetitive bay-like magnetic disturbances with behavior of aurora</t>
  </si>
  <si>
    <t>Magnetospheric substorm; Magnetic disturbance onset; Aurora breakup; Particle injections on geostationary orbit</t>
  </si>
  <si>
    <t>PERIODIC MAGNETOSPHERIC SUBSTORMS; ART. NO. A07208; INJECTIONS; ONSET</t>
  </si>
  <si>
    <t>The relationships between the magnetic disturbance onsets, aurora dynamics and particles injections at the geostationary orbit have been analyzed in detail for 25 sawtooth substorms. It is shown that inconsistency between the above signatures of the substorms onset is typical of the powerful sawtooth substorms, unlike the isolated (classical) magnetospheric substorms. The distinguishing feature of the aurora in case of saw-tooth substorms is permanently high level of auroral activity irrespective of the magnetic disturbance onsets and the double oval structure of the aurora display. The close relationship between the aurora behavior and the particle injections at geostationary orbit is also broken. The conclusion is made, that the classical concept of the substorm development, put forward by Akasofu (1964) for isolated substorms, is not workable in cases of the sawtooth disturbances, when the powerful solar wind energy pumping into the magnetosphere provides a permanent powerful aurora particle precipitation into the auroral zone. (C) 2010 COSPAR. Published by Elsevier Ltd. All rights reserved.</t>
  </si>
  <si>
    <t>[Troshichev, O.] Arctic &amp; Antarctic Res Inst, St Petersburg 199226, Russia; [Stauning, P.] Danish Meteorol Inst, Copenhagen, Denmark; [Liou, K.] JHU Appl Phys Lab, Laurel, MD USA; [Reeves, G.] Los Alamos Natl Lab, Space &amp; Atmospher Sci Grp, Los Alamos, NM USA</t>
  </si>
  <si>
    <t>Arctic &amp; Antarctic Research Institute; Danish Meteorological Institute DMI; Johns Hopkins University; United States Department of Energy (DOE); Los Alamos National Laboratory</t>
  </si>
  <si>
    <t>Troshichev, O (corresponding author), Arctic &amp; Antarctic Res Inst, St Petersburg 199226, Russia.</t>
  </si>
  <si>
    <t>Reeves, Geoffrey/E-8101-2011</t>
  </si>
  <si>
    <t>Reeves, Geoffrey/0000-0002-7985-8098</t>
  </si>
  <si>
    <t>10.1016/j.asr.2010.09.026</t>
  </si>
  <si>
    <t>722LG</t>
  </si>
  <si>
    <t>WOS:000287433100015</t>
  </si>
  <si>
    <t>Ma, H; Wu, LX</t>
  </si>
  <si>
    <t>Ma, Hao; Wu, Lixin</t>
  </si>
  <si>
    <t>Global Teleconnections in Response to Freshening over the Antarctic Ocean</t>
  </si>
  <si>
    <t>LAST GLACIAL MAXIMUM; SEA-ICE EXTENT; SOUTHERN-OCEAN; TROPICAL ATLANTIC; NORTH-ATLANTIC; CLIMATE-CHANGE; ATMOSPHERIC TELECONNECTIONS; THERMOHALINE CIRCULATION; DECADAL VARIABILITY; CIRCUMPOLAR WAVE</t>
  </si>
  <si>
    <t>In this paper, coupled ocean-atmosphere responses to freshening over the Antarctic Ocean are investigated in a fully coupled model with a series of sensitivity experiments. In the model, 1.0 Sv (1 Sv equivalent to 10(6) m(3) s(-1)) of freshwater flux is uniformly imposed over the Antarctic Ocean for 400 yr, while the ocean and atmosphere remain fully coupled both locally and elsewhere. The model explicitly demonstrates that a freshening of the Antarctic Ocean can induce a significant local cooling coupled with an intensification of the westerly winds and expansion of sea ice. Furthermore, the cooling can extend to the entire southern extratropical and tropical oceans coupled with an intensification of southeasterly trades and the equatorial trade winds. Some modest warm anomalies also occur in the northern extratropical oceans, forming a sharp interhemispheric SST contrast. A series of sensitivity experiments are conducted to understand the mechanisms responsible for transmitting the southern high latitude cooling to the tropics and the Northern Hemisphere. Experimental results demonstrate the important role of the surface coupled wind-evaporation-SST feedback and in turn changes of the subtropical-tropical meridional overturning circulation in conveying the southern high-latitude temperature anomalies to the tropics. The interhemispheric seesaw originates from the tropical-northern extratropical atmospheric teleconnection and is sustained by the subductive process of Antarctic subsurface warming. The Atlantic meridional overturning circulation is intensified in the first few decades of the freshwater forcing over the Antarctic Ocean because of a shutdown of the Antarctic deep convection, but it subsequently decreases because of the spreading of the fresh anomalies from the Southern Ocean to the Northern Ocean.</t>
  </si>
  <si>
    <t>[Ma, Hao; Wu, Lixin] Ocean Univ China, Phys Oceanog Lab, Qingdao 266100, Peoples R China</t>
  </si>
  <si>
    <t>Ocean University of China</t>
  </si>
  <si>
    <t>Wu, LX (corresponding author), Ocean Univ China, Phys Oceanog Lab, 238 Songling Rd, Qingdao 266100, Peoples R China.</t>
  </si>
  <si>
    <t>Chinese National Science Foundation [NSFC40788002]; National Key Basic Research Program [2007CB411800]; National Creative Research Group [NSFC40921004]</t>
  </si>
  <si>
    <t>Chinese National Science Foundation(National Natural Science Foundation of China (NSFC)); National Key Basic Research Program(National Basic Research Program of China); National Creative Research Group</t>
  </si>
  <si>
    <t>This work is jointly supported by the Chinese National Science Foundation Outstanding Youth Program (Grant NSFC40788002), National Key Basic Research Program (Grant 2007CB411800), and National Creative Research Group Project (Grant NSFC40921004). Discussions with Drs. Ping Chang, Wenju Cai, and Zhaomin Wang were of great help. We wish to thank Dr. Chun Li and Ms. Chunxue Yang for conducting some numerical experiments. The authors are grateful to the two anonymous reviewers for their constructive comments, which improved the original manuscript in many aspects. All calculations were carried out on a SGI supercomputer at Ocean University of China.</t>
  </si>
  <si>
    <t>10.1175/2010JCLI3634.1</t>
  </si>
  <si>
    <t>WOS:000288304700006</t>
  </si>
  <si>
    <t>Butzin, M; Lohmann, G; Bickert, T</t>
  </si>
  <si>
    <t>Butzin, Martin; Lohmann, Gerrit; Bickert, Torsten</t>
  </si>
  <si>
    <t>Miocene ocean circulation inferred from marine carbon cycle modeling combined with benthic isotope records</t>
  </si>
  <si>
    <t>DEEP-WATER CIRCULATION; CENTRAL-AMERICAN SEAWAY; THERMOHALINE CIRCULATION; SOUTHERN-OCEAN; DIOXIDE CONCENTRATIONS; INTERMEDIATE WATER; ATLANTIC-OCEAN; MIDDLE; ICE; TRANSPORT</t>
  </si>
  <si>
    <t>In a modeling sensitivity study we investigate the evolution of the ocean circulation and of marine carbon isotope (delta C-13) records during the Miocene (about 23-5 million years ago). For this purpose we ran an ocean-circulation carbon cycle model of intermediate complexity (Large Scale Geostrophic- Hamburg Ocean Carbon Cycle Model, version 2s) exploring various seaway configurations. Our investigations confirm that the Central American Seaway played a decisive role in the history of the Miocene ocean circulation. In simulations with a deep Central American Seaway (depth range 1-3 km), typical for the early to middle Miocene, deep water production in the North Atlantic is absent or weak, while the meridional overturning circulation is dominated by water mass formation in the Southern Ocean. Deep water formation in the North Atlantic begins when the Central American Seaway shoals to a few hundreds of meters, which is typical for the late Miocene. Our results do not support ideas that the mid-Miocene closing of the Eastern Tethys contributed to Antarctic glaciation. On the other hand, we find some water exchange between the Indian Ocean and the Atlantic via the Eastern Tethys during the early Miocene. Our model results for the Atlantic meridional overturning circulation and for Atlantic delta 13C during the late Miocene are largely independent from depth variations of the Greenland-Scotland Ridge. To a large extent, the evolution of Miocene deep-sea delta 13C records can be explained with large-scale ocean circulation changes. Our model-data comparison for the middle and early Miocene suggests that during the early Neogene the seaway effect on benthic delta 13C may have been superimposed by further factors such as climate regime shifts and/or terrestrial carbon cycle changes.</t>
  </si>
  <si>
    <t>[Butzin, Martin; Bickert, Torsten] Univ Bremen, Ctr Marine Environm Sci, D-28334 Bremen, Germany; [Lohmann, Gerrit] Alfred Wegener Inst Polar &amp; Marine Res, D-27580 Bremerhaven, Germany</t>
  </si>
  <si>
    <t>University of Bremen; Helmholtz Association; Alfred Wegener Institute, Helmholtz Centre for Polar &amp; Marine Research</t>
  </si>
  <si>
    <t>Butzin, M (corresponding author), Univ Bremen, Ctr Marine Environm Sci, POB 330440, D-28334 Bremen, Germany.</t>
  </si>
  <si>
    <t>mbutzin@marum.de</t>
  </si>
  <si>
    <t>Lohmann, Gerrit/M-7453-2016</t>
  </si>
  <si>
    <t>Lohmann, Gerrit/0000-0003-2089-733X; Butzin, Martin/0000-0002-9275-7304</t>
  </si>
  <si>
    <t>Deutsche Forschungsgemeinschaft [Bi657]</t>
  </si>
  <si>
    <t>Special thanks go to Christoph Heinze for providing the model code of HAMOCC2s and to Heather Poore for providing Neogene isotope data. The paper benefited from discussions with Klaus Grosfeld, Gregor Knorr, Matthias Prange, and Michael Schulz and from reviews by Jim Wright and another anonymous referee. Andreas Manschke is acknowledged for technical assistance. Funded through Deutsche Forschungsgemeinschaft (Bi657).</t>
  </si>
  <si>
    <t>PA1203</t>
  </si>
  <si>
    <t>10.1029/2009PA001901</t>
  </si>
  <si>
    <t>726BB</t>
  </si>
  <si>
    <t>WOS:000287690900001</t>
  </si>
  <si>
    <t>Lambeck, K; Antonioli, F; Anzidei, M; Ferranti, L; Leoni, G; Scicchitano, G; Silenzi, S</t>
  </si>
  <si>
    <t>Lambeck, K.; Antonioli, F.; Anzidei, M.; Ferranti, L.; Leoni, G.; Scicchitano, G.; Silenzi, S.</t>
  </si>
  <si>
    <t>Sea level change along the Italian coast during the Holocene and projections for the future</t>
  </si>
  <si>
    <t>MEDITERRANEAN SEA; ICE-SHEET</t>
  </si>
  <si>
    <t>Published and new sea level data are used to provide projections of sea level change in Italy for the year 2100 by adding new isostatic and tectonic component to the IPCC and Rahmstorf projections. Comparison of the observations from more than 130 sites (with different geomorphological and archaeological sea level markers) with the predicted sea level curves provides estimates of the vertical tectonic contribution to the relative sea level change. The results are based on the most recent ANU model for the ice sheets of both hemispheres, including an alpine deglaciation model. On the basis of the eustatic, tectonic and isostatic components to the sea level change, projections are provided for marine inundation scenarios for the Italian coastal plains for the year 2100, that today are at elevations close to current sea level. (c) 2010 Elsevier Ltd and INQUA. All rights reserved.</t>
  </si>
  <si>
    <t>[Antonioli, F.; Leoni, G.] ENEA, Natl Agcy New Technol Energy &amp; Environm, Rome, Italy; [Lambeck, K.] Australian Natl Univ, Res Sch Earth Sci, Canberra, ACT 0200, Australia; [Lambeck, K.] Antarctic Climate &amp; Ecosyst Cooperat Res Ctr, Hobart, Tas, Australia; [Anzidei, M.] INGV, Rome, Italy; [Ferranti, L.] Dept Earth Sci, Naples, Italy; [Scicchitano, G.] Dept Earth Sci, Catania, Italy; [Silenzi, S.] ISPRA, Inst Environm Protect &amp; Res, Rome, Italy</t>
  </si>
  <si>
    <t>Italian National Agency New Technical Energy &amp; Sustainable Economics Development; Australian National University; Antarctic Climate &amp; Ecosystems Cooperative Research Centre (ACE CRC); Istituto Nazionale Geofisica e Vulcanologia (INGV); Italian Institute for Environmental Protection &amp; Research (ISPRA)</t>
  </si>
  <si>
    <t>Antonioli, F (corresponding author), ENEA, Natl Agcy New Technol Energy &amp; Environm, Rome, Italy.</t>
  </si>
  <si>
    <t>fabrizio.antonioli@enea.it</t>
  </si>
  <si>
    <t>Leoni, Gabriele/F-7646-2019; Scicchitano, Giovanni/AAP-6605-2020; Anzidei, Marco/A-3873-2017; Scicchitano, Giovanni/AAC-1948-2019; Ferranti, Luigi/C-1403-2009</t>
  </si>
  <si>
    <t>Leoni, Gabriele/0000-0001-8269-3127; Scicchitano, Giovanni/0000-0003-0328-737X; Anzidei, Marco/0000-0003-1935-1049; Ferranti, Luigi/0000-0002-0531-6763; antonioli, fabrizio/0000-0002-2607-0539</t>
  </si>
  <si>
    <t>10.1016/j.quaint.2010.04.026</t>
  </si>
  <si>
    <t>740ET</t>
  </si>
  <si>
    <t>WOS:000288775100024</t>
  </si>
  <si>
    <t>Kawahara, TD; Kitahara, T; Kobayashi, F; Saito, Y; Nomura, A</t>
  </si>
  <si>
    <t>Kawahara, Takuya D.; Kitahara, Tsukasa; Kobayashi, Fumitoshi; Saito, Yasunori; Nomura, Akio</t>
  </si>
  <si>
    <t>Sodium temperature lidar based on injection seeded Nd:YAG pulse lasers using a sum-frequency generation technique</t>
  </si>
  <si>
    <t>OPTICS EXPRESS</t>
  </si>
  <si>
    <t>D-2 RESONANCE RADIATION; SYOWA-STATION; 69-DEGREES-S; 39-DEGREES-E; WIND; NA; THERMOSPHERE; ANTARCTICA; ATMOSPHERE; FE</t>
  </si>
  <si>
    <t>We report on a sodium (Na) temperature lidar based on two injection seeded Nd:YAG pulse lasers using single-pass sum-frequency generation. The laser power at 589 nm is 400 mW (40 mJ per pulse at a repetition rate of 10 Hz) and the pulse width is 22 nsec FWHM. The narrowband laser tuned to the Doppler broadened Na D-2 spectrum enables us to measure the temperature of the mesopause region (80-115 km). This solid-state transportable system demonstrated high performance and capability at Syowa Station in Antarctica for 3 years and at Uji in Japan for an additional year without any major operational troubles. (C) 2011 Optical Society of America</t>
  </si>
  <si>
    <t>[Kawahara, Takuya D.; Kitahara, Tsukasa; Kobayashi, Fumitoshi; Saito, Yasunori; Nomura, Akio] Shinshu Univ, Fac Engn, Nagano 3808553, Japan</t>
  </si>
  <si>
    <t>Shinshu University</t>
  </si>
  <si>
    <t>Kawahara, TD (corresponding author), Shinshu Univ, Fac Engn, 4-17-1 Wakasato, Nagano 3808553, Japan.</t>
  </si>
  <si>
    <t>kawahara@cs.shinshu-u.ac.jp</t>
  </si>
  <si>
    <t>Japanese Antarctic Research Expedition</t>
  </si>
  <si>
    <t>The lidar observation in Antarctica was supported by the 40th-42nd Japanese Antarctic Research Expedition. The authors also wish to thank Continuum, Inc. and Excel Technology Japan K. K. for the construction of the laser.</t>
  </si>
  <si>
    <t>1094-4087</t>
  </si>
  <si>
    <t>OPT EXPRESS</t>
  </si>
  <si>
    <t>Opt. Express</t>
  </si>
  <si>
    <t>FEB 14</t>
  </si>
  <si>
    <t>10.1364/OE.19.003553</t>
  </si>
  <si>
    <t>741JM</t>
  </si>
  <si>
    <t>WOS:000288860000075</t>
  </si>
  <si>
    <t>Miranda, NAF; Perissinotto, R; Appleton, CC</t>
  </si>
  <si>
    <t>Miranda, Nelson A. F.; Perissinotto, Renzo; Appleton, Christopher C.</t>
  </si>
  <si>
    <t>Feeding dynamics of the invasive gastropod Tarebia granifera in coastal and estuarine lakes of northern KwaZulu-Natal, South Africa</t>
  </si>
  <si>
    <t>aquatic invertebrates; non-indigenous invasive species; gut fluorescence technique; carbon budget; iSimangaliso Wetland Park</t>
  </si>
  <si>
    <t>HYDROBIA-ULVAE PENNANT; GUT EVACUATION RATES; ANTARCTIC KRILL; CHLOROPHYLL-A; ENVIRONMENTAL-FACTORS; PIGMENT DESTRUCTION; GRAZING IMPACT; INGESTION RATE; ZOOPLANKTON; NUTRIENT</t>
  </si>
  <si>
    <t>Gut fluorescence and carbon budget techniques were applied to Tarebia granifera (shell height 10-12 mm) at the iSimangaliso Wetland Park, a UNESCO World Heritage Site. This snail has recently invaded a number of estuaries in northern KwaZulu-Natal, where it reaches densities of over 1000 ind.m(-2) and becomes a dominant component of the benthic community. Its rapid establishment and spread have raised concerns about potential top-down impacts on the ecosystem. This study shows that T. granifera can utilize large amounts of microphytobenthos (MPB) in addition to detritus. In situ total available MPB pigment concentrations ranged from 11.6 to 110.5 mg pigm. m(-2). T. granifera's gut pigment content ranged from 54 to 1672 mu g pigm. ind(-1). Gut evacuation rates (k) ranged from 0.36 to 0.62 h(-1) (R-2 range: 16.2-35.2, P &lt; 0.05). Individual ingestion rates ranged from 6.6 to 30.4 mu g pigm. ind.(-1) d(-1). T. granifera was estimated to consume from 0.5 to 35% of the total available MPB biomass per day, or 1.2-68% of the daily primary benthic production. The carbon component estimated from the gut fluorescence technique contributed 8.7-40.9% of the total gut organic carbon content. The average carbon daily ration contributed by microalgal biomass was approximate to 16% body carbon per day. Variability in the data was attributed to the complex feeding history of snails. Further studies are needed to validate these results and provide more information on the ecological impact of T. granifera on this wetland and other similar invaded ecosystems, both estuarine and freshwater. (C) 2010 Elsevier Ltd. All rights reserved.</t>
  </si>
  <si>
    <t>[Miranda, Nelson A. F.; Perissinotto, Renzo; Appleton, Christopher C.] Univ KwaZulu Natal, Sch Biol &amp; Conservat Sci, ZA-4000 Durban, South Africa</t>
  </si>
  <si>
    <t>University of Kwazulu Natal</t>
  </si>
  <si>
    <t>Miranda, NAF (corresponding author), Univ KwaZulu Natal, Sch Biol &amp; Conservat Sci, Westville Campus,Private Bag X54001, ZA-4000 Durban, South Africa.</t>
  </si>
  <si>
    <t>204507499@ukzn.ac.za</t>
  </si>
  <si>
    <t>Miranda, Nelson/H-9349-2013</t>
  </si>
  <si>
    <t>Miranda, Nelson/0000-0002-9308-6688</t>
  </si>
  <si>
    <t>iSimangaliso Park Authority; Ezemvelo KZN Wildlife; National Research Foundation (NRF), South Africa; Department of Environmental Affairs and Tourism - Marine and Coastal Management (DEAT-MCM); World Wildlife Fund (WWF)</t>
  </si>
  <si>
    <t>iSimangaliso Park Authority; Ezemvelo KZN Wildlife; National Research Foundation (NRF), South Africa(National Research Foundation - South Africa); Department of Environmental Affairs and Tourism - Marine and Coastal Management (DEAT-MCM); World Wildlife Fund (WWF)</t>
  </si>
  <si>
    <t>We are grateful to the iSimangaliso Park Authority and Ezemvelo KZN Wildlife for supporting this project. Special thanks go to R. Taylor, C. Fox and R. Kyle for their invaluable assistance and logistical support. Funding was provided by the National Research Foundation (NRF), South Africa; Department of Environmental Affairs and Tourism - Marine and Coastal Management (DEAT-MCM); and the World Wildlife Fund (WWF).</t>
  </si>
  <si>
    <t>FEB 10</t>
  </si>
  <si>
    <t>10.1016/j.ecss.2010.11.007</t>
  </si>
  <si>
    <t>720OR</t>
  </si>
  <si>
    <t>WOS:000287290500011</t>
  </si>
  <si>
    <t>Bendle, J</t>
  </si>
  <si>
    <t>Bendle, James</t>
  </si>
  <si>
    <t>PALAEOCLIMATOLOGY Core data from the Antarctic margin</t>
  </si>
  <si>
    <t>PENINSULA; VARIABILITY; LIPIDS</t>
  </si>
  <si>
    <t>Univ Glasgow, Sch Geog &amp; Earth Sci, Glasgow G12 8QQ, Lanark, Scotland</t>
  </si>
  <si>
    <t>University of Glasgow</t>
  </si>
  <si>
    <t>Bendle, J (corresponding author), Univ Glasgow, Sch Geog &amp; Earth Sci, Glasgow G12 8QQ, Lanark, Scotland.</t>
  </si>
  <si>
    <t>james.bendle@ges.gla.ac.uk</t>
  </si>
  <si>
    <t>Bendle, James/0000-0002-6826-8658</t>
  </si>
  <si>
    <t>Natural Environment Research Council [NE/H014616/1, NE/I00646X/1] Funding Source: researchfish; NERC [NE/H014616/1, NE/I00646X/1] Funding Source: UKRI</t>
  </si>
  <si>
    <t>10.1038/470181a</t>
  </si>
  <si>
    <t>718RQ</t>
  </si>
  <si>
    <t>WOS:000287144200029</t>
  </si>
  <si>
    <t>Holocene Southern Ocean surface temperature variability west of the Antarctic Peninsula</t>
  </si>
  <si>
    <t>SEA-ICE; SPATIOTEMPORAL VARIABILITY; ATMOSPHERIC CO2; PALMER-DEEP; CLIMATE; RECORD; MECHANISMS; VEGETATION; INSOLATION; ATLANTIC</t>
  </si>
  <si>
    <t>The disintegration of ice shelves, reduced sea-ice and glacier extent, and shifting ecological zones observed around Antarctica(1,2) highlight the impact of recent atmospheric(3) and oceanic warming(4) on the cryosphere. Observations(1,2) and models(5,6) suggest that oceanic and atmospheric temperature variations at Antarctica's margins affect global cryosphere stability, ocean circulation, sea levels and carbon cycling. In particular, recent climate changes on the Antarctic Peninsula have been dramatic, yet the Holocene climate variability of this region is largely unknown, limiting our ability to evaluate ongoing changes within the context of historical variability and underlying forcing mechanisms. Here we show that surface ocean temperatures at the continental margin of the western Antarctic Peninsula cooled by 3-4 degrees C over the past 12,000 years, tracking the Holocene decline of local (65 degrees S) spring insolation. Our results, based on TEX(86) sea surface temperature (SST) proxy evidence from a marine sediment core, indicate the importance of regional summer duration as a driver of Antarctic seasonal sea-ice fluctuations(7). On millennial timescales, abrupt SST fluctuations of 2-4 degrees C coincide with globally recognized climate variability(8). Similarities between our SSTs, Southern Hemisphere westerly wind reconstructions(9) and El Nino/Southern Oscillation variability(10) indicate that present climate teleconnections between the tropical Pacific Ocean and the western Antarctic Peninsula(11) strengthened late in the Holocene epoch. We conclude that during the Holocene, Southern Ocean temperatures at the western Antarctic Peninsula margin were tied to changes in the position of the westerlies, which have a critical role in global carbon cycling(9,12).</t>
  </si>
  <si>
    <t>[Shevenell, A. E.; Ingalls, A. E.; Kelly, C.] Univ Washington, Sch Oceanog, Seattle, WA 98195 USA; [Domack, E. W.] Hamilton Coll, Dept Geosci, Clinton, NY 13323 USA</t>
  </si>
  <si>
    <t>University of Washington; University of Washington Seattle; Hamilton College</t>
  </si>
  <si>
    <t>Shevenell, AE (corresponding author), UCL, Dept Geog, Gower St, London WC1E 6BT, England.</t>
  </si>
  <si>
    <t>a.shevenell@ucl.ac.uk</t>
  </si>
  <si>
    <t>shevenell, Amelia/A-4161-2009; Shevenell, Amelia E/C-2757-2015</t>
  </si>
  <si>
    <t>Ingalls, Anitra/0000-0003-1953-7329</t>
  </si>
  <si>
    <t>NSF [OPP-0620099, OPP-0732467]</t>
  </si>
  <si>
    <t>We thank R. Murray and K. Kryc for the ODP Hole 1098B samples, F. Lamy for the ODP Site 1233/GEOB3313 alkenone data set, S. Emerson, K. Kreutz, R. Dunbar, M. Maslin, R. Anderson, A. Newton, A. Pearson and A. Tudhope for discussions, and J. Sachs, O. Kawka and L. Truxal for assistance with alkenone measurements. This research used samples collected by the Ocean Drilling Program and the United States Antarctic Program. This research was supported by NSF grants OPP-0620099 (A. E. S. and A. E. I.) and OPP-0732467 (E.W.D.).</t>
  </si>
  <si>
    <t>10.1038/nature09751</t>
  </si>
  <si>
    <t>WOS:000287144200042</t>
  </si>
  <si>
    <t>Morris, RJ; Klekociuk, AR; Holdsworth, DA</t>
  </si>
  <si>
    <t>Morris, Ray J.; Klekociuk, Andrew R.; Holdsworth, David A.</t>
  </si>
  <si>
    <t>First observations of Southern Hemisphere polar mesosphere winter echoes including conjugate occurrences at ∼69°S latitude</t>
  </si>
  <si>
    <t>TEMPERATURE; INFRASOUND; ATMOSPHERE; RADAR; PMSE</t>
  </si>
  <si>
    <t>We present the first account of polar mesosphere winter echoes (PMWE) observed from the Southern Hemisphere (SH), using measurements from Davis, Antarctica (68.6 degrees S; 78.0 degrees E). PMWE were observed by mesosphere-stratosphere-troposphere (MST) radar during solar proton events (SPEs) and auroral substorms. We supplement the MST radar measurements with profiles of temperature and turbulent velocity from co-located Rayleigh lidar and medium frequency (MF) radar, respectively, as well as temperature data from the Microwave Limb Sounder (MLS) onboard the Aura satellite. We establish that SH PMWE exhibit similar characteristics to their well-studied northern hemisphere counterpart. Significantly our observations reveal that these radar echoes in the lower mesosphere (similar to 50-80 km) can occur year-round, and on occasions simultaneously in both hemispheres. We report the seasonal occurrence distribution of SH PMWE is linked to the seasonal distribution of atmospheric turbulence in the lower mesosphere. We hypothesise that given sufficient turbulent velocities in the neutral atmosphere and co-located gradients in electron density, PMWE can occur throughout the year. However they are more likely in winter when turbulent velocities in the lower mesosphere maximise. Citation: Morris, R. J., A. R. Klekociuk, and D. A. Holdsworth (2011), First observations of Southern Hemisphere polar mesosphere winter echoes including conjugate occurrences at similar to 69 degrees S latitude, Geophys. Res. Lett., 38, L03811, doi:10.1029/2010GL046298.</t>
  </si>
  <si>
    <t>[Morris, Ray J.; Klekociuk, Andrew R.] Australian Antarctic Div, Dept Sustainabil Environm Water Populat &amp; Communi, Kingston, Tas 7050, Australia; [Holdsworth, David A.] Def Sci &amp; Technol Org, Edinburgh, SA 5111, Australia</t>
  </si>
  <si>
    <t>Australian Antarctic Division; Defence Science &amp; Technology</t>
  </si>
  <si>
    <t>Morris, RJ (corresponding author), Australian Antarctic Div, Dept Sustainabil Environm Water Populat &amp; Communi, 203 Channel Hwy, Kingston, Tas 7050, Australia.</t>
  </si>
  <si>
    <t>ray.morris@aad.gov.au</t>
  </si>
  <si>
    <t>Klekociuk, Andrew/0000-0003-3335-0034</t>
  </si>
  <si>
    <t>FEB 8</t>
  </si>
  <si>
    <t>L03811</t>
  </si>
  <si>
    <t>10.1029/2010GL046298</t>
  </si>
  <si>
    <t>720ZK</t>
  </si>
  <si>
    <t>WOS:000287321000006</t>
  </si>
  <si>
    <t>O'Hara, TD; Rowden, AA; Bax, NJ</t>
  </si>
  <si>
    <t>O'Hara, Timothy D.; Rowden, Ashley A.; Bax, Nicholas J.</t>
  </si>
  <si>
    <t>A Southern Hemisphere Bathyal Fauna Is Distributed in Latitudinal Bands</t>
  </si>
  <si>
    <t>SPECIES DISTRIBUTIONS; BIODIVERSITY; PREDICTION; SEAMOUNTS; SELECTION; RICHNESS; ENDEMISM; COASTAL; RANGES; LEVEL</t>
  </si>
  <si>
    <t>The large-scale spatial distribution of seafloor fauna is still poorly understood. In particular, the bathyal zone has been identified as the key depth stratum requiring further macro-ecological research [1], particularly in the Southern Hemisphere [2]. Here we analyze a large biological data set derived from 295 research expeditions, across an equator-to-pole sector of the Indian, Pacific, and Southern oceans, to show that the bathyal ophiuroid fauna is distributed in three broad latitudinal bands and not primarily differentiated by oceanic basins as previously assumed. Adjacent faunas form transitional ecoclines rather than biogeographical breaks. This pattern is similar to that in shallow water despite the order-of-magnitude reduction in the variability of environmental parameters at bathyal depths. A reliable biogeography is fundamental to establishing a representative network of marine reserves across the world's oceans [1, 3].</t>
  </si>
  <si>
    <t>[O'Hara, Timothy D.] Museum Victoria, Dept Sci, Melbourne, Vic 3001, Australia; [Rowden, Ashley A.] Natl Inst Water &amp; Atmospher Res, Marine Ecol Program, Wellington 6021, New Zealand; [Bax, Nicholas J.] Commonwealth Sci &amp; Ind Res Org, Hobart, Tas 7001, Australia</t>
  </si>
  <si>
    <t>Museum Victoria; National Institute of Water &amp; Atmospheric Research (NIWA) - New Zealand; Commonwealth Scientific &amp; Industrial Research Organisation (CSIRO)</t>
  </si>
  <si>
    <t>O'Hara, TD (corresponding author), Museum Victoria, Dept Sci, Melbourne, Vic 3001, Australia.</t>
  </si>
  <si>
    <t>tohara@museum.vic.gov.au</t>
  </si>
  <si>
    <t>Rowden, Ashley/ABG-6010-2020; Rowden, Ashley/O-9358-2019; Bax, Nicholas/A-2321-2012</t>
  </si>
  <si>
    <t>Bax, Nicholas/0000-0002-9697-4963; Rowden, Ashley/0000-0003-2975-2524</t>
  </si>
  <si>
    <t>Foundation for Research, Science and Technology; Ministry of Fisheries; Commonwealth Environment Research Facilities Program (CERF)</t>
  </si>
  <si>
    <t>Foundation for Research, Science and Technology(New Zealand Foundation for Research, Science and Technology); Ministry of Fisheries; Commonwealth Environment Research Facilities Program (CERF)</t>
  </si>
  <si>
    <t>This research was made possible by support from the Census of Marine Life on Seamounts (CenSeam) program, the National Institute of Water and Atmospheric Research Seamount Programme (funded by the Foundation for Research, Science and Technology and the Ministry of Fisheries), the Museum National D'Histoire Naturelle (Paris), and the Marine Biodiversity Hub, funded through the Commonwealth Environment Research Facilities Program (CERF) and administered through the Australian Government's Department of Sustainability, Environment, Water, Population and Communities. We thank the many museum curators and collection managers who granted access to their collections of ophiuroids and Igor Smirnov for identification of Antarctic specimens.</t>
  </si>
  <si>
    <t>10.1016/j.cub.2011.01.002</t>
  </si>
  <si>
    <t>720DE</t>
  </si>
  <si>
    <t>Green Submitted, hybrid, Green Published</t>
  </si>
  <si>
    <t>WOS:000287259600025</t>
  </si>
  <si>
    <t>Ivins, ER; Watkins, MM; Yuan, DN; Dietrich, R; Casassa, G; Rülke, A</t>
  </si>
  <si>
    <t>Ivins, Erik R.; Watkins, Michael M.; Yuan, Dah-Ning; Dietrich, Reinhard; Casassa, Gino; Ruelke, Axel</t>
  </si>
  <si>
    <t>On-land ice loss and glacial isostatic adjustment at the Drake Passage: 2003-2009</t>
  </si>
  <si>
    <t>PENINSULA SUMMER TEMPERATURES; HEMISPHERE ANNULAR MODE; TIME-VARIABLE GRAVITY; ANTARCTIC PENINSULA; CLIMATE-CHANGE; BRANSFIELD STRAIT; SATELLITE GRAVITY; LATE HOLOCENE; MASS CHANGES; GRACE</t>
  </si>
  <si>
    <t>Land glacier extent and volume at the northern and southern margins of the Drake Passage have been in a state of dramatic demise since the early 1990s. Here time-varying space gravity observations from the Gravity Recovery and Climate Experiment (GRACE) are combined with Global Positioning System (GPS) bedrock uplift data to simultaneously solve for ice loss and for solid Earth glacial isostatic adjustment (GIA) to Little Ice Age (LIA) cryospheric loading. The present-day ice loss rates are determined to be -26 +/- 6 Gt/yr and -41.5 +/- 9 Gt/yr in the Southern and Northern Patagonia Ice Fields (NPI+SPI) and Antarctic Peninsula (AP), respectively. These are consistent with estimates based upon thickness and flux changes. Bounds are recovered for elastic lithosphere thicknesses of 35 &lt;= h &lt;= 70 km and 20 &lt;= h &lt;= 45 km and for upper mantle viscosities of 4-8 x 10(18) Pa s and 3-10 x 10(19) Pa s (using a half-space approximation) for NPI+SPI and AP, respectively, using an iterative forward model strategy. Antarctic Peninsula ice models with a prolonged LIA, extending to A. D. 1930, are favored in all chi(2) fits to the GPS uplift data. This result is largely decoupled from Earth structure assumptions. The GIA corrections account for roughly 20-60% of the space-determined secular gravity change. Collectively, the on-land ice losses correspond to volume increases of the oceans equivalent to 0.19 +/- 0.045 mm/yr of sea level rise for the last 15 years.</t>
  </si>
  <si>
    <t>[Ivins, Erik R.; Watkins, Michael M.; Yuan, Dah-Ning] CALTECH, Jet Prop Lab, Oceans Climate &amp; Solid Earth Sect, Pasadena, CA 91109 USA; [Dietrich, Reinhard] Tech Univ Dresden, Inst Planetare Geodasie, D-01069 Dresden, Germany; [Casassa, Gino] Ctr Estudios Cient, Valdivia 514, Chile; [Ruelke, Axel] Bundesamt Kartog &amp; Geodasie, D-04105 Leipzig, Germany</t>
  </si>
  <si>
    <t>National Aeronautics &amp; Space Administration (NASA); NASA Jet Propulsion Laboratory (JPL); California Institute of Technology; Technische Universitat Dresden</t>
  </si>
  <si>
    <t>Ivins, ER (corresponding author), CALTECH, Jet Prop Lab, Oceans Climate &amp; Solid Earth Sect, Mail Stop 300-233,4800 Oak Grove Dr, Pasadena, CA 91109 USA.</t>
  </si>
  <si>
    <t>erik.r.ivins@jpl.nasa.gov</t>
  </si>
  <si>
    <t>Ivins, Erik R/C-2416-2011; Casassa, Gino/AAX-6142-2020</t>
  </si>
  <si>
    <t>NASA as part of the GRACE Science Team; International Bureau of the BMBF (Germany); Chilean Government through the Millennium Science Initiative; Conicyt; Centro de Estudios Cientificos (CECS)</t>
  </si>
  <si>
    <t>NASA as part of the GRACE Science Team; International Bureau of the BMBF (Germany)(Federal Ministry of Education &amp; Research (BMBF)); Chilean Government through the Millennium Science Initiative; Conicyt(Comision Nacional de Investigacion Cientifica y Tecnologica (CONICYT)); Centro de Estudios Cientificos (CECS)</t>
  </si>
  <si>
    <t>This research was supported by NASA's Earth Surface and Interior Focus Area as part of the GRACE Science Team effort and was performed at the Jet Propulsion Laboratory, California Institute of Technology. Parts of this research were supported by the International Bureau of the BMBF (Germany) and by the Chilean Government through the Millennium Science Initiative and the Centers of Excellence Base Financing Program of Conicyt which fund and the Centro de Estudios Cientificos (CECS). We thank Michael Bentley, David Bromwich, Ben Chao, Eugene Domack, Tom James, Matt King, Felix Landerer, Eric Rignot, Riccardo Riva, Christopher Shuman, Alexander Simms, Xiaoping Wu, and Victor Zlotnicki for their insight and helpful comments. Many of the figures in this paper were created using GMT open software [Wessel and Smith, 1995].</t>
  </si>
  <si>
    <t>B02403</t>
  </si>
  <si>
    <t>10.1029/2010JB007607</t>
  </si>
  <si>
    <t>721AW</t>
  </si>
  <si>
    <t>WOS:000287324800001</t>
  </si>
  <si>
    <t>Mah, CL</t>
  </si>
  <si>
    <t>Mah, Christopher L.</t>
  </si>
  <si>
    <t>Taxonomy of high-latitude Goniasteridae (Subantarctic &amp; Antarctic): one new genus, and three new species with an overview and key to taxa</t>
  </si>
  <si>
    <t>Goniasteridae; Asteroidea; Antarctic; subantarctic; Southern Ocean; taxonomy; New Zealand</t>
  </si>
  <si>
    <t>OCEAN ACIDIFICATION; ASTEROIDEA; ECHINODERMATA; TEMPERATURE; SYSTEMATICS; PHYLOGENY; INCREASE</t>
  </si>
  <si>
    <t>A review of high-latitude Goniasteridae south of 50 degrees S is presented, including a key to species, figures and taxonomic descriptions of all species with a brief taxonomic summary for all genera. Nineteen species in 11 genera are reviewed. Eratosaster jenae nov. gen and sp., Chitonaster trangae nov. sp., and Pillsburiaster calvus nov. sp. are described. Several taxa, including Chitonaster, have not been reviewed since their initial description and revision of the group has clarified taxonomic boundaries between species. The genus Pentoplia is a junior synonym of Chitonaster. Rarely encountered species, synonyms, and range extensions are reported for multiple species.</t>
  </si>
  <si>
    <t>Smithsonian Inst, Dept Invertebrate Zool, Natl Museum Nat Hist, Washington, DC 20560 USA</t>
  </si>
  <si>
    <t>Mah, CL (corresponding author), Smithsonian Inst, Dept Invertebrate Zool, Natl Museum Nat Hist, MRC-163,POB 37012, Washington, DC 20560 USA.</t>
  </si>
  <si>
    <t>OPP Antarctic [0631245]; USARP [ANT-0646308]</t>
  </si>
  <si>
    <t>OPP Antarctic; USARP</t>
  </si>
  <si>
    <t>Thanks to Kate Neil, National Institute of Water and Atmosphere (NIWA) in Wellington, New Zealand and Tim O'Hara, Museum Victoria for photography and specimen assistance. I am grateful to the following for their specimen and collections-based assistance: Jennifer Hammock, Trang Ngyuen, and the personnel of the United States Antarctic Research Program, Christina Piotrowski-California Academy of Sciences, Susan Lockhart-US AMLR (NOAA), Paul Greenhall, USNM, and Marc Eleaume, Nadia Ameziane, and Lenaig Hemery for assistance at the Museum national d'Histoire naturelle in Paris France. Funding was provided by an OPP Antarctic postdoctoral fellowship (0631245) and USARP (ANT-0646308) contracts.</t>
  </si>
  <si>
    <t>FEB 7</t>
  </si>
  <si>
    <t>716NM</t>
  </si>
  <si>
    <t>WOS:000286980700001</t>
  </si>
  <si>
    <t>Hofmann, M; Maqueda, MAM</t>
  </si>
  <si>
    <t>Hofmann, M.; Maqueda, M. A. Morales</t>
  </si>
  <si>
    <t>The response of Southern Ocean eddies to increased midlatitude westerlies: A non-eddy resolving model study</t>
  </si>
  <si>
    <t>ANTARCTIC CIRCUMPOLAR CURRENT; CIRCULATION; TRANSPORT; DIFFUSIVITY; SIMULATIONS; RADIOCARBON</t>
  </si>
  <si>
    <t>The midlatitude westerlies of the southern hemisphere have intensified since the 1970s. Non-eddy resolving general circulation models respond to such wind intensification with steeper isopycnals, a faster Antarctic Circumpolar Current (ACC), and a stronger Atlantic Meridional Overturning Circulation (AMOC). However, hydrographic observations show little change in the slope of the Southern Ocean isopycnals over the past 40 years. This insensitivity seems to result from a compensating mechanism whereby an initial increase in the slope of the isopycnals causes eddy activity to intensify and forces the isopycnal slopes down. Climate models do not yet resolve ocean eddies, and the eddy parameterizations included in them do not capture well the compensation mechanism mentioned above. We present simulations with a non-eddy resolving model incorporating an eddy parameterization in which eddy compensation is greatly enhanced by the use of a non-constant, spatially varying thickness diffusivity. The sensitivity of the simulated ACC and AMOC to increased southern hemisphere westerlies is greatly reduced compared to simulations using constant and uniform diffusivities. Citation: Hofmann, M., and M. A. Morales Maqueda (2011), The response of Southern Ocean eddies to increased midlatitude westerlies: A non-eddy resolving model study, Geophys. Res. Lett., 38, L03605, doi:10.1029/2010GL045972.</t>
  </si>
  <si>
    <t>[Hofmann, M.] Potsdam Inst Climate Impact Res, D-14473 Potsdam, Germany; [Maqueda, M. A. Morales] NERC, Natl Oceanog Ctr, Liverpool L3 5DA, Merseyside, England</t>
  </si>
  <si>
    <t>Potsdam Institut fur Klimafolgenforschung; NERC National Oceanography Centre; UK Research &amp; Innovation (UKRI); Natural Environment Research Council (NERC)</t>
  </si>
  <si>
    <t>Hofmann, M (corresponding author), Potsdam Inst Climate Impact Res, Telegraphenberg A62, D-14473 Potsdam, Germany.</t>
  </si>
  <si>
    <t>hofmann@pik-potsdam.de</t>
  </si>
  <si>
    <t>Maqueda, Miguel Angel Morales/AAJ-8138-2020</t>
  </si>
  <si>
    <t>Deutsche Forschungsgemeinschaft (DFG) [RA 977/5-1]; Natural Environment Research Council [noc010012] Funding Source: researchfish</t>
  </si>
  <si>
    <t>Deutsche Forschungsgemeinschaft (DFG)(German Research Foundation (DFG)); Natural Environment Research Council(UK Research &amp; Innovation (UKRI)Natural Environment Research Council (NERC))</t>
  </si>
  <si>
    <t>M.H. was funded by the Deutsche Forschungsgemeinschaft (DFG), reference RA 977/5-1.</t>
  </si>
  <si>
    <t>FEB 3</t>
  </si>
  <si>
    <t>L03605</t>
  </si>
  <si>
    <t>10.1029/2010GL045972</t>
  </si>
  <si>
    <t>717JA</t>
  </si>
  <si>
    <t>WOS:000287038300002</t>
  </si>
  <si>
    <t>Meredith, MP; Gordon, AL; Garabato, ACN; Abrahamsen, EP; Huber, BA; Jullion, L; Venables, HJ</t>
  </si>
  <si>
    <t>Meredith, Michael P.; Gordon, Arnold L.; Garabato, Alberto C. Naveira; Abrahamsen, E. Povl; Huber, Bruce A.; Jullion, Loic; Venables, Hugh J.</t>
  </si>
  <si>
    <t>Synchronous intensification and warming of Antarctic Bottom Water outflow from the Weddell Gyre</t>
  </si>
  <si>
    <t>SCOTIA SEA; SOUTHERN-OCEAN; DEEP; VARIABILITY; CIRCULATION</t>
  </si>
  <si>
    <t>Antarctic Bottom Water (AABW), the densest water in the global overturning circulation, has warmed in recent decades, most notably in the Atlantic. Time series recorded within the boundary currents immediately upstream and downstream of the most significant outflow of AABW from the Weddell Sea indicate that raised outflow temperatures are synchronous with stronger boundary current flows. These changes occur rapidly in response to changes in wind forcing, suggesting that barotropic dynamics and the response of the bottom Ekman layer are significant. The observed synchronicity indicates that the previously-detected weakening of the export of the colder forms of AABW from the Weddell Sea need not be associated with a reduction in the total flux of AABW exported via this route. These points need careful consideration when attributing the observed AABW warming in the Atlantic, and when determining its contribution to global heat budgets and sea level rise. Citation: Meredith, M. P., A. L. Gordon, A. C. Naveira Garabato, E. P. Abrahamsen, B. A. Huber, L. Jullion, and H. J. Venables (2011), Synchronous intensification and warming of Antarctic Bottom Water outflow from the Weddell Gyre, Geophys. Res. Lett., 38, L03603, doi:10.1029/2010GL046265.</t>
  </si>
  <si>
    <t>[Meredith, Michael P.; Abrahamsen, E. Povl; Venables, Hugh J.] British Antarctic Survey, Cambridge CB3 0ET, England; [Gordon, Arnold L.; Huber, Bruce A.] Columbia Univ, Lamont Doherty Earth Observ, Earth Inst, Palisades, NY 10964 USA; [Garabato, Alberto C. Naveira; Jullion, Loic] Natl Oceanog Ctr Southampton, Southampton SO14 7ZH, Hants, England</t>
  </si>
  <si>
    <t>UK Research &amp; Innovation (UKRI); Natural Environment Research Council (NERC); NERC British Antarctic Survey; Columbia University; NERC National Oceanography Centre; University of Southampton</t>
  </si>
  <si>
    <t>Abrahamsen, Povl/B-2140-2008; Garabato, Alberto Naveira/AAQ-1114-2020; Gordon, Arnold L./H-1049-2011; Jullion, Loic/B-3304-2011</t>
  </si>
  <si>
    <t>Abrahamsen, Povl/0000-0001-5924-5350; Garabato, Alberto Naveira/0000-0001-6071-605X; Meredith, Michael/0000-0002-7342-7756; Gordon, Arnold L./0000-0001-6480-6095; Huber, Bruce/0000-0001-6413-1614; Jullion, Loic/0000-0001-6269-6750</t>
  </si>
  <si>
    <t>Natural Environment Research Council (NERC) [NE/C517633/1]; ANDREX project [NE/E01366X/1]; National Oceanic and Atmospheric Administration (NOAA) [NA08OAR4320754]; U.S. Department of Commerce; NERC [bas0100028, NE/E013368/1, NE/E013341/1, NE/E01366X/1] Funding Source: UKRI; Natural Environment Research Council [NE/E013368/1, bas0100028, NE/E013341/1, NE/E01366X/1] Funding Source: researchfish</t>
  </si>
  <si>
    <t>Natural Environment Research Council (NERC)(UK Research &amp; Innovation (UKRI)Natural Environment Research Council (NERC)); ANDREX project; National Oceanic and Atmospheric Administration (NOAA)(National Oceanic Atmospheric Admin (NOAA) - USA); U.S. Department of Commerce; NERC(UK Research &amp; Innovation (UKRI)Natural Environment Research Council (NERC)); Natural Environment Research Council(UK Research &amp; Innovation (UKRI)Natural Environment Research Council (NERC))</t>
  </si>
  <si>
    <t>We thank Peter Foden, Steve Mack, Bob Spencer and Ian Vassie for their work with MYRTLE. A.C.N.G. and L.J. were supported by the Natural Environment Research Council (NERC), via an Advanced Research Fellowship (NE/C517633/1) and the ANDREX project (NE/E01366X/1). M2 research was funded under the Cooperative Institute for Climate Applications Research award NA08OAR4320754 from the National Oceanic and Atmospheric Administration (NOAA), U.S. Department of Commerce. The statements, findings, conclusions, and recommendations are those of the authors and do not necessarily reflect the views of NERC, NOAA or the Department of Commerce. This is Lamont Doherty contribution 7426 and a contribution of the British Antarctic Survey's Polar Oceans program.</t>
  </si>
  <si>
    <t>L03603</t>
  </si>
  <si>
    <t>10.1029/2010GL046265</t>
  </si>
  <si>
    <t>WOS:000287038300005</t>
  </si>
  <si>
    <t>GLOBAL CHANGE Methane and monsoons</t>
  </si>
  <si>
    <t>Wolff, EW (corresponding author), British Antarctic Survey, Madingley Rd, Cambridge CB3 0ET, England.</t>
  </si>
  <si>
    <t>NERC [bas0100024] Funding Source: UKRI; Natural Environment Research Council [bas0100024] Funding Source: researchfish</t>
  </si>
  <si>
    <t>10.1038/470049a</t>
  </si>
  <si>
    <t>715LQ</t>
  </si>
  <si>
    <t>WOS:000286886400030</t>
  </si>
  <si>
    <t>Jaeger, A; Cherel, Y</t>
  </si>
  <si>
    <t>Jaeger, Audrey; Cherel, Yves</t>
  </si>
  <si>
    <t>Isotopic Investigation of Contemporary and Historic Changes in Penguin Trophic Niches and Carrying Capacity of the Southern Indian Ocean</t>
  </si>
  <si>
    <t>STABLE-ISOTOPES; KING PENGUINS; APTENODYTES-PATAGONICUS; ENVIRONMENTAL-CHANGE; MYCTOPHID FISHES; ADELIE PENGUINS; DIETARY SHIFTS; FORAGING AREAS; CLIMATE-CHANGE; SEABIRD</t>
  </si>
  <si>
    <t>A temperature-defined regime shift occurred in the 1970s in the southern Indian Ocean, with simultaneous severe decreases in many predator populations. We tested a possible biological link between the regime shift and predator declines by measuring historic and contemporary feather isotopic signatures of seven penguin species with contrasted foraging strategies and inhabiting a large latitudinal range. We first showed that contemporary penguin isotopic variations and chlorophyll a concentration were positively correlated, suggesting the usefulness of predator delta(13)C values to track temporal changes in the ecosystem carrying capacity and its associated coupling to consumers. Having controlled for the Suess effect and for increase CO(2) in seawater, delta(13)C values of Antarctic penguins and of king penguins did not change over time, while delta(13)C of other subantarctic and subtropical species were lower in the 1970s. The data therefore suggest a decrease in ecosystem carrying capacity of the southern Indian Ocean during the temperature regime-shift in subtropical and subantarctic waters but not in the vicinity of the Polar Front and in southward high-Antarctic waters. The resulting lower secondary productivity could be the main driving force explaining the decline of subtropical and subantarctic (but not Antarctic) penguins that occurred in the 1970s. Feather delta(15)N values did not show a consistent temporal trend among species, suggesting no major change in penguins' diet. This study highlights the usefulness of developing long-term tissue sampling and data bases on isotopic signature of key marine organisms to track potential changes in their isotopic niches and in the carrying capacity of the environment.</t>
  </si>
  <si>
    <t>[Jaeger, Audrey; Cherel, Yves] Ctr Natl Rech Sci, Ctr Etud Biol Chize, Villiers En Bois, France</t>
  </si>
  <si>
    <t>Jaeger, A (corresponding author), Ctr Natl Rech Sci, Ctr Etud Biol Chize, Villiers En Bois, France.</t>
  </si>
  <si>
    <t>audrey.jaeger@gmail.com</t>
  </si>
  <si>
    <t>Jaeger, Audrey/HMD-6340-2023</t>
  </si>
  <si>
    <t>Jaeger, Audrey/0000-0002-5649-0315</t>
  </si>
  <si>
    <t>Agence Nationale de la Recherche; Institut Polaire Francais Paul Emile Victor [109]</t>
  </si>
  <si>
    <t>Agence Nationale de la Recherche(Agence Nationale de la Recherche (ANR)); Institut Polaire Francais Paul Emile Victor</t>
  </si>
  <si>
    <t>Financial support was provided by the Agence Nationale de la Recherche (program REMIGE) and by Institut Polaire Francais Paul Emile Victor (program no. 109). The funders had no role in study design, data collection and analysis, decision to publish, or preparation of the manuscript.</t>
  </si>
  <si>
    <t>185 BERRY ST, STE 1300, SAN FRANCISCO, CA 94107 USA</t>
  </si>
  <si>
    <t>FEB 2</t>
  </si>
  <si>
    <t>e16484</t>
  </si>
  <si>
    <t>10.1371/journal.pone.0016484</t>
  </si>
  <si>
    <t>717IF</t>
  </si>
  <si>
    <t>WOS:000287036200017</t>
  </si>
  <si>
    <t>Moy, CM; Dunbar, RB; Guilderson, TP; Waldmann, N; Mucciarone, DA; Recasens, C; Ariztegui, D; Austin, JA; Anselmetti, FS</t>
  </si>
  <si>
    <t>Moy, Christopher M.; Dunbar, Robert B.; Guilderson, Thomas P.; Waldmann, Nicolas; Mucciarone, David A.; Recasens, Cristina; Ariztegui, Daniel; Austin, James A., Jr.; Anselmetti, Flavio S.</t>
  </si>
  <si>
    <t>A geochemical and sedimentary record of high southern latitude Holocene climate evolution from Lago Fagnano, Tierra del Fuego</t>
  </si>
  <si>
    <t>Southern Hemisphere westerly winds; Holocene paleoclimate; radiocarbon; stable isotopes; Tierra del Fuego</t>
  </si>
  <si>
    <t>ORGANIC GEOCHEMISTRY; ATLANTIC SECTOR; LAST GLACIATION; BAHIA INUTIL; FIRE HISTORY; SW PATAGONIA; THRUST BELT; LAKE; POLLEN; OCEAN</t>
  </si>
  <si>
    <t>Situated at the southern margin of the hemispheric westerly wind belt and immediately north of the Antarctic Polar Frontal zone, Tierra del Fuego is well-positioned to monitor coupled changes in the ocean-atmosphere system of the high southern latitudes. Here we describe a Holocene paleoclimate record from sediment cores obtained from Lago Fagnano, a large lake in southern Tierra del Fuego at 55 degrees S, to investigate past changes in climate related to these two important features of the global climate system. We use an AMS radiocarbon chronology for the last 8000 yr based on pollen concentrates, thereby avoiding contamination from bedrock-derived lignite. Our chronology is consistent with a tephrochronologic age date for deposits from the middle Holocene Volcan Hudson eruption. Combining bulk organic isotopic (delta C-13 and delta N-15) and elemental (C and N) parameters with physical sediment properties allows us to better understand sediment provenance and transport mechanisms and to interpret Holocene climate and tectonic change during the last 8000 yr. Co-variability and long-term trends in C/N ratio, carbon accumulation rate, and magnetic susceptibility reflect an overall Holocene increase in the delivery of terrestrial organic and lithogenic material to the deep eastern basin. We attribute this variability to westerly wind-derived precipitation. Increased wind strength and precipitation in the late Holocene drives the Nothofagus forest eastward and enhances run-off and terrigenous inputs to the lake. Superimposed on the long-term trend are a series of abrupt 9 negative departures in C/N ratio, which constrain the presence of seismically-driven mass flow events in the record. We identify an increase in bulk delta C-13 between 7000 and 5000 cal yr BP that we attribute to enhanced aquatic productivity driven by warmer summer temperatures. The Lago Fagnano delta C-13 record shows similarities with Holocene records of sea surface temperature from the mid-latitude Chilean continental shelf and Antarctic air temperatures from the Taylor Dome ice core record in East Antarctica. Mid-Holocene warming occurred simultaneously across the Antarctic Frontal Zone, and in particular, in locations currently influenced by the Antarctic Circumpolar Current. Published by Elsevier B.V.</t>
  </si>
  <si>
    <t>[Moy, Christopher M.] Stanford Univ, Dept Geol &amp; Environm Sci, Stanford, CA 94305 USA; [Dunbar, Robert B.; Mucciarone, David A.] Stanford Univ, Dept Environm Earth Syst Sci, Stanford, CA 94305 USA; [Guilderson, Thomas P.] Lawrence Livermore Natl Lab, Ctr Accelerator Mass Spectrometry, Livermore, CA 94550 USA; [Waldmann, Nicolas] Univ Bergen, Dept Earth Sci, N-5007 Bergen, Norway; [Recasens, Cristina; Ariztegui, Daniel] Univ Geneva, Dept Geol &amp; Paleontol, CH-1205 Geneva, Switzerland; [Austin, James A., Jr.] Univ Texas Austin, Inst Geophys, John A &amp; Katherine G Jackson Sch Geosci, Austin, TX 78758 USA; [Anselmetti, Flavio S.] Eawag, Swiss Fed Inst Aquat Sci &amp; Technol, Dept Surface Waters, CH-8600 Dubendorf, Switzerland</t>
  </si>
  <si>
    <t>Stanford University; Stanford University; United States Department of Energy (DOE); Lawrence Livermore National Laboratory; University of Bergen; University of Geneva; University of Texas System; University of Texas Austin; Swiss Federal Institutes of Technology Domain; Swiss Federal Institute of Aquatic Science &amp; Technology (EAWAG)</t>
  </si>
  <si>
    <t>Moy, CM (corresponding author), Univ Otago, Dept Geol, POB 56, Dunedin 9054, New Zealand.</t>
  </si>
  <si>
    <t>moyc@stanford.edu; dunbar@stanford.edu; tguilderson@llnl.gov; Nicolas.Waldmann@geo.uib.no; dam@stanford.edu; Cristina.Recasens@unige.ch; daniel.ariztegui@unige.ch; jamie@ig.utexas.edu; flavio.anselmetti@eawag.ch</t>
  </si>
  <si>
    <t>Waldmann, Nicolas/AAC-3974-2020; Ariztegui, Daniel/AFU-2302-2022</t>
  </si>
  <si>
    <t>Ariztegui, Daniel/0000-0001-7775-5127; Guilderson, Thomas/0000-0001-9371-7059; Mucciarone, David/0000-0003-4482-2463; Dunbar, Robert/0000-0002-9728-5609; Waldmann, Nicolas/0000-0003-4627-208X; Moy, Christopher/0000-0002-2177-5265; Anselmetti, Flavio/0000-0002-8785-3641</t>
  </si>
  <si>
    <t>U.S. National Science Foundation (NSF); Swiss NSF [10 200021-100668/1, 200020-111928/1]; National Geographic Society [CRE12 7705-04]; U.S. Dept. of Energy; Limnogeology Division of the Geological Society of America; Stanford University [2330]</t>
  </si>
  <si>
    <t>U.S. National Science Foundation (NSF)(National Science Foundation (NSF)); Swiss NSF(Swiss National Science Foundation (SNSF)); National Geographic Society(National Geographic Society); U.S. Dept. of Energy(United States Department of Energy (DOE)); Limnogeology Division of the Geological Society of America; Stanford University(Stanford University)</t>
  </si>
  <si>
    <t>We would like to thank the scientific and general staff at the Centro Austral de Investigaciones Cientificas (CADIC) in Ushuaia, Argentina for their continued help and support during this project. We thank Captains Jorge Ebling and Rafael Quezada for their assistance with RN Neecho operations. In addition, we thank Steffen Saustrup and Mark Wiederspahn of the Institute for Geophysics for their technical assistance in the field. Funding for this research was provided by a U.S. National Science Foundation (NSF) SGER grant to RBD, Swiss NSF awards (10 200021-100668/1 and 200020-111928/1) to DA, and a National Geographic Society grant (CRE12 7705-04) to JAA. C. Moy gratefully acknowledges support from a U.S. Dept. of Energy Global Change Education Program Graduate Fellowship, a Kerry Kelts Award from the Limnogeology Division of the Geological Society of America, and a Stanford University McGee grant UTIG Contribution Number #2330.</t>
  </si>
  <si>
    <t>FEB 1</t>
  </si>
  <si>
    <t>10.1016/j.epsl.2010.11.011</t>
  </si>
  <si>
    <t>724DH</t>
  </si>
  <si>
    <t>WOS:000287555800001</t>
  </si>
  <si>
    <t>Mao, YG; Jeong, M; Wang, TL; Ba, Y</t>
  </si>
  <si>
    <t>Mao, Yougang; Jeong, Myongho; Wang, Tieli; Ba, Yong</t>
  </si>
  <si>
    <t>Threonine side chain conformational population distribution of a type I antifreeze protein on interacting with ice surface studied via 13C-15N dynamic REDOR NMR</t>
  </si>
  <si>
    <t>SOLID STATE NUCLEAR MAGNETIC RESONANCE</t>
  </si>
  <si>
    <t>Antifreeze protein; Dynamic REDOR NMR; Threonine side chain conformations; Interaction with ice surface; chi-squared statistical analysis</t>
  </si>
  <si>
    <t>SOLID-STATE NMR; POINT-DEPRESSING GLYCOPROTEINS; CRYSTAL-STRUCTURE; ANTARCTIC FISHES; PEPTIDES; BINDING; SPECTROSCOPY; POLYPEPTIDE; ADSORPTION; MECHANISM</t>
  </si>
  <si>
    <t>Antifreeze proteins (AFPs) provide survival mechanism for species living in subzero environments by lowering the freezing points of their body fluids effectively. The mechanism is attributed to AFPs ability to inhibit the growth of seed ice crystals through adsorption on specific ice surfaces. We have applied dynamic REDOR (Rotational Echo Double Resonance) solid state NMR to study the threonine (Thr) side chain conformational population distribution of a site-specific Thr C-13(gamma) and N-15 doubly labeled type I AFP in frozen aqueous solution. It is known that the Thr side chains together with those of the 4th and 8th Alanine (Ala) residues commencing from the Thrs (the 1st) in the four 11-residue repeat units form the peptide ice-binding surface. The conformational information can provide structural insight with regard to how the AFP side chains structurally interact with the ice surface. chi-squared statistical analysis of the experimental REDOR data in fitting the theoretically calculated dynamic REDOR fraction curves indicates that when the AFP interacted with the ice surface in the frozen AFP solution, the conformations of the Thr side chains changed from the anti-conformations, as in the AFP crystal structure, to partial population in the anti-conformation and partial population in the two gauche conformations. This change together with the structural analysis indicates that the simultaneous interactions of the methyl groups and the hydroxyl groups of the Thr side chains with the ice surface could be the reason for the conformational population change. The analysis of the theoretical dynamic REDOR fraction curves shows that the set of experimental REDOR data may fit a number of theoretical curves with different population distributions. Thus, other structural information is needed to assist in determining the conformational population distribution of the Thr side chains. Published by Elsevier Inc.</t>
  </si>
  <si>
    <t>[Mao, Yougang; Jeong, Myongho; Ba, Yong] Calif State Univ Los Angeles, Dept Chem &amp; Biochem, Los Angeles, CA 90032 USA; [Wang, Tieli] Calif State Univ Dominguez Hills, Dept Chem, Carson, CA 90747 USA</t>
  </si>
  <si>
    <t>California State University System; California State University Los Angeles; California State University System; California State University Dominguez Hills</t>
  </si>
  <si>
    <t>Ba, Y (corresponding author), Calif State Univ Los Angeles, Dept Chem &amp; Biochem, 5151 State Univ Dr, Los Angeles, CA 90032 USA.</t>
  </si>
  <si>
    <t>yba@calstatela.edu</t>
  </si>
  <si>
    <t>NIH [1SC1 GM083826-01]</t>
  </si>
  <si>
    <t>NIH(United States Department of Health &amp; Human ServicesNational Institutes of Health (NIH) - USA)</t>
  </si>
  <si>
    <t>Thanks to the support of Grant NIH 1SC1 GM083826-01.</t>
  </si>
  <si>
    <t>0926-2040</t>
  </si>
  <si>
    <t>1527-3326</t>
  </si>
  <si>
    <t>SOLID STATE NUCL MAG</t>
  </si>
  <si>
    <t>Solid State Nucl. Magn. Reson.</t>
  </si>
  <si>
    <t>FEB-APR</t>
  </si>
  <si>
    <t>10.1016/j.ssnmr.2011.03.002</t>
  </si>
  <si>
    <t>Chemistry, Physical; Physics, Atomic, Molecular &amp; Chemical; Physics, Condensed Matter; Spectroscopy</t>
  </si>
  <si>
    <t>Chemistry; Physics; Spectroscopy</t>
  </si>
  <si>
    <t>765IZ</t>
  </si>
  <si>
    <t>WOS:000290700200002</t>
  </si>
  <si>
    <t>Ray, D; Rajan, S; Ravindra, R; Jana, A</t>
  </si>
  <si>
    <t>Ray, Dwijesh; Rajan, S.; Ravindra, Rasik; Jana, Ashim</t>
  </si>
  <si>
    <t>Microtextural and mineral chemical analyses of andesite-dacite from Barren and Narcondam islands: Evidences for magma mixing and petrological implications</t>
  </si>
  <si>
    <t>Andesite; dacite; Barren island; Narcondam island; magma mixing</t>
  </si>
  <si>
    <t>Andesite and dacite from Barren and Narcondam volcanic islands of Andaman subduction zone are composed of plagioclase, orthopyroxene, clinopyroxene, olivine, titanomagnetite, magnesio-hornblende and rare quartz grains. In this study, we use the results of mineral chemical analyses of the calc-alkaline rock suite of rocks as proxies for magma mixing and mingling processes. Plagioclase, the most dominant mineral, shows zoning which includes oscillatory, patchy, multiple and repetitive zonation and 'fritted' or 'sieve' textures. Zoning patterns in plagioclase phenocrysts and abrupt fluctuations in An content record different melt conditions in a dynamic magma chamber. 'Flitted' zones (An(55)) are frequently overgrown by thin calcic (Ann) plagioclase rims over well-developed dissolution surfaces. These features have probably resulted from mixing of a more silicic magma with the host andesite. Olivine and orthopyroxene with reaction and overgrowth rims (corona) suggest magma mixing processes. We conclude that hybrid magma formed from the mixing of mafic and felsic magma by two-stage processes initial intrusion of hotter mafic melt (andesitic) followed by cooler acidic melt at later stage.</t>
  </si>
  <si>
    <t>[Ray, Dwijesh; Rajan, S.; Ravindra, Rasik; Jana, Ashim] Natl Ctr Antarctic &amp; Ocean Res, Goa 403804, India</t>
  </si>
  <si>
    <t>Ray, D (corresponding author), Natl Ctr Antarctic &amp; Ocean Res, Goa 403804, India.</t>
  </si>
  <si>
    <t>dwijesh@rediffmail.com</t>
  </si>
  <si>
    <t>Ray, Dwijesh/0000-0002-6320-353X</t>
  </si>
  <si>
    <t>INCOIS, Hyderabad</t>
  </si>
  <si>
    <t>We sincerely thank Dr Shailesh Nayak, Secretary, Ministry of Earth Sciences (MoES), New Delhi for the keen interest in studies being taken up by NCAOR in the Andaman and Nicobar subduction zone. We are also grateful to the Director, INCOIS, Hyderabad for the financial support. The Indian Coast Guard, New Delhi and A &amp; N Headquarters, Port Blair and the captain and crew of ICGS Lakshmi Bai are warmly acknowledged for logistics support for carrying out the studies on the Barren and Narcondam islands. We also thank Deputy Director General, Central Petrological Laboratory, Geological Survey of India, Kolkata for the microprobe analyses. We are grateful to Dr Sisir Mondal of the University of Copenhagen, Denmark and the anonymous reviewers for their fruitful comments and suggestions on this manuscript. This is NCAOR contribution 035/2010.</t>
  </si>
  <si>
    <t>FEB</t>
  </si>
  <si>
    <t>10.1007/s12040-011-0006-4</t>
  </si>
  <si>
    <t>755TR</t>
  </si>
  <si>
    <t>WOS:000289960400011</t>
  </si>
  <si>
    <t>Aumack, C. F.; Amsler, C. D.; McClintock, J. B.; Baker, B. J.</t>
  </si>
  <si>
    <t>SANCTUARY IN MACROALGAE: CHANGES IN AMPHIPOD DENSITIES AMONG MACROALGAL HABITATS IN DAY VERSUS NIGHT COLLECTIONS ALONG THE WESTERN ANTARCTIC PENINSULA</t>
  </si>
  <si>
    <t>[Aumack, C. F.; Amsler, C. D.; McClintock, J. B.] Univ Alabama, Birmingham, AL USA; [Baker, B. J.] Univ S Florida, Tampa, FL 33620 USA</t>
  </si>
  <si>
    <t>aumack@uab.edu; amsler@uab.edu; mcclinto@uab.edu; bjbaker@cas.usf.edu</t>
  </si>
  <si>
    <t>721NJ</t>
  </si>
  <si>
    <t>WOS:000287361300027</t>
  </si>
  <si>
    <t>Bucolo, P; Amsler, CD; McClintock, JB; Baker, BJ</t>
  </si>
  <si>
    <t>Bucolo, P.; Amsler, C. D.; McClintock, J. B.; Baker, B. J.</t>
  </si>
  <si>
    <t>CHEMOKINETIC RESPONSES OF MOTILE PROPAGULES OF ANTARCTIC EPIPHYTE ELACHISTA ANTARCTICA IN THE PRESENCE OF HYDROPHILIC EXTRACTS OF COMMON RHODOPHYTES</t>
  </si>
  <si>
    <t>[Bucolo, P.; Amsler, C. D.; McClintock, J. B.] Univ Alabama, Birmingham, AL USA; [Baker, B. J.] Univ S Florida, Tampa, FL 33620 USA</t>
  </si>
  <si>
    <t>apbucolo@gmail.com; amsler@uab.edu; mclinto@uab.edu; bjbaker@usf.edu</t>
  </si>
  <si>
    <t>WOS:000287361300047</t>
  </si>
  <si>
    <t>Amsler, CD; Aumack, CF; Zamzow, JP; Amsler, MO; McClintock, JB; Baker, BJ</t>
  </si>
  <si>
    <t>Amsler, C. D.; Aumack, C. F.; Zamzow, J. P.; Amsler, M. O.; McClintock, J. B.; Baker, B. J.</t>
  </si>
  <si>
    <t>CHEMICAL MEDIATION OF PREDATOR-PREY AND MUTUALISTIC INTERACTIONS BETWEEN ANTARCTIC MACROALGAE AND INVERTEBRATES</t>
  </si>
  <si>
    <t>[Amsler, C. D.; Aumack, C. F.; Zamzow, J. P.; Amsler, M. O.; McClintock, J. B.] Univ Alabama, Birmingham, AL USA; [Baker, B. J.] Univ S Florida, Tampa, FL 33620 USA</t>
  </si>
  <si>
    <t>amsler@uab.edu</t>
  </si>
  <si>
    <t>WOS:000287361300049</t>
  </si>
  <si>
    <t>Schoenrock, KM; Amsler, CD; McClintock, JB; Baker, BJ</t>
  </si>
  <si>
    <t>Schoenrock, K. M.; Amsler, C. D.; McClintock, J. B.; Baker, B. J.</t>
  </si>
  <si>
    <t>THE EFFECT OF ENDOPHYTE INFECTION ON GROWTH AND SURVIVORSHIP OF ANTARCTIC MACROALGAE (RHODOPHYCEAE)</t>
  </si>
  <si>
    <t>[Schoenrock, K. M.; Amsler, C. D.; McClintock, J. B.] Univ Alabama, Birmingham, AL USA; [Baker, B. J.] Univ S Florida, Tampa, FL 33620 USA</t>
  </si>
  <si>
    <t>ksrock@uab.edu; amsler@uab.edu; mcclinto@uab.edu; bjbaker@cas.usf.edu</t>
  </si>
  <si>
    <t>Schoenrock, Kathryn/B-9082-2018; Baker, Bill/N-4312-2019</t>
  </si>
  <si>
    <t>WOS:000287361300074</t>
  </si>
  <si>
    <t>McDowell, RE; Amsler, CD; McClintock, JB; Baker, BJ</t>
  </si>
  <si>
    <t>McDowell, R. E.; Amsler, C. D.; McClintock, J. B.; Baker, B. J.</t>
  </si>
  <si>
    <t>REACTIVE OXYGEN SPECIES AS A POTENTIAL MACROALGAL DEFENSE ALONG THE WESTERN ANTARCTIC PENINSULA</t>
  </si>
  <si>
    <t>[McDowell, R. E.; Amsler, C. D.; McClintock, J. B.] Univ Alabama, Birmingham, AL USA; [Baker, B. J.] Univ S Florida, Tampa, FL 33620 USA</t>
  </si>
  <si>
    <t>mcdowellruth@gmail.com; amsler@uab.edu; mcclinto@uab.edu; bjbaker@cas.usf.edu</t>
  </si>
  <si>
    <t>McDowell, Ruth/KHX-0075-2024; Baker, Bill/N-4312-2019</t>
  </si>
  <si>
    <t>WOS:000287361300077</t>
  </si>
  <si>
    <t>Gandhi, N; Ramesh, R; Prakash, S; Kumar, S</t>
  </si>
  <si>
    <t>Gandhi, Naveen; Ramesh, R.; Prakash, S.; Kumar, S.</t>
  </si>
  <si>
    <t>Nitrogen sources for new production in the NE Arabian Sea</t>
  </si>
  <si>
    <t>JOURNAL OF SEA RESEARCH</t>
  </si>
  <si>
    <t>Arabian Sea; Winter mixing; Nitrate; New productivity; f-ratio; Diffusive flux</t>
  </si>
  <si>
    <t>INDIAN-OCEAN; UPTAKE RATES; MIXED-LAYER; F-RATIO; NITRATE; N-15; TRICHODESMIUM; INTERMONSOON; DYNAMICS; FLUXES</t>
  </si>
  <si>
    <t>New productivity measurements using the N-15 tracer technique were conducted in the north-eastern (NE) Arabian Sea during six expeditions from 2003 to 2007. mostly in winter. Our results indicate that the NE Arabian Sea has a potential for higher new productivity during blooms. Nitrate uptake by plankton is the highest during late winter. New productivity and f-ratios in the NE Arabian Sea are mainly controlled by hydrodynamic and meteorological parameters such as wind strength, sea surface temperature (SST), mixed layer depth (MLD) and mixed layer nitrate. Deepening of the mixed layer supplies nitrate from below, which supports the observed nitrogen uptake. Higher f-ratios during blooms indicate the strong coupling between surface layers and subsurface layers. Deepening of mixed layer below 100 m (from its inter-monsoon value between 30 and 40 m) transferred often more than 100 mmol N-NO(3)m(-2) into the surface layers from below. The observed winter blooms in the region are supported by such input and are sustained for more than a month. Higher new productivity has been found in late winter, whereas transport of nitrate is maximum in early winter. In general. new production varies progressively during winter. Diurnal cycling of the mixed layer could be the reason for the  under utilization of entrained nitrate during early winter. New productivity values and wind strength show significant differences during Feb-Mar 03 and Feb-Mar 04. These differences indicate that the winter cooling and parameters related the biological productivity also vary inter-annually. However, the difference between the new productivity values between Feb-Mar 03 and Feb-Mar 04 is much lower than the difference between Jan 03 and Feb-Mar 03. The results suggest that amplitude of seasonal variation is higher than the inter-annual variation in the region. During spring. Fickian diffusive fluxes of nitrate into the surface layer range from 0.51 to 1.38 mmol N NO3 m(-2) day(-1) and can account for 67% and 78% of the observed nitrogen uptake in the coastal and open ocean  regions, respectively. We document the intra-seasonal and inter-annual variations in new productivity during winter and identify sources of nitrate which support the observed productivity during spring. (c) 2010 Elsevier B.V. All rights reserved.</t>
  </si>
  <si>
    <t>[Gandhi, Naveen; Ramesh, R.; Prakash, S.; Kumar, S.] Phys Res Lab, Ahmadabad 380009, Gujarat, India</t>
  </si>
  <si>
    <t>Department of Space (DoS), Government of India; Physical Research Laboratory - India</t>
  </si>
  <si>
    <t>Gandhi, N (corresponding author), Phys Res Lab, Ahmadabad 380009, Gujarat, India.</t>
  </si>
  <si>
    <t>naveen@prl.res.in</t>
  </si>
  <si>
    <t>Kumar, Sanjeev/JTV-5459-2023</t>
  </si>
  <si>
    <t>ISRO-GBP</t>
  </si>
  <si>
    <t>We thank MS Sheshshayee (University of Agriculture Sciences, Bangalore), RM Dwivedi, M Raman (Space Application Centre (SAC), Ahmedabad), M Sudhakar, and MM Subramaniam (National Centre for Antarctic and Ocean Research, Goa) for the collaboration. We thank Director, SAC for encouragement. Funding from ISRO-GBP is gratefully acknowledged.</t>
  </si>
  <si>
    <t>1385-1101</t>
  </si>
  <si>
    <t>1873-1414</t>
  </si>
  <si>
    <t>J SEA RES</t>
  </si>
  <si>
    <t>J. Sea Res.</t>
  </si>
  <si>
    <t>10.1016/j.seares.2010.12.002</t>
  </si>
  <si>
    <t>742FB</t>
  </si>
  <si>
    <t>WOS:000288925600010</t>
  </si>
  <si>
    <t>Bacterial Diversity and Bioprospecting for Cold-Active Hydrolytic Enzymes from Culturable Bacteria Associated with Sediment from Nella Fjord, Eastern Antarctica</t>
  </si>
  <si>
    <t>psychrophilic; heterotrophic bacteria; diversity; cold-active enzymes; Antarctica</t>
  </si>
  <si>
    <t>SEA-ICE</t>
  </si>
  <si>
    <t>The diversity and cold-active hydrolytic enzymes of culturable bacteria associated with sandy sediment from Nella Fjord, Eastern Antarctica (69 degrees 22'6 '' S, 76 degrees 21'45 '' E) was investigated. A total of 33 aerobic heterotrophic bacterial strains were isolated at 4 degrees C. These bacterial isolates could be sorted into 18 phylotypes based on the 16S rRNA gene sequence belonging to four phyla, namely Alphaproteobacteria, Gammaproteobacteria, Bacteroidetes and Actinobacteria. Only seven isolates were psychrophilic, 15 isolates were moderately psychrophilic, and 11 isolates were psychrotolerant. More than 72% of the isolates required sodium chloride to grow. Esterase, beta-glucosidase and proteases activities at 4 degrees C were detected in more than 45% of the strains while approximately 21%, 15% and 12% of the strains possessed lipase, amylase and chitinase, respectively. These results indicate that a relatively high culturable bacterial diversity is present within marine sediment of Nella Fjord and it could serve as an ideal candidate region for bioprospecting.</t>
  </si>
  <si>
    <t>yuyong@pric.gov.cn; lihuirong@pric.gov.cn; zengyinxin@pric.gov.cn; chenbo@pric.gov.cn</t>
  </si>
  <si>
    <t>Ocean Public Welfare Scientific Research Project of China [201005032-4]; National Key Technology R&amp;D Program of China [2006BAB18B07]; National Natural Science Foundation of China [30500001]</t>
  </si>
  <si>
    <t>Ocean Public Welfare Scientific Research Project of China; National Key Technology R&amp;D Program of China(National Key Technology R&amp;D Program); National Natural Science Foundation of China(National Natural Science Foundation of China (NSFC))</t>
  </si>
  <si>
    <t>We thank Qing Ji and Xianbei Zhang for their help during the different stages of this research and thank the Chinese Arctic and Antarctic Administration (CAA) who supports the field work of this research. This research was supported by the Ocean Public Welfare Scientific Research Project of China (No. 201005032-4), the National Key Technology R&amp;D Program of China (No. 2006BAB18B07) and the National Natural Science Foundation of China (No. 30500001).</t>
  </si>
  <si>
    <t>MDPI</t>
  </si>
  <si>
    <t>ST ALBAN-ANLAGE 66, CH-4052 BASEL, SWITZERLAND</t>
  </si>
  <si>
    <t>10.3390/md9020184</t>
  </si>
  <si>
    <t>741VB</t>
  </si>
  <si>
    <t>gold, Green Submitted, Green Published</t>
  </si>
  <si>
    <t>WOS:000288892400003</t>
  </si>
  <si>
    <t>Dykes, RC; Brook, MS; Robertson, CM; Fuller, IC</t>
  </si>
  <si>
    <t>Dykes, R. C.; Brook, M. S.; Robertson, C. M.; Fuller, I. C.</t>
  </si>
  <si>
    <t>Twenty-First Century Calving Retreat of Tasman Glacier, Southern Alps, New Zealand</t>
  </si>
  <si>
    <t>FRESH-WATER; SUPRAGLACIAL PONDS; TIDEWATER GLACIER; LECONTE GLACIER; TERMINUS; ALASKA; RATES; USA; PATAGONIA; DYNAMICS</t>
  </si>
  <si>
    <t>Tasman Glacier is the largest glacier in the New Zealand Southern Alps. Despite a century of warming and down-wastage, the glacier remained at its Little Ice Age terminus until the late 20th century. Since then, a proglacial lake formed, and comparatively rapid calving retreat has been initiated. In this paper we use sequential satellite imagery to document terminus retreat, growth of supraglacial ponds, and expansion of the proglacial Tasman Lake. Between 2000 and 2008, the glacier terminus receded a maximum of c. 3.7 km on the western margin, and the ice-contact Tasman Lake expanded concomitantly. This northward expansion of Tasman Lake up-valley proceeded at a mean annual rate of 0.34 x 10(6) m(2) a(-1) 2000-2008, attaining a surface area of 5.96 x 10(6) m(2) in May 2008, with a maximum depth of c. 240 m. Terminus retreat rates (U(r)) vary in both space and time, with two distinct periods of calving retreat identified during the study period: 2000-2006 (mean U(r) = 54 m a(-1)) and 2007-2008 (mean U(r) = 144 m a-1). Terminus retreat can also be categorized into two distinct zones of activity: (1) the main ice cliff (MIC), and (2) the eastern embayment ice cliff (EEIC). During the period 2000-2006, and between 2006 and 2008 for the EEIC, the controlling process of ice loss at the terminus was iceberg calving resulting from thermal undercutting. In contrast, the retreat of the MIC between 2006 and 2008 was controlled by buoyancy-driven iceberg calving caused by decreasing overburden pressure as a result of supraglacial pond growth, increased water depth, and rainfall. The presence of a &gt;130-m-long subaqueous ice ramp projecting from the terminal ice cliff into the lake suggests complex interactions between the glacier and ice-contact lake during the 8-10 km of possible future calving retreat.</t>
  </si>
  <si>
    <t>[Dykes, R. C.; Brook, M. S.; Robertson, C. M.; Fuller, I. C.] Massey Univ, Geog Programme, Sch People Environm &amp; Planning, Palmerston North, New Zealand</t>
  </si>
  <si>
    <t>Massey University</t>
  </si>
  <si>
    <t>Dykes, RC (corresponding author), Massey Univ, Geog Programme, Sch People Environm &amp; Planning, Private Bag 11-222, Palmerston North, New Zealand.</t>
  </si>
  <si>
    <t>r.c.dykes@massey.ac.nz</t>
  </si>
  <si>
    <t>Fuller, Ian Christopher/H-6382-2019</t>
  </si>
  <si>
    <t>Fuller, Ian/0000-0002-5123-1648</t>
  </si>
  <si>
    <t>Stefan Winkler is thanked for providing photographs and comments on earlier versions of this work. The fieldwork was funded by Massey University Research Fund (MURF), and Ray Bellringer from the Department of Conservation is thanked for permitting fieldwork in the National Park. David Feek's expertise in the boat was extremely valuable, as was John Appleby's field assistance. Mike Tuohy kindly provided assistance with satellite imagery. We thank the associate editor and two reviewers for helping to considerably improve this manuscript.</t>
  </si>
  <si>
    <t>10.1657/1938-4246-43.1.1</t>
  </si>
  <si>
    <t>738IL</t>
  </si>
  <si>
    <t>WOS:000288633400001</t>
  </si>
  <si>
    <t>Eckerstorfer, M; Christiansen, HH</t>
  </si>
  <si>
    <t>Eckerstorfer, Markus; Christiansen, Hanne H.</t>
  </si>
  <si>
    <t>The High Arctic Maritime Snow Climate in Central Svalbard</t>
  </si>
  <si>
    <t>CLASSIFICATION; PERMAFROST; MOUNTAINS</t>
  </si>
  <si>
    <t>In this first systematic classification of the snowpack in central Svalbard a new additional snow climate is presented. Based on field observations in the 2007-2009 period, 109 snow pits were quantitatively analyzed in terms of temperature gradients, grain shapes, grain sizes, and hardness of every snow layer. Emphasis was given to the occurrence of depth hoar, ice layers, the most observed weak layer-bed surface interfaces. These parameters in combination with meteorological observations define the High Arctic maritime snow climate as having a very thin and cold snowpack, a basal layer of depth hoar with winds labs and ice layers on top. The snowpack lasts for 8-10 months of the year, at higher grounds for the whole year. Snow climate classifications are an important part of improving the local avalanche characterization. This is timely, especially for the area around Svalbard's main settlement Longyearbyen, where avalanches represent a natural hazard. Also, climate models for the area predict changing meteorological conditions, especially more solid precipitation, thus a description of the snow climate as it is today is important. This High Arctic maritime snow climate characterization is based on the 16.8 km(2) mountainous area around Longyearbyen at 78 degrees N, and does not fit any other High Arctic location. Svalbard has in comparison to other High Arctic locations milder climate due to an overall meteorological maritime influence.</t>
  </si>
  <si>
    <t>[Eckerstorfer, Markus; Christiansen, Hanne H.] Univ Ctr Svalbard, Arctic Geol Dept, N-9171 Longyearbyen, Norway; Univ Oslo, Dept Geosci, N-0316 Oslo, Norway</t>
  </si>
  <si>
    <t>University Centre Svalbard (UNIS); University of Oslo</t>
  </si>
  <si>
    <t>Eckerstorfer, M (corresponding author), Univ Ctr Svalbard, Arctic Geol Dept, Pb 156, N-9171 Longyearbyen, Norway.</t>
  </si>
  <si>
    <t>markus.eckerstorfer@unis.no</t>
  </si>
  <si>
    <t>Eckerstorfer, Markus/0000-0002-4997-9593</t>
  </si>
  <si>
    <t>Norwegian Research Councils Norklima; Svalbard Science Forum</t>
  </si>
  <si>
    <t>This study was carried out as part of the CRYOSLOPE Svalbard research project (Climate change effects on High Arctic mountain slope processes and their impacts on traffic in Svalbard), funded by the Norwegian Research Councils Norklima program 2007-2009. Support for fieldwork was also received from the Svalbard Science Forum. Thanks to Ulli Neumann for brilliantly organizing and conducting the fieldwork, and to the other CRYOSLOPE Svalbard colleagues for stimulating discussions. Thanks also to editor Anne Jennings and two anonymous reviewers for very useful comments and suggestions that improved the manuscript significantly.</t>
  </si>
  <si>
    <t>10.1657/1938-4246-43.1.11</t>
  </si>
  <si>
    <t>WOS:000288633400002</t>
  </si>
  <si>
    <t>Borghini, F; Colacevich, A; Caruso, T; Bargagli, R</t>
  </si>
  <si>
    <t>Borghini, Francesca; Colacevich, Andrea; Caruso, Tancredi; Bargagli, Roberto</t>
  </si>
  <si>
    <t>An Update on Sedimentary Pigments in Victoria Land Lakes (East Antarctica)</t>
  </si>
  <si>
    <t>FRESH-WATER; GEOCHEMICAL PROCESSES; ENVIRONMENTAL-CHANGE; AMINO-ACIDS; ALGAL MATS; COMMUNITIES; DIVERSITY; RADIATION; GRADIENT; VALLEY</t>
  </si>
  <si>
    <t>Antarctic ice-free areas contain lakes and ponds that have interesting limnological features and are of wide global significance as early warning indicators of climatic and environmental change. However, most linmological and paleolimnological studies in continental Antarctica are limited to certain regions. There are several ice-free areas in Victoria Land that have not yet been studied well. There is therefore a need to extend limnological studies in space and time to understand how different geological and climatic features affect the composition and biological activity of freshwater communities. With the aim of contributing to a better limnological characterization of Victoria Land, this paper reports data on sedimentary pigments (used to identify the main algal taxa) obtained through a methodology that is more sensitive and selective than that of previous studies. Analyses were extended to 48 water bodies in ice-free areas with differing lithology, latitude, and altitude, and with different morphometry and physical, chemical, and biological characteristics in order to identify environmental factors affecting the distribution and composition of freshwater autotrophic communities. A wider knowledge of lakes in a limnologically important region of Antarctica was obtained. Cyanophyta was found to be the most important algal group, followed by Chlorophyta and Bacillariophyta, whereas latitude and altitude are the main factors affecting pigment distribution.</t>
  </si>
  <si>
    <t>[Borghini, Francesca; Colacevich, Andrea; Caruso, Tancredi; Bargagli, Roberto] Univ Siena, Dept Environm Sci, I-53100 Siena, Italy</t>
  </si>
  <si>
    <t>Borghini, F (corresponding author), Univ Siena, Dept Environm Sci, Via PA Mattioli 4, I-53100 Siena, Italy.</t>
  </si>
  <si>
    <t>borghini@unisi.it</t>
  </si>
  <si>
    <t>Caruso, Tancredi/H-1103-2012</t>
  </si>
  <si>
    <t>Caruso, Tancredi/0000-0002-3607-9609</t>
  </si>
  <si>
    <t>PNRA (Programma Nazionale di Ricerche in Antartide)</t>
  </si>
  <si>
    <t>Research was supported by funding from the PNRA (Programma Nazionale di Ricerche in Antartide). We thank anonymous referees for comments on this manuscript.</t>
  </si>
  <si>
    <t>10.1657/1938-4246-43.1.22</t>
  </si>
  <si>
    <t>WOS:000288633400003</t>
  </si>
  <si>
    <t>Peters, C; Basinger, JF; Kaminskyj, SGW</t>
  </si>
  <si>
    <t>Peters, Catherine; Basinger, James F.; Kaminskyj, Susan G. W.</t>
  </si>
  <si>
    <t>Endorhizal Fungi Associated with Vascular Plants on Truelove Lowland, Devon Island, Nunavut, Canadian High Arctic</t>
  </si>
  <si>
    <t>ARBUSCULAR MYCORRHIZAL; ENDOPHYTES; ROOTS; COLONIZATION; DIVERSITY; TUNDRA</t>
  </si>
  <si>
    <t>Truelove Lowland on Devon Island, Nunavut (75 degrees N), has long been investigated for its flora, fauna, and microbiota. Unlike ectomycorrhizae, endomycorrhizal interactions have been described as sparse or absent in this High Arctic environment. To probe this observation, samples of roots and associated soils (55 plants in total) from 10 genera in 9 families were collected during July 2006. Fungi growing within these roots were visualized using our high-sensitivity lactofuchsin epifluorescence method. Fungal colonization within plant roots (collectively, endorhizal fungi) was assessed with our quantitative microintersect method. Of the 3988 intersections assessed at 400x total magnification, only 154 lacked fungi. Most colonization was by septate endophytes (average abundance 66%, range 13-100%), and fine endophytes (average abundance 48%, range 0-100%). Endorhizal morphology in Dryas and Saxifraga roots typically consisted of thin extraradical hyphae that formed a sheath and grew between and within root cortical cells, resembling ericoid or ectendomycorrhizae. Soil in which the Truelove plants had grown, which had been stored at -20 degrees C, was planted with wheat seeds. After 10 weeks, fungal colonization of these roots was 35-100%. Endorhizal fungi are typically present in roots of plants living on Devon Island tundra.</t>
  </si>
  <si>
    <t>[Peters, Catherine; Kaminskyj, Susan G. W.] Univ Saskatchewan, Dept Biol, Saskatoon, SK S7N 5E2, Canada; [Basinger, James F.] Univ Saskatchewan, Dept Geol Sci, Saskatoon, SK S7N 5E2, Canada</t>
  </si>
  <si>
    <t>University of Saskatchewan; University of Saskatchewan</t>
  </si>
  <si>
    <t>Kaminskyj, SGW (corresponding author), Univ Saskatchewan, Dept Biol, 112 Sci Pl, Saskatoon, SK S7N 5E2, Canada.</t>
  </si>
  <si>
    <t>susan.kaminskyj@usask.ca</t>
  </si>
  <si>
    <t>Natural Science and Engineering Research Council of Canada; University of Saskatchewan USTEP; Northern Scientific Training Program</t>
  </si>
  <si>
    <t>Natural Science and Engineering Research Council of Canada(Natural Sciences and Engineering Research Council of Canada (NSERC)); University of Saskatchewan USTEP; Northern Scientific Training Program</t>
  </si>
  <si>
    <t>We are pleased to acknowledge Steven Siciliano and Jordan Marit (Department of Soil Science, University of Saskatchewan) who collected the plant and soil samples, and whose field work was supported by the Polar Continental Shelf Project of Natural Resources Canada. This work was supported by Natural Science and Engineering Research Council of Canada Discovery Grants to Basinger and Kaminskyj, University of Saskatchewan USTEP funding to Peters, and Northern Scientific Training Program travel grant to Jordan Marit.</t>
  </si>
  <si>
    <t>10.1657/1938-4246-43.1.73</t>
  </si>
  <si>
    <t>WOS:000288633400008</t>
  </si>
  <si>
    <t>Purdie, H; Mackintosh, A; Lawson, W; Anderson, B</t>
  </si>
  <si>
    <t>Purdie, Heather; Mackintosh, Andrew; Lawson, Wendy; Anderson, Brian</t>
  </si>
  <si>
    <t>Synoptic Influences on Snow Accumulation on Glaciers East and West of a Topographic Divide: Southern Alps, New Zealand</t>
  </si>
  <si>
    <t>MASS-BALANCE; ATMOSPHERIC CIRCULATION; FLUCTUATIONS; VARIABILITY; PATTERNS; STORGLACIAREN; CLIMATOLOGY; OSCILLATION; NORTHWEST; SVALBARD</t>
  </si>
  <si>
    <t>Understanding relationships between snow accumulation and synoptic climatology is important for assessing the way in which future climate variability will impact on glacier mass balance. However, few studies have as yet examined these relationships. Variability in snow accumulation on mid-latitude glaciers is strongly influenced by atmospheric circulation, orography, and redistribution of snow by wind. Very little is known about these processes in the New Zealand Southern Alps, where it is assumed that west-facing glaciers receive higher snow totals. However, few measurements are available to test this hypothesis. These processes were investigated over a 21-day period in winter 2008 on glaciers located west (Franz Josef Glacier) and east (Tasman Glacier) of the Main Divide of the Southern Alps. We directly measured snow accumulation and considered how it was affected by synoptic weather regime and location with respect to the Main Divide. Both glaciers received similar to 75% of their snowfall during troughing regimes, which are characterized by strong westerly quadrant winds bringing humid air masses from the Tasman Sea over the Southern Alps. The Franz Josef Glacier site received similar to 30% more snow than the Tasman Glacier site, but wind deflation meant that by the end of the study period, net snow accumulation was similar at both sites. Blocking synoptic regimes resulted in a reversal of prevailing westerly flow, generating strong downslope winds at Franz Josef Glacier and snow loss.</t>
  </si>
  <si>
    <t>[Purdie, Heather; Mackintosh, Andrew; Anderson, Brian] Victoria Univ Wellington, Antarctic Res Ctr, Wellington, New Zealand; [Purdie, Heather; Lawson, Wendy] Univ Canterbury, Dept Geog, Christchurch 1, New Zealand</t>
  </si>
  <si>
    <t>Victoria University Wellington; University of Canterbury</t>
  </si>
  <si>
    <t>Mackintosh, Andrew/0000-0002-6430-4711; Purdie, Heather/0000-0002-2723-6908</t>
  </si>
  <si>
    <t>This study was made possible by assistance from Victoria University PhD scholarships, Victoria University Science Faculty &amp; School of Geography, Environment &amp; Earth Science, University of Canterbury Geography Department, the New Zealand Mountain Safety Council, National Institute of Water and Atmospheric Science, New Zealand Alpine Club, Comer Science &amp; Education Foundation, and FRST ANZICE program. Thanks to Department of Conservation, Mount Cook Ski Planes and Fox Glacier Heli-services. Finally thanks to Jason Watson and Ewan Paterson for their assistance in the field.</t>
  </si>
  <si>
    <t>10.1657/1938-4246-43.1.82</t>
  </si>
  <si>
    <t>WOS:000288633400009</t>
  </si>
  <si>
    <t>Smith, EK; Resler, LM; Vance, EA; Carstensen, LW; Kolivras, KN</t>
  </si>
  <si>
    <t>Smith, Emily K.; Resler, Lynn M.; Vance, Eric A.; Carstensen, Laurence W., Jr.; Kolivras, Korine N.</t>
  </si>
  <si>
    <t>Blister Rust Incidence in Tree line Whitebark Pine, Glacier National Park, USA: Environmental and Topographic Influences</t>
  </si>
  <si>
    <t>CRONARTIUM-RIBICOLA; CLARK NUTCRACKER; ALTERNATE-HOST; NORTH-AMERICA; DISPERSAL; CONSEQUENCES; ALBICAULIS; DYNAMICS; MONTANA; SURFACE</t>
  </si>
  <si>
    <t>Whitebark pine (Pious albicaulis) is a foundation and keystone species of upper subalpine and treeline ecosystems throughout the western United States and Canada. During the past several decades, Cronartium ribicola, an introduced fungal pathogen that causes white pine blister rust in five-needled pines, has caused significant declines in whitebark pine throughout its range. Our research objectives were to examine geographic variation in blister rust infection (total canker density) in whitebark pine found at six alpine treelines east of the Continental Divide in Glacier National Park, Montana, and to determine which environmental factors have the greatest influence on blister rust infection at treeline. Within a total of 30 sampling quadrats (five at each treeline study site), we measured the number of cankers on each whitebark pine in order to assess how blister rust infection varied throughout our study area. We created high-resolution digital elevation models to characterize surface microtopography, and used a geographic information system (GIS) to derive environmental variables of interest. A mixed effects, Poisson regression model determined environmental correlates of blister rust from the resulting set of field and GIS-derived variables. We found that rates of infection varied considerably among treelines, and that treeline sites exhibiting high flow accumulation rates, greater distances to wetlands, slopes facing southwest, higher curvature, greater wind speeds, and close proximity to Ribes and perennial streams had the highest rates of blister rust infection.</t>
  </si>
  <si>
    <t>[Smith, Emily K.; Resler, Lynn M.; Carstensen, Laurence W., Jr.; Kolivras, Korine N.] Virginia Tech, Dept Geog, Blacksburg, VA 24061 USA; [Vance, Eric A.] Virginia Tech, Dept Stat, Blacksburg, VA 24061 USA</t>
  </si>
  <si>
    <t>Virginia Polytechnic Institute &amp; State University; Virginia Polytechnic Institute &amp; State University</t>
  </si>
  <si>
    <t>Smith, EK (corresponding author), Virginia Tech, Dept Geog, 115 Major Williams Hall 0115, Blacksburg, VA 24061 USA.</t>
  </si>
  <si>
    <t>emksmith@vt.edu</t>
  </si>
  <si>
    <t>Vance, Eric/J-6597-2014</t>
  </si>
  <si>
    <t>Vance, Eric/0000-0001-5545-1878</t>
  </si>
  <si>
    <t>Virginia Tech College of Natural Resources; Virginia Tech Graduate Research Development Program</t>
  </si>
  <si>
    <t>Funding for this research was provided by a Virginia Tech College of Natural Resources seed grant, awarded to Dr. Lynn Resler and Dr. Bill Carstensen, Virginia Tech; and a small research fund awarded to Emily K. Smith from the Virginia Tech Graduate Research Development Program. We extend our thanks to personnel from Glacier National Park and the Blackfeet Nation for their assistance in granting research and conservation permits, to Maria Newcomb for helpful discussions on Ribes and blister rust, the Laboratory for Interdisciplinary Statistical Analysis at Virginia Tech, and two anonymous reviewers and an Associate Editor for their suggestions on the manuscript. We are especially thankful to Amos Desjardins, Allisyn Hudson-Dunn, and Cyndi Smith for their invaluable field assistance and hiking companionship through miles of grizzly territory.</t>
  </si>
  <si>
    <t>10.1657/1938-4246-43.1.107</t>
  </si>
  <si>
    <t>WOS:000288633400011</t>
  </si>
  <si>
    <t>Svoma, BM</t>
  </si>
  <si>
    <t>Svoma, Bohumil M.</t>
  </si>
  <si>
    <t>Winter Climatic Controls on Spring Snowpack Density in the Western United States</t>
  </si>
  <si>
    <t>ROCKY-MOUNTAINS; AVALANCHE CLIMATOLOGY; SNOWFALL; DEPTH; VERIFICATION; VARIABILITY; PREDICTION; MODEL; RATIO; AREA</t>
  </si>
  <si>
    <t>For numerous climate studies, snowpack density is used to determine snow water equivalent from snow depth (or the reverse) or to determine snow surface albedo through the characterization of aging snow covers. In addition, high spring snowpack water content (and thus density) can act as a catalyst for wet avalanches. Surprisingly, there are few empirical studies that focus on spring snowpack density. In this study, spring snowpack densities in the western United States are statistically related to four variables that characterize the antecedent winter conditions: (1) mean air temperature for days without snowfall, (2) the fraction of precipitation falling as snow, (3) total precipitation, and (4) mean snowfall density. Areal composite regression analysis for the western United States indicates a highly significant (p = 0.005) positive relationship between winter precipitation total and April 1 snowpack density. This relationship weakens in lower elevation regions and coastal regions where warmer winter temperatures are conducive to more frequent rain events and melt events which affect snowpack density and ablate snow cover. These empirical results are supported by a simple snowpack model. The significant positive relationship between precipitation and density is likely due to increased densification rates through gravitational compaction from the presence of greater snow water equivalent resulting from more snowfall.</t>
  </si>
  <si>
    <t>[Svoma, Bohumil M.] Arizona State Univ, Sch Geog Sci &amp; Urban Planning, Tempe, AZ 85287 USA</t>
  </si>
  <si>
    <t>Arizona State University; Arizona State University-Tempe</t>
  </si>
  <si>
    <t>Svoma, BM (corresponding author), Arizona State Univ, Sch Geog Sci &amp; Urban Planning, POB 874601, Tempe, AZ 85287 USA.</t>
  </si>
  <si>
    <t>Bohumil.Svoma@asu.edu</t>
  </si>
  <si>
    <t>10.1657/1938-4246-43.1.118</t>
  </si>
  <si>
    <t>WOS:000288633400012</t>
  </si>
  <si>
    <t>Yang, XG; Zhang, TJ; Qin, DH; Kang, SC; Qin, XA</t>
  </si>
  <si>
    <t>Yang, Xingguo; Zhang, Tingjun; Qin, Dahe; Kang, Shichang; Qin, Xiang</t>
  </si>
  <si>
    <t>Characteristics and Changes in Air Temperature and Glacier's Response on the North Slope of Mt. Qomolangma (Mt. Everest)</t>
  </si>
  <si>
    <t>SURFACE-ENERGY BALANCE; SEA-LEVEL RISE; TIBETAN PLATEAU; CLIMATE-CHANGE; ICE-CORE; MOUNT EVEREST; SNOW ACCUMULATION; ZONGO GLACIER; ELEVATION; VARIABILITY</t>
  </si>
  <si>
    <t>Weather and climatic conditions over the Himalaya regions are of great interest to the scientific community at large. The objective of this study is to present spatial and temporal variations of air temperatures and relative humidity on the north slope of Mt. Qomolangma. Both hourly air temperatures and relative humidity were measured at seven automatic weather stations (AWS) from 5207 to 7028 m a.s.l. from May 2007 through September 2008. Long-term (1959-2007) air temperature and precipitation data were obtained from Dingri Meteorological Station. The preliminary results show that the elevational gradient of mean annual air temperature is non-linear, which decreases from 0.2 degrees C at an elevation of 5207 m to -4.4 degrees C at 5792 m, and -5.4 degrees C at 5955 m. The maxima are 14.6, 9.1, and 18.6 degrees C, and the minima are -24.2, -28.8, and -29.3 degrees C at the three elevations, respectively. The relative humidity does not change significantly with increasing elevation except over glacier ice, but the mixing ratio decreases due to the decrease in air temperature. The mean diurnal ranges of air temperature and relative humidity decrease with increasing elevation. The daily maximum air temperature occurs significantly later at the high-elevation site than that at the low elevation site because the air temperature at the high-elevation site is affected to a large extent by downward mixing of warm air near the ablation zone of the glacier during daytime. The air moisture content reflects the pronounced alternation of the wet and dry seasons, and the highest water vapor content is associated with the southwesterly Indian monsoon. The mean annual surface air temperature-elevation gradient is 0.72 +/- 0.01 degrees C (100 m)(-1), and also shows a pronounced seasonal signature. Mean annual air temperatures have increased by about 0.62 degrees C per decade over the last 49 years in this region; the greatest warming trend is observed in winter, the smallest in summer. Warmer conditions have been observed since the mid-1980s. Additional studies have shown a reduction in precipitation in the 1960s that resulted in a decrease in net snow accumulation. Therefore, accelerated retreat of the Rongbuk Glacier since the 1980s may be caused by rising air temperature and the decreased precipitation.</t>
  </si>
  <si>
    <t>[Yang, Xingguo; Qin, Dahe; Kang, Shichang; Qin, Xiang] Chinese Acad Sci, Cold &amp; Arid Reg Environm &amp; Engn Res Inst, State Key Lab Cryospher Sci, Lanzhou 730000, Peoples R China; [Zhang, Tingjun] Chinese Acad Sci, Cold &amp; Arid Reg Environm &amp; Engn Res Inst, State Key Lab Frozen Soil Engn, Lanzhou 730000, Peoples R China; [Zhang, Tingjun] Univ Colorado, Cooperat Inst Res Environm Sci, Natl Snow &amp; Ice Data Ctr, Boulder, CO 80309 USA; [Kang, Shichang] Chinese Acad Sci, Inst Tibetan Plateau Res, Beijing 100085, Peoples R China</t>
  </si>
  <si>
    <t>Chinese Academy of Sciences; Cold &amp; Arid Regions Environmental &amp; Engineering Research Institute, CAS; Chinese Academy of Sciences; Cold &amp; Arid Regions Environmental &amp; Engineering Research Institute, CAS; University of Colorado System; University of Colorado Boulder; Chinese Academy of Sciences; Institute of Tibetan Plateau Research, CAS</t>
  </si>
  <si>
    <t>Zhang, TJ (corresponding author), Univ Colorado, Cooperat Inst Res Environm Sci, Natl Snow &amp; Ice Data Ctr, Boulder, CO 80309 USA.</t>
  </si>
  <si>
    <t>tzhang@nsidc.org</t>
  </si>
  <si>
    <t>ZHANG, TINGJUN/AAX-3662-2020; Kang, Shichang/I-6830-2018</t>
  </si>
  <si>
    <t>ZHANG, Tingjun/0000-0001-6974-9501; Kang, Shichang/0000-0003-2115-9005</t>
  </si>
  <si>
    <t>Chinese COPES [GYHY200706005]; National Basic Research Program of China [2007CB411503]; International Arctic Research Center (IARC), University of Alaska Fairbanks [OPP-0327664]</t>
  </si>
  <si>
    <t>Chinese COPES; National Basic Research Program of China(National Basic Research Program of China); International Arctic Research Center (IARC), University of Alaska Fairbanks</t>
  </si>
  <si>
    <t>We would like to express our gratitude to the three anonymous reviewers for their insightful and constructive comments and inputs for the earlier manuscript. We thank B. Armstrong for English editing. We thank all the crew members during the field experiments, especially Wang Suichan, Zhang Zhigang, Du Wentao, and Sun Weijun, who implemented the glaciometeorological expedition to Mt. Qomolangma in 2007 and 2008. This work was in part supported by Chinese COPES project (GYHY200706005); National Basic Research Program of China (2007CB411503); and the International Arctic Research Center (IARC), University of Alaska Fairbanks, through the U.S. NSF cooperative agreement number OPP-0327664 to the University of Colorado at Boulder.</t>
  </si>
  <si>
    <t>10.1657/1938-4246-43.1.147</t>
  </si>
  <si>
    <t>WOS:000288633400015</t>
  </si>
  <si>
    <t>Mohanty, BP; Bhattacharjee, S; Das, MK</t>
  </si>
  <si>
    <t>Mohanty, Bimal Prasanna; Bhattacharjee, Soma; Das, Manas Kumar</t>
  </si>
  <si>
    <t>Lens proteome map and α-crystallin profile of the catfish Rita rita</t>
  </si>
  <si>
    <t>INDIAN JOURNAL OF BIOCHEMISTRY &amp; BIOPHYSICS</t>
  </si>
  <si>
    <t>alpha-Crystallin; Biomarker; Cataract; Crystallin proteome map; Lens proteins; Rita rita</t>
  </si>
  <si>
    <t>CHAPERONE-LIKE ACTIVITY; ANTARCTIC TOOTHFISH; CATARACT FORMATION; OPTICAL-PROPERTIES; BETA-CRYSTALLINS; TAU-CRYSTALLIN; RAINBOW-TROUT; B-CRYSTALLIN; ZEBRAFISH; EYE</t>
  </si>
  <si>
    <t>Crystallins are a diverse group of proteins that constitute nearly 90% of the total soluble proteins of the vertebrate eye lens and these tightly packed crystallins are responsible for transparency of the lens. These proteins have been studied in different model and non-model species for understanding the modifications they undergo with ageing that lead to cataract, a disease of protein aggregation. In the present investigation, we studied the lens crystallin profile of the tropical freshwater catfish Rita rita. Profiles of lens crystallins were analyzed and crystallin proteome maps of Rita rita were generated for the first time. alpha A-crystallins, member of the alpha-crystallin family, which are molecular chaperons and play crucial role in maintaining lens transparency were identified by 1-and 2-D immunoblot analysis with anti-alpha A-crystallin antibody. Two protein bands of 19-20 kDa were identified as alpha A-crystallins on 1-D immunoblots and these bands separated into 10 discrete spots on 2-D immunoblot. However, anti-alpha-crystallin and antiphospho-alpha B-crystallin antibodies were not able to detect any immunoreactive bands on 1- and 2-D immunoblots, indicating alpha B-crystallin was either absent or present in extremely low concentration in Rita rita lens. Thus, Rita rita alpha-crystallins are more like that of the catfish Clarias batrachus and the mammal kangaroo in its alpha A- and alpha B-crystallin content (contain low amount from 5-9% of alpha B-crystallin) and unlike the dogfish, zebrafish, human, bovine and mouse a-crystallins (contain higher amount of alpha B-crystallin from 25% in mouse and bovine to 85% in dogfish). Results of the present study can be the baseline information for stimulating further investigation on Rita rita lens crystallins for comparative lens proteomics. Comparing and contrasting the alpha-crystallins of the dogfish and Rita rita may provide valuable information on the functional attributes of alpha A- and alpha B-isoforms, as they are at the two extremes in terms of alpha A-and alpha B-crystallin content.</t>
  </si>
  <si>
    <t>[Mohanty, Bimal Prasanna; Bhattacharjee, Soma; Das, Manas Kumar] Indian Council Agr Res, Cent Inland Fisheries Res Inst, Kolkata 700120, India</t>
  </si>
  <si>
    <t>Indian Council of Agricultural Research (ICAR); ICAR - Central Inland Fisheries Research Institute</t>
  </si>
  <si>
    <t>Mohanty, BP (corresponding author), Indian Council Agr Res, Cent Inland Fisheries Res Inst, Kolkata 700120, India.</t>
  </si>
  <si>
    <t>bimalmohanty12@rediffmail.com</t>
  </si>
  <si>
    <t>Mohanty, Bimal/0000-0001-9749-9466</t>
  </si>
  <si>
    <t>Indian Council of Agricultural Research under CIFRI [FHE/ER/07/06/005]; Department of Biotechnology, Govt of India</t>
  </si>
  <si>
    <t>Indian Council of Agricultural Research under CIFRI; Department of Biotechnology, Govt of India(Department of Biotechnology (DBT) India)</t>
  </si>
  <si>
    <t>This work was supported by the Indian Council of Agricultural Research under CIFRI Core-Project No. FHE/ER/07/06/005 to BPM. SB is thankful to the Department of Biotechnology, Govt of India for the Post-Doctoral Fellowship. The authors are thankful to Dr K K Vass and Dr A P Sharma, the former and present Director of CIFRI, respectively, for the facilities and encouragement. Laboratory assistance rendered by Sk. Rabiul and R K Sonkar is acknowledged.</t>
  </si>
  <si>
    <t>NATL INST SCIENCE COMMUNICATION-NISCAIR</t>
  </si>
  <si>
    <t>DR K S KRISHNAN MARG, PUSA CAMPUS, NEW DELHI 110 012, INDIA</t>
  </si>
  <si>
    <t>0301-1208</t>
  </si>
  <si>
    <t>0975-0959</t>
  </si>
  <si>
    <t>INDIAN J BIOCHEM BIO</t>
  </si>
  <si>
    <t>Indian J. Biochem. Biophys.</t>
  </si>
  <si>
    <t>Biochemistry &amp; Molecular Biology; Biophysics</t>
  </si>
  <si>
    <t>739MJ</t>
  </si>
  <si>
    <t>WOS:000288721600005</t>
  </si>
  <si>
    <t>Wadoski, ER; Grew, ES; Yates, MG</t>
  </si>
  <si>
    <t>Wadoski, Eva R.; Grew, Edward S.; Yates, Martin G.</t>
  </si>
  <si>
    <t>COMPOSITIONAL EVOLUTION OF TOURMALINE-SUPERGROUP MINERALS FROM GRANITIC PEGMATITES IN THE LARSEMANN HILLS, EAST ANTARCTICA</t>
  </si>
  <si>
    <t>CANADIAN MINERALOGIST</t>
  </si>
  <si>
    <t>schorl; dravite; foitite; dumortierite; grandidierite; tourmaline; granitic pegmatite; Larsemann Hills; Antarctica</t>
  </si>
  <si>
    <t>RYOKE METAMORPHIC BELT; PRYDZ BAY; CRYSTAL-CHEMISTRY; BORON; QUARTZ; SILLIMANITE; BORALSILITE; AREA; NA2O-MGO-AL2O3-SIO2-B2O3-H2O-HCL; GRANDIDIERITE</t>
  </si>
  <si>
    <t>In the Larsemann Hills, Prydz Bay, East Antarctica, granulite-facies metasedimentary units containing tourmaline, prismatine and grandidierite are cut by three generations (D-2, D-3 and D-4) of granitic pegmatites, several of which are also unusually enriched in B-rich phases, including tourmaline (schorl - dravite - foitite solid solutions), prismatine, grandidierite, werdingite, boralsilite and dumortierite. Tourmaline can be used to gain information about the crystallization history of the pegmatites. Six microstructural varieties of tourmaline have been recognized: 1) primary tourmaline in a graphic intergrowth with quartz, 2) tourmaline overgrowths on tourmaline in the graphic intergrowth, 3) prisms of tourmaline with oscillatory zoning, 4) tourmaline that has replaced boralsilite, 5) tourmaline that has replaced prismatine, and 6) chaotically zoned tourmaline. Tourmaline compositions evolved as crystallization proceeded in the D2 and D3 pegmatites (considered together) and in the D4 pegmatites, resulting in an increase in X-site vacancy, a decrease in Ti and F contents, an increase in Al at the (Y + Z) sites, and a decrease in the ratio Mg/(Mg + Fe). The first three changes are consistent with decreasing temperature. However, oscillatory zoning is characteristic of open systems, where there had been a mixing from different chemical sources; we consider it more likely that X-site vacancy and F content varied as a function of fluid composition rather than temperature per se. On the basis of the compositional variation and microstructural relations and comparison with the retrograde path inferred for the host rocks, we suggest that the pegmatites evolved as temperatures decreased from 700-750 degrees C, 3-4.5 kbar when the graphic tourmaline + quartz crystallized, through 600-700 degrees C, 3-4 kbar, the stability range considered appropriate for boralsilite, to below 600 C at similar to 3 kbar for secondary tourmaline and dumortierite, conditions consistent with the presence of secondary andalusite.</t>
  </si>
  <si>
    <t>[Wadoski, Eva R.; Grew, Edward S.; Yates, Martin G.] Univ Maine, Dept Earth Sci, Orono, ME 04469 USA</t>
  </si>
  <si>
    <t>Wadoski, ER (corresponding author), Univ Bern, Inst Geol Sci, Freistr 3, CH-3012 Bern, Switzerland.</t>
  </si>
  <si>
    <t>eva.wadoski@krist.unibe.ch</t>
  </si>
  <si>
    <t>National Science Foundation to the University of Maine [OPP-0228842, EAR 0837980, MRI-0116235]; Directorate For Geosciences; Division Of Earth Sciences [0837980] Funding Source: National Science Foundation</t>
  </si>
  <si>
    <t>National Science Foundation to the University of Maine(National Science Foundation (NSF)); Directorate For Geosciences; Division Of Earth Sciences(National Science Foundation (NSF)NSF - Directorate for Geosciences (GEO))</t>
  </si>
  <si>
    <t>We thank the Australian Antarctic Division for logistics support in the field (Antarctic Science Advisory Committee Project no. 2350) and Chris Carson for comments on the manuscript, field data, GPS coordinates, photograph of pegmatite at locality 121502 (Fig. 3B), and the map in Figure 1. An earlier version of the manuscript was reviewed by Roberto Braga, Simon Harley, and Vincent van Hinsberg, to whom we are grateful for constructive and thoughtful comments; we also thank Robert F. Martin and Jennifer Thomson for their many suggestions to improve style. In addition, we thank Chris Gerbi for his comments on the Master's thesis (Wadoski 2009) upon which this manuscript is based. A portion of this research was supported by National Science Foundation grants OPP-0228842, EAR 0837980 and MRI-0116235 to the University of Maine.</t>
  </si>
  <si>
    <t>MINERALOGICAL ASSOC CANADA</t>
  </si>
  <si>
    <t>QUEBEC</t>
  </si>
  <si>
    <t>490, RUE DE LA COURONNE, QUEBEC, QC G1K 9A9, CANADA</t>
  </si>
  <si>
    <t>0008-4476</t>
  </si>
  <si>
    <t>1499-1276</t>
  </si>
  <si>
    <t>CAN MINERAL</t>
  </si>
  <si>
    <t>Can. Mineral.</t>
  </si>
  <si>
    <t>10.3749/canmin.49.1.381</t>
  </si>
  <si>
    <t>733DF</t>
  </si>
  <si>
    <t>WOS:000288240400024</t>
  </si>
  <si>
    <t>Rice, J; Gjerde, KM; Ardron, J; Arico, S; Cresswell, I; Escobar, E; Grant, S; Vierros, M</t>
  </si>
  <si>
    <t>Rice, Jake; Gjerde, Kristina M.; Ardron, Jeff; Arico, Salvatore; Cresswell, Ian; Escobar, Elva; Grant, Susie; Vierros, Marjo</t>
  </si>
  <si>
    <t>Policy relevance of biogeographic classification for conservation and management of marine biodiversity beyond national jurisdiction, and the GOODS biogeographic classification</t>
  </si>
  <si>
    <t>OCEAN &amp; COASTAL MANAGEMENT</t>
  </si>
  <si>
    <t>PROTECTED AREAS; COASTAL</t>
  </si>
  <si>
    <t>This article 1) examines the policy context that created a demand for biogeographic information, 2) describes early national and regional experiences in applying biogeographic classifications, 3) extracts lessons about their usefulness, 4) introduces a broad-scale biogeographic classification for the open ocean and deep seabed called the Global Open Ocean and Deep Seabed (GOODS) biogeographic classification and explains its relevance in this policy context. In so doing it highlights potential uses of biogeographic classifications for the open ocean and deep seabed: these include ecosystem-based management approaches, marine spatial planning and identification of representative networks of MPAs. It also discusses approaches for dealing with problems of uncertainty and connectivity. The article concludes with recommendations for the further development of the GOODS and finer-scale biogeographic classifications. Crown Copyright (C) 2010 Published by Elsevier Ltd. All rights reserved.</t>
  </si>
  <si>
    <t>[Rice, Jake] Fisheries &amp; Oceans Canada, Ecosyst Sci Branch, Ottawa, ON K1A 0E6, Canada; [Gjerde, Kristina M.] IUCN, Global Marine Program, CH-1196 Gland, Switzerland; [Ardron, Jeff] Marine Conservat Biol Inst, Washington, DC 20003 USA; [Arico, Salvatore] UNESCO, Div Ecol &amp; Earth Sci, F-75732 Paris 15, France; [Cresswell, Ian] CSIRO Wealth Oceans Natl Res Flagship, Hobart, Tas 7000, Australia; [Escobar, Elva] Univ Nacl Autonoma Mexico, Inst Ciencias Mar &amp; Limnol, Unidad Acad Ecol Marina, Lab Biodiversidad &amp; Macroecol, Mexico City 04510, DF, Mexico; [Grant, Susie] British Antarctic Survey, Cambridge CB3 0ET, England; [Vierros, Marjo] United Nations Univ, Inst Adv Studies, Nishi Ku, Yokohama, Kanagawa 2208502, Japan</t>
  </si>
  <si>
    <t>Fisheries &amp; Oceans Canada; Commonwealth Scientific &amp; Industrial Research Organisation (CSIRO); Universidad Nacional Autonoma de Mexico; UK Research &amp; Innovation (UKRI); Natural Environment Research Council (NERC); NERC British Antarctic Survey; United Nations University</t>
  </si>
  <si>
    <t>Rice, J (corresponding author), Fisheries &amp; Oceans Canada, Ecosyst Sci Branch, 200 Kent St, Ottawa, ON K1A 0E6, Canada.</t>
  </si>
  <si>
    <t>jake.rice@dfo-mpo.gc.ca; kgjerde@eip.com.pl; jeff.ardron@mcbi.org; S.Arico@unesco.org; ian.cresswell@csiro.au; escobri@cmarl.unam.mx; suan@bas.ac.uk; vierros@ias.unu.edu</t>
  </si>
  <si>
    <t>Ardron, Jeff/ABI-7397-2020; Cresswell, Ian/M-1648-2015</t>
  </si>
  <si>
    <t>Cresswell, Ian/0000-0002-2759-3737; Escobar Briones, Elva/0000-0002-8485-7495; Vierros, Marjo/0000-0001-5316-9297</t>
  </si>
  <si>
    <t>0964-5691</t>
  </si>
  <si>
    <t>1873-524X</t>
  </si>
  <si>
    <t>OCEAN COAST MANAGE</t>
  </si>
  <si>
    <t>Ocean Coastal Manage.</t>
  </si>
  <si>
    <t>10.1016/j.ocecoaman.2010.10.010</t>
  </si>
  <si>
    <t>Oceanography; Water Resources</t>
  </si>
  <si>
    <t>716TJ</t>
  </si>
  <si>
    <t>WOS:000286996100002</t>
  </si>
  <si>
    <t>Strutton, PG; Palacz, AP; Dugdale, RC; Chai, F; Al Marchi; Parker, AE; Hogue, V; Wilkerson, FP</t>
  </si>
  <si>
    <t>Strutton, Peter G.; Palacz, Artur P.; Dugdale, Richard C.; Chai, Fei; Al Marchi; Parker, Alex E.; Hogue, Victoria; Wilkerson, Frances P.</t>
  </si>
  <si>
    <t>The impact of equatorial Pacific tropical instability waves on hydrography and nutrients: 2004-2005</t>
  </si>
  <si>
    <t>Equatorial Pacific; Tropical instability waves; Biogeochemistry; Nutrient cycling</t>
  </si>
  <si>
    <t>1997-98 EL-NINO; CO2 FLUX; OCEAN; ECOSYSTEM; IRON; SEA; PHYTOPLANKTON; TEMPERATURE; EVOLUTION; CURRENTS</t>
  </si>
  <si>
    <t>This paper documents the variability in physics and nutrients during two cruises spanning 110 degrees W to 140 degrees W in December 2004 and September 2005. The goal of this work is to set the hydrographic framework for companion papers which quantify the role of iron, silicon and grazing in maintaining the high nitrate, low chlorophyll (HNLC) conditions in the equatorial Pacific. The two cruises were conducted almost a year apart, at different phases of the El Nino cycle, but during similarly intense tropical instability wave (TIW) seasons. The higher phytoplankton biomass observed on the 2005 cruise was due to a combination of time of year and a weakening El Nino. A general relationship between TIWs and Si cycling is described. TIWs advect the equatorial upwelling plume alternately to the north and south, and also generate localized enhanced upwelling. The distorted upwelling plume is a region of enhanced biogenic silica production and export. Away from regions of active upwelling, Si remineralization is enhanced and export is significantly reduced or absent. (C) 2010 Elsevier Ltd. All rights reserved.</t>
  </si>
  <si>
    <t>[Strutton, Peter G.] Univ Tasmania, Inst Marine &amp; Antarctic Studies, Hobart, Tas 7001, Australia; [Palacz, Artur P.; Chai, Fei] Univ Maine, Sch Marine Sci, Orono, ME 04469 USA; [Dugdale, Richard C.; Al Marchi; Parker, Alex E.; Hogue, Victoria; Wilkerson, Frances P.] San Francisco State Univ, Romberg Tiburon Ctr Environm Studies, San Francisco, CA 94132 USA</t>
  </si>
  <si>
    <t>University of Tasmania; University of Maine System; University of Maine Orono; California State University System; San Francisco State University</t>
  </si>
  <si>
    <t>Strutton, PG (corresponding author), Univ Tasmania, Inst Marine &amp; Antarctic Studies, Private Bag 129, Hobart, Tas 7001, Australia.</t>
  </si>
  <si>
    <t>peter.strutton@utas.edu.au</t>
  </si>
  <si>
    <t>; Strutton, Peter/C-4466-2011</t>
  </si>
  <si>
    <t>Parker, Alexander/0000-0001-7948-1457; Strutton, Peter/0000-0002-2395-9471; Palacz, Artur/0000-0002-1634-7880</t>
  </si>
  <si>
    <t>We wish to thank the MODIS and SeaWiFS projects for providing the satellite ocean color data, and Remote Sensing Systems for providing the satellite SST data. Buoy data were obtained from the TAO project. Wiley Evans provided the TIW index and filtered chl data. Mark Brzezinski, Mark Demarest and Jeff Krause provided helpful comments on the manuscript. We thank the crew of the RV Revelle, in particular Marine Technician Gene Pillard for assistance at sea. The Tiburon and Maine groups were funded by the NSF Biocomplexity program.</t>
  </si>
  <si>
    <t>10.1016/j.dsr2.2010.08.015</t>
  </si>
  <si>
    <t>734DJ</t>
  </si>
  <si>
    <t>WOS:000288313100002</t>
  </si>
  <si>
    <t>Chmel, A; Smirnov, VN</t>
  </si>
  <si>
    <t>Chmel, A.; Smirnov, V. N.</t>
  </si>
  <si>
    <t>Quasi-seismic scaling processes in sea ice</t>
  </si>
  <si>
    <t>JOURNAL OF STATISTICAL MECHANICS-THEORY AND EXPERIMENT</t>
  </si>
  <si>
    <t>dynamical processes (experiment); fracture (experiment)</t>
  </si>
  <si>
    <t>FRACTURE; EARTHQUAKES; DYNAMICS; RUPTURE; SIGNALS; MODEL; DRIFT</t>
  </si>
  <si>
    <t>The cracking, shearing and stick-slip motions in sea ice are similar to those in fracturing geostructures. In this work, the fracture-related, quasi-seismic activity in the Arctic ice pack was monitored during a large-scale ice cover fragmentation that occurred in March 2008. This fragmentation resulted in the formation of a two-dimensional 'fault' clearly seen in satellite images. The energy distribution in elastic waves detected by seismic tiltmeters follows the power law in pre- and post-faulting periods. The power exponent decreases as the 'catastrophe' approaches, and exhibits a trend to restore its initial value after the large-scale perturbation. The detected fracture events are correlated in time in the sense of a scaling relation. A quiescent period (very low quasi-seismic activity) was observed before 'faulting'. A close similarity in scaling characteristics between the crustal seismicity and quasi-seismic activity observed in the ice pack is discussed from the viewpoint of the role of heterogeneity in the behavior of large-scale critical systems.</t>
  </si>
  <si>
    <t>[Chmel, A.] AF Ioffe Phys Tech Inst, St Petersburg 194021, Russia; [Smirnov, V. N.] Arctic &amp; Antarctic Res Inst, St Petersburg 199397, Russia</t>
  </si>
  <si>
    <t>Russian Academy of Sciences; St. Petersburg Scientific Centre of the Russian Academy of Sciences; Ioffe Physical Technical Institute; Arctic &amp; Antarctic Research Institute</t>
  </si>
  <si>
    <t>Chmel, A (corresponding author), AF Ioffe Phys Tech Inst, 26 Polytech Skaya Str, St Petersburg 194021, Russia.</t>
  </si>
  <si>
    <t>1742-5468</t>
  </si>
  <si>
    <t>J STAT MECH-THEORY E</t>
  </si>
  <si>
    <t>J. Stat. Mech.-Theory Exp.</t>
  </si>
  <si>
    <t>P02011</t>
  </si>
  <si>
    <t>10.1088/1742-5468/2011/02/P02011</t>
  </si>
  <si>
    <t>Mechanics; Physics, Mathematical</t>
  </si>
  <si>
    <t>Mechanics; Physics</t>
  </si>
  <si>
    <t>727LY</t>
  </si>
  <si>
    <t>WOS:000287802800015</t>
  </si>
  <si>
    <t>Welten, KC; Caffee, MW; Hillegonds, DJ; McCoy, TJ; Masarik, J; Nishiizumi, K</t>
  </si>
  <si>
    <t>Welten, K. C.; Caffee, M. W.; Hillegonds, D. J.; McCoy, T. J.; Masarik, J.; Nishiizumi, K.</t>
  </si>
  <si>
    <t>Cosmogenic radionuclides in L5 and LL5 chondrites from Queen Alexandra Range, Antarctica: Identification of a large L/LL5 chondrite shower with a preatmospheric mass of approximately 50,000 kg</t>
  </si>
  <si>
    <t>TRACE-ELEMENT CONTENT; RAY-EXPOSURE HISTORY; FRONTIER MOUNTAIN; PRODUCTION-RATES; IRON-METEORITES; STREWN FIELD; NOBLE-GASES; NUCLIDES; STONY; CA-41</t>
  </si>
  <si>
    <t>The collection of approximately 3300 meteorites from the Queen Alexandra Range (QUE) area, Antarctica, is dominated by more than 2000 chondrites classified as either L5 or LL5. Based on concentrations of the cosmogenic radionuclides 10Be, 26Al, 36Cl, and 41Ca in the metal and stone fraction of 16 QUE L5 or LL5 chondrites, we conclude that 13 meteorites belong to a single meteorite shower, QUE 90201, with a large preatmospheric size and a terrestrial age of 125 kyr. Members of this shower have properties typical of L (e.g., pyroxene composition) and LL chondrites (e.g., metal abundance and composition), as well as properties intermediate between the L and LL groups (e.g., olivine composition), and is thus best described as an L/LL5 chondrite. Based on comparison with model calculations, the measured radionuclide concentrations in the metal and stone fractions of QUE 90201 indicate irradiation in an object with a preatmospheric radius of approximately 150 cm, representing one of the largest chondrites known so far. Based on the abundance of small L5 and LL5 chondrites at QUE and their distinct mass distribution, we conclude that the QUE 90201 shower includes up to 2000 fragments with a total recovered mass of 60-70 kg, &lt; 1% of the preatmospheric mass of approximately 50,000 kg. The mass distribution of the QUE 90201 shower suggests that the meteoroid experienced catastrophic atmospheric fragmentation(s), either because it was a fragile object or it had a high entry velocity.</t>
  </si>
  <si>
    <t>[Welten, K. C.; Nishiizumi, K.] Univ Calif Berkeley, Space Sci Lab, Berkeley, CA 94720 USA; [Caffee, M. W.; Hillegonds, D. J.] Lawrence Livermore Natl Lab, Ctr Accelerator Mass Spectrometry, Livermore, CA 94550 USA; [Caffee, M. W.] Purdue Univ, Dept Phys, W Lafayette, IN 47907 USA; [McCoy, T. J.] Smithsonian Inst, US Museum Nat Hist, Dept Mineral Sci, Washington, DC 20560 USA; [Masarik, J.] Comenius Univ, Dept Nucl Phys, SK-84248 Bratislava, Slovakia</t>
  </si>
  <si>
    <t>University of California System; University of California Berkeley; United States Department of Energy (DOE); Lawrence Livermore National Laboratory; Purdue University System; Purdue University; Smithsonian Institution; Smithsonian National Museum of Natural History; Comenius University Bratislava</t>
  </si>
  <si>
    <t>Welten, KC (corresponding author), Univ Calif Berkeley, Space Sci Lab, Berkeley, CA 94720 USA.</t>
  </si>
  <si>
    <t>kcwelten@berkeley.edu</t>
  </si>
  <si>
    <t>Masarik, Jozef/A-8008-2018; masarik, jozef/IRZ-6697-2023</t>
  </si>
  <si>
    <t>Welten, Kees/0000-0001-8577-6753; McCoy, Timothy/0000-0002-4573-3553</t>
  </si>
  <si>
    <t>NASA [NAG5-4992, NAG5-9777]; LLNL-CAMS</t>
  </si>
  <si>
    <t>NASA(National Aeronautics &amp; Space Administration (NASA)); LLNL-CAMS</t>
  </si>
  <si>
    <t>This work was supported, in part, by NASA grants NAG5-4992 (K. C. W. and K. N.), NAG5-9777 (T. J. M.), and a LLNL-CAMS grant. We thank the National Science Foundation for supporting the Antarctic Search for Meteorites (ANSMET) and the Meteorite Working Group for providing samples. We also are grateful to Bob Finkel for assistance with the AMS measurements at LLNL. AMS measurements at LLNL were performed under the auspices of the U.S. DOE by LLNL under contract W-7405-ENG-48. We thank Bernard Lavielle and Ingo Leya for valuable comments that improved this article, and Tim Jull for editorial handling.</t>
  </si>
  <si>
    <t>10.1111/j.1945-5100.2010.01142.x</t>
  </si>
  <si>
    <t>723DU</t>
  </si>
  <si>
    <t>WOS:000287487300002</t>
  </si>
  <si>
    <t>Wienecke, B</t>
  </si>
  <si>
    <t>Wienecke, Barbara</t>
  </si>
  <si>
    <t>Review of historical population information of emperor penguins</t>
  </si>
  <si>
    <t>Emperor penguins; Population data; Historical information; Monitoring</t>
  </si>
  <si>
    <t>ROSS SEA; APTENODYTES-FORSTERI; HUMAN DISTURBANCE; CLIMATE; COLONIES; ANTARCTICA; RESPONSES; ISLAND</t>
  </si>
  <si>
    <t>In 1902, the first breeding colony of emperor penguins was discovered. Over the following decades, the number of known emperor penguin colonies increased steadily and new ones are still being discovered. However, rigorous census work has been carried out at only a few colonies and accurate information on trends in breeding populations is limited to a small number of locations. Thus, the total number of breeding pairs is still unknown as is the size of the global population (breeders, non-breeders, juveniles). The International Union for the Conservation of Nature (IUCN) lists the species' status as 'least concern' and states that although the population trend for emperor penguins has not been quantified, the global population appears to be stable. This review summarises the currently available information on the populations of emperor penguins at known colonies in terms of survey methods, count units used and survey frequency. It examines what is known about the state of various colonies and demonstrates that currently available data are inadequate for a trend assessment of the global population.</t>
  </si>
  <si>
    <t>Australian Antarctic Div, Kingston, Tas 7052, Australia</t>
  </si>
  <si>
    <t>Wienecke, B (corresponding author), Australian Antarctic Div, 203 Channel Highway, Kingston, Tas 7052, Australia.</t>
  </si>
  <si>
    <t>barbara.wienecke@aad.gov.au</t>
  </si>
  <si>
    <t>10.1007/s00300-010-0882-0</t>
  </si>
  <si>
    <t>728WG</t>
  </si>
  <si>
    <t>WOS:000287904600001</t>
  </si>
  <si>
    <t>Moreira, J; Parapar, J</t>
  </si>
  <si>
    <t>Moreira, J.; Parapar, J.</t>
  </si>
  <si>
    <t>Sphaerodoridae (Annelida: Polychaeta) from the Bellingshausen Sea (Antarctica) with the description of two new species</t>
  </si>
  <si>
    <t>Polychaeta; Sphaerodoridae; Bellingshausen Sea; Antarctica; Benthos; New species</t>
  </si>
  <si>
    <t>SPATIAL-DISTRIBUTION; WEST ANTARCTICA; PATTERNS; BIODIVERSITY; DIVERSITY; BOTTOM</t>
  </si>
  <si>
    <t>The examination of polychaete collections obtained during the Spanish Bentart 2006 expedition to the Bellingshausen Sea (Antarctica) revealed the presence of several sphaerodorid species. In this work, species belonging to the genera Sphaerodorum Orsted, 1843, Ephesiella Chamberlin, 1919, Clavodorum Hartman and Fauchald, 1971 and Sphaerephesia Fauchald, 1972 are reported including two new species belonging to Sphaerodorum and Sphaerephesia, respectively. A specimen identified as Ephesiella sp. might also represent a new species but, due to its poor state of preservation, a formal description is not possible yet. Furthermore, Sphaerodoropsis polypapillata Hartmann-Schroder and Rosenfeldt, 1988 is transferred to the genus Clavodorum Hartman and Fauchald, 1971 after examination of the type series and specimens obtained from the Bellingshausen Sea.</t>
  </si>
  <si>
    <t>[Moreira, J.] Univ Santiago Compostela, Estac Biol Marina Grana, A Grana 15590, Ferrol, Spain; [Parapar, J.] Univ A Coruna, Dept Biol Anim, Fac Ciencias, La Coruna 15008, Spain</t>
  </si>
  <si>
    <t>Universidade de Santiago de Compostela; Universidade da Coruna</t>
  </si>
  <si>
    <t>Moreira, J (corresponding author), Univ Santiago Compostela, Estac Biol Marina Grana, Rua Ribeira 1, A Grana 15590, Ferrol, Spain.</t>
  </si>
  <si>
    <t>juan.moreira@usc.es</t>
  </si>
  <si>
    <t>Moreira, Juan/D-4462-2013; Parapar, Julio/J-4150-2014</t>
  </si>
  <si>
    <t>Moreira, Juan/0000-0002-1374-2033; Parapar, Julio/0000-0001-7585-6995</t>
  </si>
  <si>
    <t>Spanish Antarctic Programme (CICYT) [REN 2001-1074/ANT, CGL2004-01856]</t>
  </si>
  <si>
    <t>Spanish Antarctic Programme (CICYT)(Consejo Interinstitucional de Ciencia y Tecnologia (CICYT))</t>
  </si>
  <si>
    <t>The authors wish to thank Dr. A. Brandt (Zoological Museum, Hamburg) for the loan of type series of Sphaerodoropsis polypapillata. Many thanks also to A. Castro and C. Sueiro (SAIN, Universidade da Coruna) and R. Barreiro (RIAIDT, Universidade de Santiago de Compostela, Spain) who assisted with the preparation of specimens and use of the SEM, to Y. Lucas for assisting with the preparation of the drawings and to J. Garcia-Car-racedo for the translation of several bibliographic references and the revision of the English version of the manuscript. The authors are also grateful to T. Bakken, B. Ebbe and D. Eibye-Jacobsen for their constructive comments on an earlier version of the manuscript. Special thanks to the crew of R/V Hesperides and all the colleagues which collaborated in the Bentart 2006 expedition and especially to Caries San Vicente (Generalitat de Catalunya) and Patrick Arnaud (Station Marine de Endoume, France) who collected the specimens from the Epibenthic Sledge samples. The Bentart expeditions were carried out under the auspices of the Spanish Government through the Ministry of Education and Science and were supported by the Spanish Antarctic Programme (CICYT) (REN 2001-1074/ANT and CGL2004-01856).</t>
  </si>
  <si>
    <t>10.1007/s00300-010-0869-x</t>
  </si>
  <si>
    <t>WOS:000287904600004</t>
  </si>
  <si>
    <t>Miyazaki, T; Nakata, M; Kasagi, S; Iwami, T; Yamauchi, M; Kawamura, S</t>
  </si>
  <si>
    <t>Miyazaki, T.; Nakata, M.; Kasagi, S.; Iwami, T.; Yamauchi, M.; Kawamura, S.</t>
  </si>
  <si>
    <t>Molecular cloning of ultraviolet-sensitive visual pigment in juvenile Champsocephalus gunnari (Channichthyidae)</t>
  </si>
  <si>
    <t>Champsocephalus gunnari; Ultraviolet-sensitive opsin; Visual pigment; cDNA cloning</t>
  </si>
  <si>
    <t>MACKEREL ICEFISH; PAGOTHENIA-BORCHGREVINKI; SOUTH GEORGIA; LIGHT; FISH; PHOTORECEPTORS; RECEPTORS; GENETICS; VISION; CONES</t>
  </si>
  <si>
    <t>We examined histologically the retinal cone photoreceptor mosaics of 0- to 6-year-old Champsocephalus gunnari. In the retina of 0- to 3-year-old fish, three types of cone cells, single-, double- and triple-cone, were identified. The triple-cone cells were localized near the optic papilla. In the outer region of the optic papilla, double-cone and single-cone cells were aligned alternately. Only double-cone cells were distributed in the peripheral retina. There were very few single-cone cells in the retinas of 4- to 6-year-old fish. The putative ultraviolet (UV)-sensitive visual pigment (SWS1) gene was isolated from the retina of 0- to 1-year-old fish. The recombinant opsin, encoded by this gene, showed a peak absorbance at 358 nm. It was considered that the UV sensitivity in juvenile C. gunnari might increase foraging efficiency by enhancing the contrast of the planktonic prey in the Antarctic summer.</t>
  </si>
  <si>
    <t>[Miyazaki, T.] Mie Univ, Grad Sch Bioresources, Tsu, Mie 5148507, Japan; [Nakata, M.; Kasagi, S.; Kawamura, S.] Univ Tokyo, Grad Sch Frontier Sci, Chiba 2778562, Japan; [Iwami, T.] Tokyo Kasei Gakuin Univ, Tokyo 1940292, Japan; [Yamauchi, M.] Natl Inst Radiol Sci, Inage Ku, Chiba 2638555, Japan</t>
  </si>
  <si>
    <t>Mie University; University of Tokyo; National Institutes for Quantum Science &amp; Technology</t>
  </si>
  <si>
    <t>JSPS [15570086, 17570077]; Fujiwara Natural History Foundation; Mie University; Grants-in-Aid for Scientific Research [17570077, 15570086] Funding Source: KAKEN</t>
  </si>
  <si>
    <t>JSPS(Ministry of Education, Culture, Sports, Science and Technology, Japan (MEXT)Japan Society for the Promotion of Science); Fujiwara Natural History Foundation; Mie University; Grants-in-Aid for Scientific Research(Ministry of Education, Culture, Sports, Science and Technology, Japan (MEXT)Japan Society for the Promotion of ScienceGrants-in-Aid for Scientific Research (KAKENHI))</t>
  </si>
  <si>
    <t>We thank T. Hayashi for his careful dissection and preservation of samples on the boat deck. We are also grateful to crews of R/V Niitaka-Maru, Nippon Suisan Kaisha, Ltd., for helping with the collection of fish. We acknowledge Dr. V.B. Meyer-Rochow and two anonymous reviewers for their comments on the earlier draft. This work was supported by Grants-in-Aid for Scientific Research (C) from the JSPS (No. 15570086; 17570077) and also partly by a grant from the Fujiwara Natural History Foundation and a grant from the Mie University COE-A Program.</t>
  </si>
  <si>
    <t>10.1007/s00300-010-0875-z</t>
  </si>
  <si>
    <t>WOS:000287904600008</t>
  </si>
  <si>
    <t>Pakhomov, EA; Hall, J; Williams, MJM; Hunt, BPV; Stevens, CJ</t>
  </si>
  <si>
    <t>Pakhomov, E. A.; Hall, J.; Williams, M. J. M.; Hunt, B. P. V.; Stevens, C. J.</t>
  </si>
  <si>
    <t>Biology of Salpa thompsoni in waters adjacent to the Ross Sea, Southern Ocean, during austral summer 2008</t>
  </si>
  <si>
    <t>Pelagic tunicates; Salpa thompsoni; Biology; Distribution; Abundance; Biomass; Ross Sea</t>
  </si>
  <si>
    <t>ICE EXTENT; CARBON; ZOOPLANKTON; COMMUNITY; DECLINE; ISLAND; ROLES; KRILL</t>
  </si>
  <si>
    <t>Depth-stratified vertical sampling was carried out during the New Zealand International Polar Year cruise to the Ross Sea on board the RV Tangaroa in February March 2008. The distribution (horizontal and vertical), density and population biology of Salpa thompsoni were investigated. Salps were found at two of the four major sampling locations, e.g. near the continental slope of the Ross Sea and in the vicinity of seamounts to the north of the Ross Sea. Both abundance and biomass of S. thompsoni were highest near the seamounts in the Antarctic Circumpolar Current reaching similar to 2,500 ind 1,000 m(-3) and 8.2 g dry wt 1,000 m(-3) in the water column sampled. The data showed that S. thompsoni populations were able to utilize horizontal and vertical discontinuities in water column structure, in particular the warm Circumpolar Deep Water (CDW), to persist in the high Antarctic. Although salps appeared to continue migrating to the surface colder layers to feed, both aggregate chain and young embryo release seem to be restricted to the CDW. This study for the first time has provided evidence that low Antarctic salp species may successfully reproduce in the hostile high Antarctic realm.</t>
  </si>
  <si>
    <t>[Pakhomov, E. A.; Hunt, B. P. V.] Univ British Columbia, Dept Earth &amp; Ocean Sci, Vancouver, BC V6T 1Z4, Canada; [Hall, J.; Williams, M. J. M.; Stevens, C. J.] Natl Inst Water &amp; Atmospher Res Ltd, Wellington 6241, New Zealand</t>
  </si>
  <si>
    <t>University of British Columbia; National Institute of Water &amp; Atmospheric Research (NIWA) - New Zealand</t>
  </si>
  <si>
    <t>Williams, Michael/H-9674-2014</t>
  </si>
  <si>
    <t>NIWA; NIWA (New Zealand); University of British Columbia (Canada); Alfred Wegener Institute for Polar and Marine Research; Alexander von Humboldt Foundation (Germany)</t>
  </si>
  <si>
    <t>NIWA; NIWA (New Zealand); University of British Columbia (Canada); Alfred Wegener Institute for Polar and Marine Research; Alexander von Humboldt Foundation (Germany)(Alexander von Humboldt Foundation)</t>
  </si>
  <si>
    <t>We would like to thank the captain and crew of the RV Tangaroa for invaluable help during the IPY-CAML, sampling program and our colleagues for kind assistance in sample collections. The surveys were financially supported by the NIWA. Finally, NIWA (New Zealand), University of British Columbia (Canada), Alfred Wegener Institute for Polar and Marine Research and Alexander von Humboldt Foundation (Germany) are greatly acknowledged for providing funds and facilities allowing the completion of this study.</t>
  </si>
  <si>
    <t>10.1007/s00300-010-0878-9</t>
  </si>
  <si>
    <t>WOS:000287904600010</t>
  </si>
  <si>
    <t>Hirawake, T; Takao, S; Horimoto, N; Ishimaru, T; Yamaguchi, Y; Fukuchi, M</t>
  </si>
  <si>
    <t>Hirawake, Toru; Takao, Shintaro; Horimoto, Naho; Ishimaru, Takashi; Yamaguchi, Yukuya; Fukuchi, Mitsuo</t>
  </si>
  <si>
    <t>A phytoplankton absorption-based primary productivity model for remote sensing in the Southern Ocean</t>
  </si>
  <si>
    <t>Light absorption coefficient; Sea surface temperature; Southern Ocean; Ocean color remote sensing; Primary production</t>
  </si>
  <si>
    <t>CHLOROPHYLL-A; CASE-1 WATERS; ROSS SEA; ICE; COEFFICIENTS; FRONTS</t>
  </si>
  <si>
    <t>Recent global environmental changes such as an increase in sea surface temperature (SST) are likely to impact primary productivity of phytoplankton in the Southern Ocean. However, models to estimate net primary production using satellite data use SST and uncertain estimation of chlorophyll a (chl-a) concentration. A primary productivity model for satellite ocean color data from the Southern Ocean, which is based on the light absorption coefficient of phytoplankton to reduce uncertainties of sea surface chl-a estimations and bias in optimal values of chl-a normalized productivity derived from SST, has been developed. The new model was able to estimate net primary productivity in the water column (PPeu) without dependency on temperature when in the range of -2 to 25 degrees C, and it explained 51% of the observed variability in PPeu with a root mean square error (RMSE) of 0.15. Application of the model revealed that the SST dependent model has overestimated PPeu in warmer waters around the Subtropical Front, and underestimated PPeu in colder waters poleward of the Sub-Antarctic Front. This absorption-based primary productivity model contributes to a study of the relationship among spatio-temporal variations in the physical environment, and biogeochemical cycles in the Southern Ocean.</t>
  </si>
  <si>
    <t>[Hirawake, Toru; Takao, Shintaro] Hokkaido Univ, Fac Fisheries Sci, Hakodate, Hokkaido 0418611, Japan; [Horimoto, Naho; Ishimaru, Takashi; Yamaguchi, Yukuya] Tokyo Univ Marine Sci &amp; Technol, Minato Ku, Tokyo 1088477, Japan; [Fukuchi, Mitsuo] Natl Inst Polar Res, Tokyo 1908518, Japan</t>
  </si>
  <si>
    <t>Hokkaido University; Tokyo University of Marine Science &amp; Technology; Research Organization of Information &amp; Systems (ROIS); National Institute of Polar Research (NIPR) - Japan</t>
  </si>
  <si>
    <t>Hirawake, T (corresponding author), Hokkaido Univ, Fac Fisheries Sci, 3-1-1 Minato Cho, Hakodate, Hokkaido 0418611, Japan.</t>
  </si>
  <si>
    <t>hirawake@salmon.fish.hokudai.ac.jp</t>
  </si>
  <si>
    <t>MIYAZAKI, Naho/O-1921-2014; Takao, Shintaro/M-8269-2019</t>
  </si>
  <si>
    <t>Hirawake, Toru/0000-0003-0274-6642</t>
  </si>
  <si>
    <t>JARE STAGE program; JSPS (KAKENHI) [19255014, 18067003]; CEAMARC; JAXA GCOM-C program; Grants-in-Aid for Scientific Research [19255014, 18067003] Funding Source: KAKEN</t>
  </si>
  <si>
    <t>JARE STAGE program; JSPS (KAKENHI)(Ministry of Education, Culture, Sports, Science and Technology, Japan (MEXT)Japan Society for the Promotion of ScienceGrants-in-Aid for Scientific Research (KAKENHI)); CEAMARC; JAXA GCOM-C program; Grants-in-Aid for Scientific Research(Ministry of Education, Culture, Sports, Science and Technology, Japan (MEXT)Japan Society for the Promotion of ScienceGrants-in-Aid for Scientific Research (KAKENHI))</t>
  </si>
  <si>
    <t>We would like to thank the Distributed Active Archive Center (DAAC) at the Goddard Space Flight Center for the production and distribution of satellite data. Thanks are also due to the captain and crews of the T/V Umitaka-Maru for their cooperation during the cruises. This work was supported in part by the JARE STAGE program, JSPS (KAKENHI 19255014 and 18067003), CEAMARC and JAXA GCOM-C program.</t>
  </si>
  <si>
    <t>10.1007/s00300-010-0949-y</t>
  </si>
  <si>
    <t>WOS:000287904600013</t>
  </si>
  <si>
    <t>Acevedo, J; Olavarría, C; Plana, J; Aguayo-Lobo, A; Larrea, A; Pastene, LA</t>
  </si>
  <si>
    <t>Acevedo, Jorge; Olavarria, Carlos; Plana, Jorge; Aguayo-Lobo, Anelio; Larrea, Antonio; Pastene, Luis A.</t>
  </si>
  <si>
    <t>Occurrence of dwarf minke whales (Balaenoptera acutorostrata subsp.) around the Antarctic Peninsula</t>
  </si>
  <si>
    <t>Dwarf minke whales; Distribution; Antarctic Peninsula; South Shetland Islands</t>
  </si>
  <si>
    <t>The occurrence of dwarf minke whales (Balaenoptera acutorostrata subsp.) around the Antarctic Peninsula was examined based on 406 sightings of minke whales recorded during the Chilean Antarctic Scientific Expeditions and other opportunistic cetacean surveys. Identification of the species was made only for the whales sighted in the proximity of the vessels when the specific diagnostic characters could be confirmed. Of the 406 sightings, 296 were assigned to Antarctic (519 individuals), nine (11 individuals) to dwarf and 101 to unidentified minke whales (149 individuals). Dwarf minke whales were identified by the reported external diagnostic characters for this species. Seven animals occurred around the South Shetland Island and four in the Gerlache Strait. In addition, another two animals were identified as dwarf minke whales in the Bellinghausen Sea in winter 1993, being these the most southern records for this species. These results confirm the occurrence of dwarf minke whales around the Antarctic Peninsula during the summer seasons, as well as in the Bellinghausen Sea in winter. The geographical range of these sightings was comprised between 61 degrees 03' and 69 degrees 25'S and between 55 degrees 29' and 86 degrees 53'W. These results also suggest that some dwarf minke whales remain in the Antarctic during the austral winter.</t>
  </si>
  <si>
    <t>[Acevedo, Jorge; Olavarria, Carlos] Fdn CEQUA, Punta Arenas, Chile; [Aguayo-Lobo, Anelio] Inst Antartico Chileno, Punta Arenas, Chile; [Pastene, Luis A.] Inst Cetacean Res, Chuo Ku, Tokyo 1040055, Japan</t>
  </si>
  <si>
    <t>Acevedo, J (corresponding author), Fdn CEQUA, Avda Bulnes 01890, Punta Arenas, Chile.</t>
  </si>
  <si>
    <t>Acevedo, Jorge/0000-0002-6106-0838</t>
  </si>
  <si>
    <t>CEQUA; INACH</t>
  </si>
  <si>
    <t>CEQUA(Comision Nacional de Investigacion Cientifica y Tecnologica (CONICYT)CONICYT Regional/CEQUA); INACH</t>
  </si>
  <si>
    <t>The CEQUA and INACH researchers thank the Directors of their institutions for providing support and funding for the Antarctic Peninsula cetacean surveys. We also thank reviewers for providing valuable comments that improved a previous version of this paper.</t>
  </si>
  <si>
    <t>10.1007/s00300-010-0884-y</t>
  </si>
  <si>
    <t>WOS:000287904600016</t>
  </si>
  <si>
    <t>Wilmes, B; Kock, H; Glagla, S; Albrecht, D; Voigt, B; Markert, S; Gardebrecht, A; Bode, R; Danchin, A; Feller, G; Hecker, M; Schweder, T</t>
  </si>
  <si>
    <t>Wilmes, Boris; Kock, Holger; Glagla, Susanne; Albrecht, Dirk; Voigt, Birgit; Markert, Stephanie; Gardebrecht, Antje; Bode, Ruediger; Danchin, Antoine; Feller, Georges; Hecker, Michael; Schweder, Thomas</t>
  </si>
  <si>
    <t>Cytoplasmic and Periplasmic Proteomic Signatures of Exponentially Growing Cells of the Psychrophilic Bacterium Pseudoalteromonas haloplanktis TAC125</t>
  </si>
  <si>
    <t>OUTER-MEMBRANE PROTEIN; ANTARCTIC BACTERIUM; POLYNUCLEOTIDE PHOSPHORYLASE; MARINE-BACTERIA; ALPHA-AMYLASE; EXPRESSION; COLD; GENE; IDENTIFICATION; ALTEROMONAS</t>
  </si>
  <si>
    <t>The psychrophilic model bacterium Pseudoalteromonas haloplanktis is characterized by remarkably fast growth rates under low-temperature conditions in a range from 5 degrees C to 20 degrees C. In this study the proteome of cellular compartments, the cytoplasm and periplasm, of P. haloplanktis strain TAC125 was analyzed under exponential growth conditions at a permissive temperature of 16 degrees C. By means of two-dimensional protein gel electrophoresis and mass spectrometry, a first inventory of the most abundant cytoplasmic and periplasmic proteins expressed in a peptone-supplemented minimal medium was established. By this approach major enzymes of the amino acid catabolism of this marine bacterium could be functionally deduced. The cytoplasmic proteome showed a predominance of amino acid degradation pathways and tricarboxylic acid (TCA) cycle enzymes but also the protein synthesis machinery. Furthermore, high levels of cold acclimation and oxidative stress proteins could be detected at this moderate growth temperature. The periplasmic proteome was characterized by a significant abundance of transporters, especially of highly expressed putative TonB-dependent receptors. This high capacity for protein synthesis, efficient amino acid utilization, and substrate transport may contribute to the fast growth rates of the copiotrophic bacterium P. haloplanktis in its natural environments.</t>
  </si>
  <si>
    <t>[Wilmes, Boris; Gardebrecht, Antje; Schweder, Thomas] Ernst Moritz Arndt Univ Greifswald, Dept Pharmaceut Biotechnol, D-17487 Greifswald, Germany; [Wilmes, Boris; Voigt, Birgit; Markert, Stephanie; Hecker, Michael; Schweder, Thomas] Inst Marine Biotechnol, D-17489 Greifswald, Germany; [Kock, Holger] Ernst Moritz Arndt Univ Greifswald, Fac Med, D-17475 Greifswald, Germany; [Glagla, Susanne] Univ Erlangen Nurnberg, Dept Microbiol, D-91058 Erlangen, Germany; [Bode, Ruediger] Ernst Moritz Arndt Univ Greifswald, Inst Microbiol, Dept Biochem, D-17487 Greifswald, Germany; [Danchin, Antoine] AMAbiotics, F-91030 Evry, France; [Feller, Georges] Univ Liege, Ctr Prot Engn B6A, B-4000 Liege, Belgium</t>
  </si>
  <si>
    <t>Universitat Greifswald; Universitat Greifswald; University of Erlangen Nuremberg; Universitat Greifswald; University of Liege</t>
  </si>
  <si>
    <t>Schweder, T (corresponding author), Ernst Moritz Arndt Univ Greifswald, Dept Pharmaceut Biotechnol, F-L Jahn Str 17, D-17487 Greifswald, Germany.</t>
  </si>
  <si>
    <t>schweder@uni-greifswald.de</t>
  </si>
  <si>
    <t>Schweder, Thomas/GQB-0990-2022; Markert, Stephanie/AAL-5591-2021; Danchin, Antoine/F-3745-2018</t>
  </si>
  <si>
    <t>Schweder, Thomas/0000-0002-7213-3596; Markert, Stephanie/0000-0003-0923-3305; Danchin, Antoine/0000-0002-6350-5001</t>
  </si>
  <si>
    <t>Ministry of Economy of Mecklenburg-Vorpommern [230-630.8-TIFA-356]</t>
  </si>
  <si>
    <t>Ministry of Economy of Mecklenburg-Vorpommern</t>
  </si>
  <si>
    <t>We thank the proteome facility of the ZIK FunGene for supporting this work. We are grateful to Martin Fraunholz for signal peptide analyses.; This study was financially supported by the Ministry of Economy of Mecklenburg-Vorpommern (grant number 230-630.8-TIFA-356).</t>
  </si>
  <si>
    <t>10.1128/AEM.01750-10</t>
  </si>
  <si>
    <t>717WM</t>
  </si>
  <si>
    <t>WOS:000287078100015</t>
  </si>
  <si>
    <t>Rengifo-Herrera, C; Ortega-Mora, LM; Gómez-Bautista, M; García-Moreno, FT; García-Párraga, D; Castro-Urda, J; Pedraza-Díaz, S</t>
  </si>
  <si>
    <t>Rengifo-Herrera, C.; Ortega-Mora, L. M.; Gomez-Bautista, M.; Garcia-Moreno, F. T.; Garcia-Parraga, D.; Castro-Urda, J.; Pedraza-Diaz, S.</t>
  </si>
  <si>
    <t>Detection and Characterization of a Cryptosporidium Isolate from a Southern Elephant Seal (Mirounga leonina) from the Antarctic Peninsula</t>
  </si>
  <si>
    <t>PENGUINS PYGOSCELIS-PAPUA; GIARDIA-DUODENALIS; RINGED SEALS; GENETIC-CHARACTERIZATION; PHOCA-HISPIDA; SPP. OOCYSTS; GENOTYPES; INFECTION; PARASITES; WILDLIFE</t>
  </si>
  <si>
    <t>The presence of Cryptosporidium and Giardia in 221 fecal samples from different species of Antarctic pinnipeds was investigated by immunofluorescence microscopy and PCR. Cryptosporidium, a skunk-like genotype, was detected only in a southern elephant seal. Giardia was not detected. This is the first report of a Cryptosporidium sp. in Antarctic marine mammals.</t>
  </si>
  <si>
    <t>[Rengifo-Herrera, C.; Ortega-Mora, L. M.; Gomez-Bautista, M.; Pedraza-Diaz, S.] Univ Complutense Madrid, SALUVET, Dept Anim Hlth, Fac Vet Sci, E-28040 Madrid, Spain; [Garcia-Moreno, F. T.] Inspecc Gen Sanidad Def, Madrid 28047, Spain; [Castro-Urda, J.] Ctr Mil Vet Def, Serv Microbiol Higiene &amp; Sanidad Ambiental, Madrid 28024, Spain</t>
  </si>
  <si>
    <t>Complutense University of Madrid</t>
  </si>
  <si>
    <t>Pedraza-Díaz, S (corresponding author), Univ Complutense Madrid, SALUVET, Dept Anim Hlth, Fac Vet Sci, Ciudad Univ S-N, E-28040 Madrid, Spain.</t>
  </si>
  <si>
    <t>spedraza@vet.ucm.es</t>
  </si>
  <si>
    <t>Pedraza-Diaz, Susana/HGB-3199-2022; GOMEZ-BAUTISTA, MERCEDES/AAA-1315-2019; Ortega-Mora, Luis Miguel/AFT-0684-2022; Rengifo-Herrera, Claudia C/F-7621-2014; Pedraza-Diaz, Susana/F-3988-2018</t>
  </si>
  <si>
    <t>Ortega-Mora, Luis Miguel/0000-0002-4986-6783; Garcia Parraga, Daniel/0000-0002-3335-5831; Pedraza-Diaz, Susana/0000-0001-9401-6473</t>
  </si>
  <si>
    <t>Spanish Ministry of Education and Science [CGL-2004-22025-E/ANT, CGL-2005-25073-E/ANT, CTM2008-00570]</t>
  </si>
  <si>
    <t>This work was funded by the Spanish Ministry of Education and Science (CGL-2004-22025-E/ANT, CGL-2005-25073-E/ANT, and CTM2008-00570).</t>
  </si>
  <si>
    <t>10.1128/AEM.01422-10</t>
  </si>
  <si>
    <t>WOS:000287078100047</t>
  </si>
  <si>
    <t>Imai, S; Kurotani, I; Ito, S; Yamamoto, T; Yamamoto, H</t>
  </si>
  <si>
    <t>Imai, Shoji; Kurotani, Isao; Ito, Satoshi; Yamamoto, Takashi; Yamamoto, Hiroshi</t>
  </si>
  <si>
    <t>Lead and Cadmium Concentrations in Winter Rain, Fresh Snow, Rime and Glaze Collected on the Top of Mt. Kajigamori, Kochi Prefecture in Shikoku Island, Japan</t>
  </si>
  <si>
    <t>BUNSEKI KAGAKU</t>
  </si>
  <si>
    <t>Japanese</t>
  </si>
  <si>
    <t>rain; snow; rime; glaze; lead; cadmium; shikoku</t>
  </si>
  <si>
    <t>PLASMA-MASS SPECTROMETRY; ATMOSPHERIC TRANSPORT; ANTARCTIC SNOW; DEPOSITION; METALS; RECORD; ASIA; ICE</t>
  </si>
  <si>
    <t>Winter rain, fresh snow, rime and glaze samples were collected on the top of Mt. Kajigamori (ALT. 1400 m), which is the watershed protection forest of Riv. Yoshinogawa with an altitude of 1400 m, Kochi, Shikoku Island in West Japan during the winter season of 2010 (December 2009 and March 2010). Lead and cadmium in the rain, snow, rime and glaze were analyzed by graphite furnace atomic absorption spectrometry together with the ionic components (Na+, NH4+, K+, Mg2+, Ca2+, F-, Cl-, NO2-, Br-, NO3-, PO43-, SO42-) by ion chromatography, and pH, E.C. during the winter season. In the back-trajectory over Russia-Japan Sea, very low concentrations of Pb and Cd were observed in all samples. From the back-trajectory over North China and Korea, it was considered that the observed relatively high concentration of Pb in snow and rime and Cd in rain showed a possibility of long-range transportation from the East Asis region. The low concentration of lead in rime ice and fresh snow collected at Mt. Tateeboshiyama (ALT. 1299 m) in Shobara city, Hiroshima (Mt. Hibasan quasi-national park) was observed with back-trajectry over Russia-Japan Sea.</t>
  </si>
  <si>
    <t>[Imai, Shoji; Yamamoto, Takashi; Yamamoto, Hiroshi] Univ Tokushima, Div Chem, Inst Socioarts &amp; Sci, Tokushima 7708502, Japan; [Kurotani, Isao; Ito, Satoshi] Univ Tokushima, Dept Chem, Grad Sch Integrated Arts &amp; Sci, Tokushima 7708502, Japan</t>
  </si>
  <si>
    <t>Tokushima University; Tokushima University</t>
  </si>
  <si>
    <t>Imai, S (corresponding author), Univ Tokushima, Div Chem, Inst Socioarts &amp; Sci, 1-1 Minamijosanjima, Tokushima 7708502, Japan.</t>
  </si>
  <si>
    <t>Yamamoto, Hiroshi/J-1579-2014; , Takashi/H-3839-2014</t>
  </si>
  <si>
    <t>Yamamoto, Hiroshi/0000-0003-3865-8708; Imai, Shoji/0009-0001-0736-2237; , Takashi/0000-0001-9586-6584</t>
  </si>
  <si>
    <t>JAPAN SOC ANALYTICAL CHEMISTRY</t>
  </si>
  <si>
    <t>26-2 NISHIGOTANDA 1 CHOME SHINAGAWA-KU, TOKYO, 141, JAPAN</t>
  </si>
  <si>
    <t>0525-1931</t>
  </si>
  <si>
    <t>Bunseki Kagaku</t>
  </si>
  <si>
    <t>10.2116/bunsekikagaku.60.179</t>
  </si>
  <si>
    <t>Chemistry, Analytical</t>
  </si>
  <si>
    <t>727SQ</t>
  </si>
  <si>
    <t>WOS:000287822200011</t>
  </si>
  <si>
    <t>Hamelin, C; Dosso, L; Hanan, BB; Moreira, M; Kositsky, AP; Thomas, MY</t>
  </si>
  <si>
    <t>Hamelin, Cedric; Dosso, Laure; Hanan, Barry B.; Moreira, Manuel; Kositsky, Andrew P.; Thomas, Marion Y.</t>
  </si>
  <si>
    <t>Geochemical portray of the Pacific Ridge: New isotopic data and statistical techniques</t>
  </si>
  <si>
    <t>oceanic basalts; Pacific-Antarctic Ridge; mantle heterogeneity; Principal Component Analysis; Sr Nd Pb Hf isotopes</t>
  </si>
  <si>
    <t>MID-ATLANTIC RIDGE; MIDOCEAN RIDGE; HAFNIUM ISOTOPE; OCEANIC ISLANDS; ANTARCTIC RIDGE; HIGH HE-3/HE-4; MANTLE; BASALTS; HELIUM; HETEROGENEITY</t>
  </si>
  <si>
    <t>Samples collected during the PACANTARCTIC 2 cruise fill a sampling gap from 53 degrees to 41 degrees S along the Pacific Antarctic Ridge (PAR). Analysis of Sr, Nd, Pb, Hf, and He isotope compositions of these new samples is shown together with published data from 66 degrees S to 53 degrees S and from the EPR. The recent advance in analytical mass spectrometry techniques generates a spectacular increase in the number of multidimensional isotopic data for oceanic basalts. Working with such multidimensional datasets generates a new approach for the data interpretation, preferably based on statistical analysis techniques. Principal Component Analysis (PCA) is a powerful mathematical tool to study this type of datasets. The purpose of PCA is to reduce the number of dimensions by keeping only those characteristics that contribute most to its variance. Using this technique, it becomes possible to have a statistical picture of the geochemical variations along the entire Pacific Ridge from 70 degrees S to 10 degrees S. The incomplete sampling of the ridge led previously to the identification of a large-scale division of the south Pacific mantle at the latitude of Easter Island. The PCA method applied here to the completed dataset reveals a different geochemical profile. Along the Pacific Ridge, a large-scale bell-shaped variation with an extremum at about 38 degrees S of latitude is interpreted as a progressive change in the geochemical characteristics of the depleted matrix of the mantle. This Pacific Isotopic Bump (PIB) is also noticeable in the He isotopic ratio along-axis variation. The linear correlation observed between He and heavy radiogenic isotopes, together with the result of the PCA calculation, suggests that the large-scale variation is unrelated to the plume-ridge interactions in the area and should rather be attributed to the partial melting of a marble-cake assemblage. (C) 2010 Elsevier B.V. All rights reserved.</t>
  </si>
  <si>
    <t>[Hamelin, Cedric; Moreira, Manuel] CNRS, IPGP, UMR 7154, F-75252 Paris 05, France; [Hamelin, Cedric] UBO, IUEM, F-29280 Plouzane, France; [Dosso, Laure] IFREMER, CNRS, UMR 6538, F-29280 Plouzane, France; [Hanan, Barry B.] San Diego State Univ, Dept Geol Sci, San Diego, CA 92182 USA; [Kositsky, Andrew P.; Thomas, Marion Y.] CALTECH, Tecton Observ, Pasadena, CA 91125 USA</t>
  </si>
  <si>
    <t>Universite Paris Cite; Centre National de la Recherche Scientifique (CNRS); CNRS - National Institute for Earth Sciences &amp; Astronomy (INSU); Universite de Bretagne Occidentale; Institut Universitaire Europeen de la Mer (IUEM); Centre National de la Recherche Scientifique (CNRS); CNRS - National Institute for Earth Sciences &amp; Astronomy (INSU); Ifremer; Universite de Bretagne Occidentale; California State University System; San Diego State University; California Institute of Technology</t>
  </si>
  <si>
    <t>Hamelin, C (corresponding author), CNRS, IPGP, UMR 7154, 1 Rue Jussieu,Bur 345, F-75252 Paris 05, France.</t>
  </si>
  <si>
    <t>hamelin@ipgp.fr</t>
  </si>
  <si>
    <t>Hamelin, Cédric/C-6656-2009; moreira, manuel A/H-5329-2017; Thomas, Marion Yolande/HJZ-3529-2023</t>
  </si>
  <si>
    <t>Thomas, Marion Yolande/0000-0002-4335-8841; Hanan, Barry/0000-0002-8240-2200</t>
  </si>
  <si>
    <t>CNRS/INSU; NSF</t>
  </si>
  <si>
    <t>CNRS/INSU(Centre National de la Recherche Scientifique (CNRS)); NSF(National Science Foundation (NSF))</t>
  </si>
  <si>
    <t>The Pb isotope work was funded by CNRS/INSU. The Hf isotope work was supported by NSF grants to B.B. Hanan. We thank Joan Miller for technical assistance at SDSU. We acknowledge Rick Carlson for the editorial handling, Francis Albarede and an anonymous reviewer for constructive comments. Cedric Hamelin thanks the Caltech Tectonic Observatory for its hospitality during his stay in Pasadena. We gratefully acknowledge Neus Sabater for her valuable comments.</t>
  </si>
  <si>
    <t>10.1016/j.epsl.2010.12.007</t>
  </si>
  <si>
    <t>WOS:000287555800014</t>
  </si>
  <si>
    <t>Sarnthein, M; Grootes, PM; Holbourn, A; Kuhnt, W; Kühn, H</t>
  </si>
  <si>
    <t>Sarnthein, M.; Grootes, P. M.; Holbourn, A.; Kuhnt, W.; Kuehn, H.</t>
  </si>
  <si>
    <t>Tropical warming in the Timor Sea led deglacial Antarctic warming and atmospheric CO2 rise by more than 500 yr</t>
  </si>
  <si>
    <t>deglacial climates; climatic phase relationships; tropical sea surface temperature; monsoon; marine C-14 reservoir ages; Timor Sea</t>
  </si>
  <si>
    <t>LAST GLACIAL MAXIMUM; BENTHIC FORAMINIFERA; SURFACE TEMPERATURE; CLIMATE VARIABILITY; LATE PLEISTOCENE; GREENLAND SNOW; NORTH-ATLANTIC; INDIAN-OCEAN; SOUTH CHINA; C-14 AGES</t>
  </si>
  <si>
    <t>On the basis of the radiocarbon (C-14) plateau-tuning method, a new age model for Timor Sea Core MD01-2378 was established. It revealed a precise centennial-scale phasing of climate events in the ocean, cryo-, and atmosphere during the last deglacial and provides important new insights into causal linkages controlling events of global climate change. At Site MD01-2378, reservoir ages of surface waters dropped from 1600 yr prior to 20 cal ka to 250-500 yr after 18.8 cal ka. This evidence is crucial for generating a high-resolution age model for deglacial events in the Indo-Pacific Warm Pool. Sea-surface temperatures (SST) started to change near 18.8 cal ka, that is similar to 500 yr after the start of, presumably northern hemispheric, deglacial melt and sea level rise as shown by the benthic foraminiferal oxygen isotope ratio (delta O-18). However, the SST rise occurred 500-1000 yr prior to the onset of deglacial Antarctic warming and the first major rise in atmospheric carbon dioxide at about 18 ka. The increase in SST may partly reflect reduced seasonal upwelling of cold subsurface waters along the eastern margin of the Indian Ocean, which is reflected by a doubling of the thermal gradient between the sea surface and the thermocline, a halving of chlorin productivity from 19 to 18.5 cal ka, and in particular, by the strong decrease in surface water reservoir ages. Two significant increases in deglacial Timor Sea surface salinities from 19 to 18.5 and 15.5 to 14.5 cal ka, may partly reflect the deglacial increase in the distance of local river mouths, partly an inter-hemispheric millennial-scale see-saw in tropical monsoon intensity, possibly linked to a deglacial increase in the dominance of Pacific El Nino regimes over Heinrich stadial 1. (c) 2010 Elsevier B.V. All rights reserved.</t>
  </si>
  <si>
    <t>[Sarnthein, M.; Holbourn, A.; Kuhnt, W.; Kuehn, H.] Univ Kiel, Inst Geowissensch, D-24098 Kiel, Germany; [Grootes, P. M.] Univ Kiel, Leibniz Lab, D-24098 Kiel, Germany</t>
  </si>
  <si>
    <t>University of Kiel; University of Kiel</t>
  </si>
  <si>
    <t>Sarnthein, M (corresponding author), Univ Kiel, Inst Geowissensch, Olshaussenstr 40, D-24098 Kiel, Germany.</t>
  </si>
  <si>
    <t>ms@gpi.uni-kiel.de; pgrootes@leibniz.uni-kiel.de; ah@gpi.uni-kiel.de; wk@gpi.uni-kiel.de; Hartmut.Kuehn@awi.de</t>
  </si>
  <si>
    <t>Grootes, Pieter M/F-4952-2011</t>
  </si>
  <si>
    <t>Grootes, Pieter/0000-0003-4265-3168; Holbourn, Ann/0000-0002-3167-0862</t>
  </si>
  <si>
    <t>10.1016/j.epsl.2010.12.021</t>
  </si>
  <si>
    <t>724ZL</t>
  </si>
  <si>
    <t>WOS:000287614900008</t>
  </si>
  <si>
    <t>Chang, WJ; Klemm, S; Beaulieu, C; Hawari, J; Whyte, L; Ghoshal, S</t>
  </si>
  <si>
    <t>Chang, Wonjae; Klemm, Sara; Beaulieu, Chantale; Hawari, Jalal; Whyte, Lyle; Ghoshal, Subhasis</t>
  </si>
  <si>
    <t>Petroleum Hydrocarbon Biodegradation under Seasonal Freeze-Thaw Soil Temperature Regimes in Contaminated Soils from a Sub-Arctic Site</t>
  </si>
  <si>
    <t>ANTARCTIC SOILS; WATER-CONTENT; MINERALIZATION; REMEDIATION; HEXADECANE; BACTERIA; CYCLES</t>
  </si>
  <si>
    <t>Several studies have shown that biostimulation in ex situ systems such as landfarms and biopiles can facilitate remediation of petroleum hydrocarbon contaminated soils at sub-Arctic sites during summers when temperatures are above freezing. In this study, we examine the biodegradation of semivolatile (F2: C10-C16) and nonvolatile (F3: C16-C34) petroleum hydrocarbons and microbial respiration and population dynamics at post- and presummer temperatures ranging from -5 to 14 degrees C. The studies were conducted in pilot-scale tanks with soils obtained from a historically contaminated sub-Arctic site in Resolution Island (RI), Canada. In aerobic, nutrient-amended, unsaturated soils, the F2 hydrocarbons decreased by 32% during the seasonal freeze-thaw phase where soils were cooled from 2 to 5 degrees C at a freezing rate of -0.12 degrees C d(-1) and then thawed from -5 to 4 degrees C at a thawing rate of +0.16 degrees C d(-1). In the unamended (control) tank, the F2 fraction only decreased by 14% during the same period. Biodegradation of individual hydrocarbon compounds in the nutrient-amended soils was also confirmed by comparing their abundance over time to that of the conserved diesel biomarker, bicyclic sesquiterpanes (BS). During this period, microbial respiration was observed, even at subzero temperatures when unfrozen liquid water was detected during the freeze-thaw period. An increase in culturable heterotrophs and 16S rDNA copy numbers was noted during the freezing phase, and the C-14-hexadecane mineralization in soil samples obtained from the nutrient-amended tank steadily increased. Hydrocarbon degrading bacterial populations identified as Corynebacterineae- and Alkanindiges-related strains emerged during the freezing and thawing phases, respectively, indicating there were temperature-based microbial community shifts.</t>
  </si>
  <si>
    <t>[Chang, Wonjae; Ghoshal, Subhasis] McGill Univ, Dept Civil Engn, Montreal, PQ H3A 2K6, Canada; [Klemm, Sara; Whyte, Lyle] McGill Univ, Dept Nat Resource Sci, Montreal, PQ H3A 2K6, Canada; [Beaulieu, Chantale; Hawari, Jalal] NRC Biotechnol Res Inst, Montreal, PQ, Canada</t>
  </si>
  <si>
    <t>McGill University; McGill University; National Research Council Canada</t>
  </si>
  <si>
    <t>Ghoshal, S (corresponding author), McGill Univ, Dept Civil Engn, 817 Sherbrooke St W, Montreal, PQ H3A 2K6, Canada.</t>
  </si>
  <si>
    <t>subhasis.ghoshal@mcgill.ca</t>
  </si>
  <si>
    <t>Ghoshal, Subhasis/V-2848-2017</t>
  </si>
  <si>
    <t>Ghoshal, Subhasis/0000-0001-9968-6150; Chang, Wonjae/0000-0003-2573-672X</t>
  </si>
  <si>
    <t>Indian and Northern Affairs Canada</t>
  </si>
  <si>
    <t>Funding from Indian and Northern Affairs Canada and Qikiqtaaluk Environmental and the helpful comments of P. Simon (QE) and L. Spagnuolo (INAC) during the design of the study are gratefully acknowledged. The site soils were made available by QE.</t>
  </si>
  <si>
    <t>10.1021/es1022653</t>
  </si>
  <si>
    <t>711HG</t>
  </si>
  <si>
    <t>WOS:000286577100034</t>
  </si>
  <si>
    <t>Kristiansen, E; Ramlov, H; Hojrup, P; Pedersen, SA; Hagen, L; Zachariassen, KE</t>
  </si>
  <si>
    <t>Kristiansen, E.; Ramlov, H.; Hojrup, P.; Pedersen, S. A.; Hagen, L.; Zachariassen, K. E.</t>
  </si>
  <si>
    <t>Structural characteristics of a novel antifreeze protein from the longhorn beetle Rhagium inquisitor</t>
  </si>
  <si>
    <t>INSECT BIOCHEMISTRY AND MOLECULAR BIOLOGY</t>
  </si>
  <si>
    <t>Antifreeze protein; AFP; Ice-binding motif; Sequence; Insect; Beetle; Rhagium inquisitor</t>
  </si>
  <si>
    <t>SECONDARY STRUCTURE PREDICTION; ANTARCTIC NOTOTHENIOID FISH; DENDROIDES-CANADENSIS; THERMAL HYSTERESIS; ICE-BINDING; OVERWINTERING LARVAE; FREEZING RESISTANCE; TENEBRIO-MOLITOR; EVOLUTION; INSECTS</t>
  </si>
  <si>
    <t>Antifreeze proteins (AFPs) are characterized by their capacity to inhibit the growth of ice and are produced by a variety of polar fish, terrestrial arthropods and other organisms inhabiting cold environments. This capacity reflects their role as stabilizers of supercooled body fluids. The longhorn beetle Rhagium inquisitor is known to express AFPs in its body fluids. In this work we report on the primary structure and structural characteristics of a 12.8 kDa AFP from this beetle (RiAFP). It has a high capacity to evoke antifreeze activity as compared to other known insect AFPs and it is structurally unique in several aspects. In contrast to the high content of disulfide bond-formation observed in other coleopteran AFPs, RiAFP contains only a single such bond. Six internal repeat segments of a thirteen residue repeat pattern is irregularly spaced apart throughout its sequence. The central part of these repeat segments is preserved as TxTxTxT, which is effectively an expansion of the TxT ice-binding motif found in the AFPs of several known insect AFPs. (C) 2010 Elsevier Ltd. All rights reserved.</t>
  </si>
  <si>
    <t>[Kristiansen, E.; Ramlov, H.] Roskilde Univ, Dept Sci Syst &amp; Models, DK-4000 Roskilde, Denmark; [Kristiansen, E.; Pedersen, S. A.; Zachariassen, K. E.] Norwegian Univ Sci &amp; Technol NTNU, Dept Biol, Trondheim, Norway; [Hagen, L.] Norwegian Univ Sci &amp; Technol NTNU, Dept Canc Res &amp; Mol Med, Trondheim, Norway; [Hojrup, P.] Univ So Denmark, Dept Biochem &amp; Mol Biol, Odense, Denmark</t>
  </si>
  <si>
    <t>Roskilde University; Norwegian University of Science &amp; Technology (NTNU); Norwegian University of Science &amp; Technology (NTNU); University of Southern Denmark</t>
  </si>
  <si>
    <t>Kristiansen, E (corresponding author), Roskilde Univ, Dept Sci Syst &amp; Models, Univ Vej 1,POB 260, DK-4000 Roskilde, Denmark.</t>
  </si>
  <si>
    <t>erlendk@ruc.dk</t>
  </si>
  <si>
    <t>Højrup, Peter/ABG-8477-2020; Pedersen, Sindre Andre/J-6002-2014; Kristiansen, Erlend/H-8572-2016</t>
  </si>
  <si>
    <t>Pedersen, Sindre Andre/0000-0002-4786-6464; Hojrup, Peter/0000-0002-7838-6180; Ramlov, Hans/0000-0003-1113-0583; Kristiansen, Erlend/0000-0002-4383-086X</t>
  </si>
  <si>
    <t>0965-1748</t>
  </si>
  <si>
    <t>1879-0240</t>
  </si>
  <si>
    <t>INSECT BIOCHEM MOLEC</t>
  </si>
  <si>
    <t>Insect Biochem. Mol. Biol.</t>
  </si>
  <si>
    <t>10.1016/j.ibmb.2010.11.002</t>
  </si>
  <si>
    <t>717NQ</t>
  </si>
  <si>
    <t>WOS:000287055100004</t>
  </si>
  <si>
    <t>Howes, BD; Giordano, D; Boechi, L; Russo, R; Mucciacciaro, S; Ciaccio, C; Sinibaldi, F; Fittipaldi, M; Martí, MA; Estrin, DA; di Prisco, G; Coletta, M; Verde, C; Smulevich, G</t>
  </si>
  <si>
    <t>Howes, Barry D.; Giordano, Daniela; Boechi, Leonardo; Russo, Roberta; Mucciacciaro, Simona; Ciaccio, Chiara; Sinibaldi, Federica; Fittipaldi, Maria; Marti, Marcelo A.; Estrin, Dario A.; di Prisco, Guido; Coletta, Massimo; Verde, Cinzia; Smulevich, Giulietta</t>
  </si>
  <si>
    <t>The peculiar heme pocket of the 2/2 hemoglobin of cold-adapted Pseudoalteromonas haloplanktis TAC125</t>
  </si>
  <si>
    <t>JOURNAL OF BIOLOGICAL INORGANIC CHEMISTRY</t>
  </si>
  <si>
    <t>Resonance Raman; EPR; Molecular dynamics; Tyrosinate ligand; Antarctic bacterium</t>
  </si>
  <si>
    <t>RESONANCE RAMAN-SPECTROSCOPY; ELECTRON-PARAMAGNETIC RESONANCE; CYTOCHROME-C PEROXIDASE; LOW-SPIN HEME; TRUNCATED HEMOGLOBINS; HORSERADISH-PEROXIDASE; LIGAND-BINDING; MYCOBACTERIUM-TUBERCULOSIS; AXIAL COORDINATION; PROXIMAL HISTIDINE</t>
  </si>
  <si>
    <t>The genome of the cold-adapted bacterium Pseudoalteromonas haloplanktis TAC125 contains multiple genes encoding three distinct monomeric hemoglobins exhibiting a 2/2 alpha-helical fold. In the present work, one of these hemoglobins is studied by resonance Raman, electronic absorption and electronic paramagnetic resonance spectroscopies, kinetic measurements, and different bioinformatic approaches. It is the first cold-adapted bacterial hemoglobin to be characterized. The results indicate that this protein belongs to the 2/2 hemoglobin family, Group II, characterized by the presence of a tryptophanyl residue on the bottom of the heme distal pocket in position G8 and two tyrosyl residues (TyrCD1 and TyrB10). However, unlike other bacterial hemoglobins, the ferric state, in addition to the aquo hexacoordinated high-spin form, shows multiple hexacoordinated low-spin forms, where either TyrCD1 or TyrB10 can likely coordinate the iron. This is the first example in which both TyrCD1 and TyrB10 are proposed to be the residues that are alternatively involved in heme hexacoordination by endogenous ligands.</t>
  </si>
  <si>
    <t>[Howes, Barry D.; Mucciacciaro, Simona; Fittipaldi, Maria; Smulevich, Giulietta] Univ Florence, Dipartimento Chim, I-50019 Sesto Fiorentino, FI, Italy; [Fittipaldi, Maria] INSTM Consorzio Interuniv Sci &amp; Tecnol Mat, I-50019 Sesto Fiorentino, FI, Italy; [Giordano, Daniela; Russo, Roberta; di Prisco, Guido; Verde, Cinzia] CNR, Inst Prot Biochem, I-80131 Naples, Italy; [Boechi, Leonardo; Marti, Marcelo A.; Estrin, Dario A.] Univ Buenos Aires, Fac Ciencias Exactas &amp; Nat, Dept Quim Inorgan Analit &amp; Quim Fis, INQUIMAE CONICET, Buenos Aires, DF, Argentina; [Ciaccio, Chiara; Sinibaldi, Federica; Coletta, Massimo] Univ Roma Tor Vergata, Dipartimento Med Sperimentale &amp; Sci Biochim, I-00133 Rome, Italy; [Ciaccio, Chiara; Coletta, Massimo; Smulevich, Giulietta] Consorzio Interuniver Ric Chim Met Nei Sistemi Bi, I-70126 Bari, Italy</t>
  </si>
  <si>
    <t>University of Florence; Consiglio Nazionale delle Ricerche (CNR); Istituto di Biochimica delle Proteine (IBP-CNR); Consejo Nacional de Investigaciones Cientificas y Tecnicas (CONICET); University of Buenos Aires; University of Rome Tor Vergata</t>
  </si>
  <si>
    <t>Smulevich, G (corresponding author), Univ Florence, Dipartimento Chim, I-50019 Sesto Fiorentino, FI, Italy.</t>
  </si>
  <si>
    <t>giulietta.smulevich@unifi.it</t>
  </si>
  <si>
    <t>Fittipaldi, Maria/H-2509-2017; Giordano, Daniela/AFK-7772-2022; smulevich, giulietta/A-6510-2008; Estrin, Dario/AAY-7549-2020; Coletta, Massimo/N-9049-2015; Coletta, Massimiliano/GSN-5927-2022</t>
  </si>
  <si>
    <t>Fittipaldi, Maria/0000-0002-6254-2003; Giordano, Daniela/0000-0002-8891-6245; Marti, Marcelo/0000-0002-7911-9340; Smulevich, Giulietta/0000-0003-3021-8919; VERDE, Cinzia/0000-0001-6185-282X; COLETTA, Massimiliano/0000-0002-5489-9467; Estrin, Dario/0000-0002-5006-7225</t>
  </si>
  <si>
    <t>Italian Ministero dell'Istruzione, dell'Universita e della Ricerca (MIUR) [2007SFZXZ7]; rientro dei cervelli; Italian National Programme for Antarctic Research (PNRA); European Commission [ENV.2007.2.2.1.6]; ANPCyT [PICT 06-25667]; EU; University of Buenos Aires</t>
  </si>
  <si>
    <t>Italian Ministero dell'Istruzione, dell'Universita e della Ricerca (MIUR)(Ministry of Education, Universities and Research (MIUR)); rientro dei cervelli; Italian National Programme for Antarctic Research (PNRA); European Commission(European Union (EU)European Commission Joint Research Centre); ANPCyT(ANPCyT); EU(European Union (EU)); University of Buenos Aires(University of Buenos Aires)</t>
  </si>
  <si>
    <t>This work was financially supported by grants from the Italian Ministero dell'Istruzione, dell'Universita e della Ricerca (MIUR) (PRIN 2007SFZXZ7, Structure, function and evolution of heme proteins from Arctic and Antarctic marine organisms: cold adaptation mechanisms and acquisition of new functions'') to G.S., M.C. and C.V., by the research programme 'rientro dei cervelli' to M.F., and by the Italian National Programme for Antarctic Research (PNRA). It is included in the framework of the SCAR program Evolution and Biodiversity in the Antarctic (EBA), and in that of the project CAREX (Coordination Action for Research Activities on Life in Extreme Environments), European Commission FP7 call ENV.2007.2.2.1.6. Support from the ANPCyT (PICT 06-25667), the EU FP7 programme INQUIMAE-CONICET, and the University of Buenos Aires (to L.B., M.A.M. and D.A.E.) is gratefully acknowledged. The authors thank the Centre de Ressources Biologiques de l'Institut Pasteur, Paris (http://www.crbip.pasteur.fr) for supplying the P. haloplanktis CIP 108707 strain.</t>
  </si>
  <si>
    <t>0949-8257</t>
  </si>
  <si>
    <t>1432-1327</t>
  </si>
  <si>
    <t>J BIOL INORG CHEM</t>
  </si>
  <si>
    <t>J. Biol. Inorg. Chem.</t>
  </si>
  <si>
    <t>10.1007/s00775-010-0726-y</t>
  </si>
  <si>
    <t>Biochemistry &amp; Molecular Biology; Chemistry, Inorganic &amp; Nuclear</t>
  </si>
  <si>
    <t>714TP</t>
  </si>
  <si>
    <t>WOS:000286832200012</t>
  </si>
  <si>
    <t>Derzho, OG; de Young, B</t>
  </si>
  <si>
    <t>Derzho, Oleg G.; de Young, Brad</t>
  </si>
  <si>
    <t>Rotating Nonlinear Vortical Patterns on a Gamma Plane</t>
  </si>
  <si>
    <t>STUDIES IN APPLIED MATHEMATICS</t>
  </si>
  <si>
    <t>ANTARCTIC CIRCUMPOLAR WAVE; VORTEX</t>
  </si>
  <si>
    <t>Nonlinear barotropic vortical patterns on a gamma-plane are investigated analytically. The solutions describe large-scale Rossby waves rotating anticyclonically with zero circulation. The Rossby waves are predicted to rotate with a specific angular velocity. The stream function-vorticity relation is assumed to be nonlinear, which may lead to a pronounced asymmetry within the pattern. The similarity between the simulated patterns and the Antarctic Circumpolar Wave is highlighted.</t>
  </si>
  <si>
    <t>[Derzho, Oleg G.] Mem Univ Newfoundland, Dept Phys &amp; Phys Oceanog, St John, NF A1B 3X7, Canada; Russian Acad Sci, Inst Thermophys, Moscow 117901, Russia</t>
  </si>
  <si>
    <t>Memorial University Newfoundland; Russian Academy of Sciences; S.S. Kutateladze Institute of Thermophysics, Siberian Division of the Russian Academy of Sciences</t>
  </si>
  <si>
    <t>Derzho, OG (corresponding author), Mem Univ Newfoundland, Dept Phys &amp; Phys Oceanog, St John, NF A1B 3X7, Canada.</t>
  </si>
  <si>
    <t>oderzho@mun.ca</t>
  </si>
  <si>
    <t>Derzho, Oleg/A-1047-2012</t>
  </si>
  <si>
    <t>0022-2526</t>
  </si>
  <si>
    <t>1467-9590</t>
  </si>
  <si>
    <t>STUD APPL MATH</t>
  </si>
  <si>
    <t>Stud. Appl. Math.</t>
  </si>
  <si>
    <t>10.1111/j.1467-9590.2010.00502.x</t>
  </si>
  <si>
    <t>716CJ</t>
  </si>
  <si>
    <t>WOS:000286942200004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</si>
</sst>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75</v>
      </c>
      <c r="G2" t="s">
        <v>74</v>
      </c>
      <c r="H2" t="s">
        <v>74</v>
      </c>
      <c r="I2" t="s">
        <v>76</v>
      </c>
      <c r="J2" t="s">
        <v>77</v>
      </c>
      <c r="K2" t="s">
        <v>74</v>
      </c>
      <c r="L2" t="s">
        <v>74</v>
      </c>
      <c r="M2" t="s">
        <v>78</v>
      </c>
      <c r="N2" t="s">
        <v>79</v>
      </c>
      <c r="O2" t="s">
        <v>74</v>
      </c>
      <c r="P2" t="s">
        <v>74</v>
      </c>
      <c r="Q2" t="s">
        <v>74</v>
      </c>
      <c r="R2" t="s">
        <v>74</v>
      </c>
      <c r="S2" t="s">
        <v>74</v>
      </c>
      <c r="T2" t="s">
        <v>80</v>
      </c>
      <c r="U2" t="s">
        <v>81</v>
      </c>
      <c r="V2" t="s">
        <v>82</v>
      </c>
      <c r="W2" t="s">
        <v>83</v>
      </c>
      <c r="X2" t="s">
        <v>84</v>
      </c>
      <c r="Y2" t="s">
        <v>85</v>
      </c>
      <c r="Z2" t="s">
        <v>86</v>
      </c>
      <c r="AA2" t="s">
        <v>74</v>
      </c>
      <c r="AB2" t="s">
        <v>74</v>
      </c>
      <c r="AC2" t="s">
        <v>87</v>
      </c>
      <c r="AD2" t="s">
        <v>88</v>
      </c>
      <c r="AE2" t="s">
        <v>89</v>
      </c>
      <c r="AF2" t="s">
        <v>74</v>
      </c>
      <c r="AG2">
        <v>46</v>
      </c>
      <c r="AH2">
        <v>25</v>
      </c>
      <c r="AI2">
        <v>42</v>
      </c>
      <c r="AJ2">
        <v>2</v>
      </c>
      <c r="AK2">
        <v>40</v>
      </c>
      <c r="AL2" t="s">
        <v>90</v>
      </c>
      <c r="AM2" t="s">
        <v>91</v>
      </c>
      <c r="AN2" t="s">
        <v>92</v>
      </c>
      <c r="AO2" t="s">
        <v>93</v>
      </c>
      <c r="AP2" t="s">
        <v>94</v>
      </c>
      <c r="AQ2" t="s">
        <v>74</v>
      </c>
      <c r="AR2" t="s">
        <v>95</v>
      </c>
      <c r="AS2" t="s">
        <v>96</v>
      </c>
      <c r="AT2" t="s">
        <v>97</v>
      </c>
      <c r="AU2">
        <v>2011</v>
      </c>
      <c r="AV2">
        <v>115</v>
      </c>
      <c r="AW2">
        <v>8</v>
      </c>
      <c r="AX2" t="s">
        <v>74</v>
      </c>
      <c r="AY2" t="s">
        <v>74</v>
      </c>
      <c r="AZ2" t="s">
        <v>74</v>
      </c>
      <c r="BA2" t="s">
        <v>74</v>
      </c>
      <c r="BB2">
        <v>1935</v>
      </c>
      <c r="BC2">
        <v>1941</v>
      </c>
      <c r="BD2" t="s">
        <v>74</v>
      </c>
      <c r="BE2" t="s">
        <v>98</v>
      </c>
      <c r="BF2" t="str">
        <f>HYPERLINK("http://dx.doi.org/10.1016/j.rse.2011.03.016","http://dx.doi.org/10.1016/j.rse.2011.03.016")</f>
        <v>http://dx.doi.org/10.1016/j.rse.2011.03.016</v>
      </c>
      <c r="BG2" t="s">
        <v>74</v>
      </c>
      <c r="BH2" t="s">
        <v>74</v>
      </c>
      <c r="BI2">
        <v>7</v>
      </c>
      <c r="BJ2" t="s">
        <v>99</v>
      </c>
      <c r="BK2" t="s">
        <v>100</v>
      </c>
      <c r="BL2" t="s">
        <v>101</v>
      </c>
      <c r="BM2" t="s">
        <v>102</v>
      </c>
      <c r="BN2" t="s">
        <v>74</v>
      </c>
      <c r="BO2" t="s">
        <v>74</v>
      </c>
      <c r="BP2" t="s">
        <v>74</v>
      </c>
      <c r="BQ2" t="s">
        <v>74</v>
      </c>
      <c r="BR2" t="s">
        <v>103</v>
      </c>
      <c r="BS2" t="s">
        <v>104</v>
      </c>
      <c r="BT2" t="str">
        <f>HYPERLINK("https%3A%2F%2Fwww.webofscience.com%2Fwos%2Fwoscc%2Ffull-record%2FWOS:000292235400013","View Full Record in Web of Science")</f>
        <v>View Full Record in Web of Science</v>
      </c>
    </row>
    <row r="3" spans="1:72" x14ac:dyDescent="0.15">
      <c r="A3" t="s">
        <v>72</v>
      </c>
      <c r="B3" t="s">
        <v>105</v>
      </c>
      <c r="C3" t="s">
        <v>74</v>
      </c>
      <c r="D3" t="s">
        <v>74</v>
      </c>
      <c r="E3" t="s">
        <v>74</v>
      </c>
      <c r="F3" t="s">
        <v>106</v>
      </c>
      <c r="G3" t="s">
        <v>74</v>
      </c>
      <c r="H3" t="s">
        <v>74</v>
      </c>
      <c r="I3" t="s">
        <v>107</v>
      </c>
      <c r="J3" t="s">
        <v>108</v>
      </c>
      <c r="K3" t="s">
        <v>74</v>
      </c>
      <c r="L3" t="s">
        <v>74</v>
      </c>
      <c r="M3" t="s">
        <v>78</v>
      </c>
      <c r="N3" t="s">
        <v>79</v>
      </c>
      <c r="O3" t="s">
        <v>74</v>
      </c>
      <c r="P3" t="s">
        <v>74</v>
      </c>
      <c r="Q3" t="s">
        <v>74</v>
      </c>
      <c r="R3" t="s">
        <v>74</v>
      </c>
      <c r="S3" t="s">
        <v>74</v>
      </c>
      <c r="T3" t="s">
        <v>74</v>
      </c>
      <c r="U3" t="s">
        <v>109</v>
      </c>
      <c r="V3" t="s">
        <v>110</v>
      </c>
      <c r="W3" t="s">
        <v>111</v>
      </c>
      <c r="X3" t="s">
        <v>112</v>
      </c>
      <c r="Y3" t="s">
        <v>113</v>
      </c>
      <c r="Z3" t="s">
        <v>114</v>
      </c>
      <c r="AA3" t="s">
        <v>115</v>
      </c>
      <c r="AB3" t="s">
        <v>116</v>
      </c>
      <c r="AC3" t="s">
        <v>117</v>
      </c>
      <c r="AD3" t="s">
        <v>118</v>
      </c>
      <c r="AE3" t="s">
        <v>119</v>
      </c>
      <c r="AF3" t="s">
        <v>74</v>
      </c>
      <c r="AG3">
        <v>21</v>
      </c>
      <c r="AH3">
        <v>20</v>
      </c>
      <c r="AI3">
        <v>20</v>
      </c>
      <c r="AJ3">
        <v>0</v>
      </c>
      <c r="AK3">
        <v>11</v>
      </c>
      <c r="AL3" t="s">
        <v>120</v>
      </c>
      <c r="AM3" t="s">
        <v>121</v>
      </c>
      <c r="AN3" t="s">
        <v>122</v>
      </c>
      <c r="AO3" t="s">
        <v>123</v>
      </c>
      <c r="AP3" t="s">
        <v>124</v>
      </c>
      <c r="AQ3" t="s">
        <v>74</v>
      </c>
      <c r="AR3" t="s">
        <v>125</v>
      </c>
      <c r="AS3" t="s">
        <v>126</v>
      </c>
      <c r="AT3" t="s">
        <v>127</v>
      </c>
      <c r="AU3">
        <v>2011</v>
      </c>
      <c r="AV3">
        <v>38</v>
      </c>
      <c r="AW3" t="s">
        <v>74</v>
      </c>
      <c r="AX3" t="s">
        <v>74</v>
      </c>
      <c r="AY3" t="s">
        <v>74</v>
      </c>
      <c r="AZ3" t="s">
        <v>74</v>
      </c>
      <c r="BA3" t="s">
        <v>74</v>
      </c>
      <c r="BB3" t="s">
        <v>74</v>
      </c>
      <c r="BC3" t="s">
        <v>74</v>
      </c>
      <c r="BD3" t="s">
        <v>128</v>
      </c>
      <c r="BE3" t="s">
        <v>129</v>
      </c>
      <c r="BF3" t="str">
        <f>HYPERLINK("http://dx.doi.org/10.1029/2011GL048054","http://dx.doi.org/10.1029/2011GL048054")</f>
        <v>http://dx.doi.org/10.1029/2011GL048054</v>
      </c>
      <c r="BG3" t="s">
        <v>74</v>
      </c>
      <c r="BH3" t="s">
        <v>74</v>
      </c>
      <c r="BI3">
        <v>5</v>
      </c>
      <c r="BJ3" t="s">
        <v>130</v>
      </c>
      <c r="BK3" t="s">
        <v>100</v>
      </c>
      <c r="BL3" t="s">
        <v>131</v>
      </c>
      <c r="BM3" t="s">
        <v>132</v>
      </c>
      <c r="BN3" t="s">
        <v>74</v>
      </c>
      <c r="BO3" t="s">
        <v>74</v>
      </c>
      <c r="BP3" t="s">
        <v>74</v>
      </c>
      <c r="BQ3" t="s">
        <v>74</v>
      </c>
      <c r="BR3" t="s">
        <v>103</v>
      </c>
      <c r="BS3" t="s">
        <v>133</v>
      </c>
      <c r="BT3" t="str">
        <f>HYPERLINK("https%3A%2F%2Fwww.webofscience.com%2Fwos%2Fwoscc%2Ffull-record%2FWOS:000293911600002","View Full Record in Web of Science")</f>
        <v>View Full Record in Web of Science</v>
      </c>
    </row>
    <row r="4" spans="1:72" x14ac:dyDescent="0.15">
      <c r="A4" t="s">
        <v>72</v>
      </c>
      <c r="B4" t="s">
        <v>134</v>
      </c>
      <c r="C4" t="s">
        <v>74</v>
      </c>
      <c r="D4" t="s">
        <v>74</v>
      </c>
      <c r="E4" t="s">
        <v>74</v>
      </c>
      <c r="F4" t="s">
        <v>135</v>
      </c>
      <c r="G4" t="s">
        <v>74</v>
      </c>
      <c r="H4" t="s">
        <v>74</v>
      </c>
      <c r="I4" t="s">
        <v>136</v>
      </c>
      <c r="J4" t="s">
        <v>108</v>
      </c>
      <c r="K4" t="s">
        <v>74</v>
      </c>
      <c r="L4" t="s">
        <v>74</v>
      </c>
      <c r="M4" t="s">
        <v>78</v>
      </c>
      <c r="N4" t="s">
        <v>79</v>
      </c>
      <c r="O4" t="s">
        <v>74</v>
      </c>
      <c r="P4" t="s">
        <v>74</v>
      </c>
      <c r="Q4" t="s">
        <v>74</v>
      </c>
      <c r="R4" t="s">
        <v>74</v>
      </c>
      <c r="S4" t="s">
        <v>74</v>
      </c>
      <c r="T4" t="s">
        <v>74</v>
      </c>
      <c r="U4" t="s">
        <v>137</v>
      </c>
      <c r="V4" t="s">
        <v>138</v>
      </c>
      <c r="W4" t="s">
        <v>139</v>
      </c>
      <c r="X4" t="s">
        <v>140</v>
      </c>
      <c r="Y4" t="s">
        <v>141</v>
      </c>
      <c r="Z4" t="s">
        <v>142</v>
      </c>
      <c r="AA4" t="s">
        <v>143</v>
      </c>
      <c r="AB4" t="s">
        <v>144</v>
      </c>
      <c r="AC4" t="s">
        <v>145</v>
      </c>
      <c r="AD4" t="s">
        <v>146</v>
      </c>
      <c r="AE4" t="s">
        <v>147</v>
      </c>
      <c r="AF4" t="s">
        <v>74</v>
      </c>
      <c r="AG4">
        <v>34</v>
      </c>
      <c r="AH4">
        <v>22</v>
      </c>
      <c r="AI4">
        <v>25</v>
      </c>
      <c r="AJ4">
        <v>0</v>
      </c>
      <c r="AK4">
        <v>10</v>
      </c>
      <c r="AL4" t="s">
        <v>120</v>
      </c>
      <c r="AM4" t="s">
        <v>121</v>
      </c>
      <c r="AN4" t="s">
        <v>122</v>
      </c>
      <c r="AO4" t="s">
        <v>123</v>
      </c>
      <c r="AP4" t="s">
        <v>124</v>
      </c>
      <c r="AQ4" t="s">
        <v>74</v>
      </c>
      <c r="AR4" t="s">
        <v>125</v>
      </c>
      <c r="AS4" t="s">
        <v>126</v>
      </c>
      <c r="AT4" t="s">
        <v>148</v>
      </c>
      <c r="AU4">
        <v>2011</v>
      </c>
      <c r="AV4">
        <v>38</v>
      </c>
      <c r="AW4" t="s">
        <v>74</v>
      </c>
      <c r="AX4" t="s">
        <v>74</v>
      </c>
      <c r="AY4" t="s">
        <v>74</v>
      </c>
      <c r="AZ4" t="s">
        <v>74</v>
      </c>
      <c r="BA4" t="s">
        <v>74</v>
      </c>
      <c r="BB4" t="s">
        <v>74</v>
      </c>
      <c r="BC4" t="s">
        <v>74</v>
      </c>
      <c r="BD4" t="s">
        <v>149</v>
      </c>
      <c r="BE4" t="s">
        <v>150</v>
      </c>
      <c r="BF4" t="str">
        <f>HYPERLINK("http://dx.doi.org/10.1029/2011GL048086","http://dx.doi.org/10.1029/2011GL048086")</f>
        <v>http://dx.doi.org/10.1029/2011GL048086</v>
      </c>
      <c r="BG4" t="s">
        <v>74</v>
      </c>
      <c r="BH4" t="s">
        <v>74</v>
      </c>
      <c r="BI4">
        <v>6</v>
      </c>
      <c r="BJ4" t="s">
        <v>130</v>
      </c>
      <c r="BK4" t="s">
        <v>100</v>
      </c>
      <c r="BL4" t="s">
        <v>131</v>
      </c>
      <c r="BM4" t="s">
        <v>151</v>
      </c>
      <c r="BN4" t="s">
        <v>74</v>
      </c>
      <c r="BO4" t="s">
        <v>152</v>
      </c>
      <c r="BP4" t="s">
        <v>74</v>
      </c>
      <c r="BQ4" t="s">
        <v>74</v>
      </c>
      <c r="BR4" t="s">
        <v>103</v>
      </c>
      <c r="BS4" t="s">
        <v>153</v>
      </c>
      <c r="BT4" t="str">
        <f>HYPERLINK("https%3A%2F%2Fwww.webofscience.com%2Fwos%2Fwoscc%2Ffull-record%2FWOS:000293911500001","View Full Record in Web of Science")</f>
        <v>View Full Record in Web of Science</v>
      </c>
    </row>
    <row r="5" spans="1:72" x14ac:dyDescent="0.15">
      <c r="A5" t="s">
        <v>72</v>
      </c>
      <c r="B5" t="s">
        <v>154</v>
      </c>
      <c r="C5" t="s">
        <v>74</v>
      </c>
      <c r="D5" t="s">
        <v>74</v>
      </c>
      <c r="E5" t="s">
        <v>74</v>
      </c>
      <c r="F5" t="s">
        <v>155</v>
      </c>
      <c r="G5" t="s">
        <v>74</v>
      </c>
      <c r="H5" t="s">
        <v>74</v>
      </c>
      <c r="I5" t="s">
        <v>156</v>
      </c>
      <c r="J5" t="s">
        <v>157</v>
      </c>
      <c r="K5" t="s">
        <v>74</v>
      </c>
      <c r="L5" t="s">
        <v>74</v>
      </c>
      <c r="M5" t="s">
        <v>78</v>
      </c>
      <c r="N5" t="s">
        <v>79</v>
      </c>
      <c r="O5" t="s">
        <v>74</v>
      </c>
      <c r="P5" t="s">
        <v>74</v>
      </c>
      <c r="Q5" t="s">
        <v>74</v>
      </c>
      <c r="R5" t="s">
        <v>74</v>
      </c>
      <c r="S5" t="s">
        <v>74</v>
      </c>
      <c r="T5" t="s">
        <v>74</v>
      </c>
      <c r="U5" t="s">
        <v>158</v>
      </c>
      <c r="V5" t="s">
        <v>159</v>
      </c>
      <c r="W5" t="s">
        <v>160</v>
      </c>
      <c r="X5" t="s">
        <v>161</v>
      </c>
      <c r="Y5" t="s">
        <v>162</v>
      </c>
      <c r="Z5" t="s">
        <v>163</v>
      </c>
      <c r="AA5" t="s">
        <v>164</v>
      </c>
      <c r="AB5" t="s">
        <v>165</v>
      </c>
      <c r="AC5" t="s">
        <v>166</v>
      </c>
      <c r="AD5" t="s">
        <v>167</v>
      </c>
      <c r="AE5" t="s">
        <v>168</v>
      </c>
      <c r="AF5" t="s">
        <v>74</v>
      </c>
      <c r="AG5">
        <v>64</v>
      </c>
      <c r="AH5">
        <v>29</v>
      </c>
      <c r="AI5">
        <v>35</v>
      </c>
      <c r="AJ5">
        <v>0</v>
      </c>
      <c r="AK5">
        <v>17</v>
      </c>
      <c r="AL5" t="s">
        <v>169</v>
      </c>
      <c r="AM5" t="s">
        <v>170</v>
      </c>
      <c r="AN5" t="s">
        <v>171</v>
      </c>
      <c r="AO5" t="s">
        <v>172</v>
      </c>
      <c r="AP5" t="s">
        <v>74</v>
      </c>
      <c r="AQ5" t="s">
        <v>74</v>
      </c>
      <c r="AR5" t="s">
        <v>157</v>
      </c>
      <c r="AS5" t="s">
        <v>173</v>
      </c>
      <c r="AT5" t="s">
        <v>174</v>
      </c>
      <c r="AU5">
        <v>2011</v>
      </c>
      <c r="AV5">
        <v>6</v>
      </c>
      <c r="AW5">
        <v>8</v>
      </c>
      <c r="AX5" t="s">
        <v>74</v>
      </c>
      <c r="AY5" t="s">
        <v>74</v>
      </c>
      <c r="AZ5" t="s">
        <v>74</v>
      </c>
      <c r="BA5" t="s">
        <v>74</v>
      </c>
      <c r="BB5" t="s">
        <v>74</v>
      </c>
      <c r="BC5" t="s">
        <v>74</v>
      </c>
      <c r="BD5" t="s">
        <v>175</v>
      </c>
      <c r="BE5" t="s">
        <v>176</v>
      </c>
      <c r="BF5" t="str">
        <f>HYPERLINK("http://dx.doi.org/10.1371/journal.pone.0023283","http://dx.doi.org/10.1371/journal.pone.0023283")</f>
        <v>http://dx.doi.org/10.1371/journal.pone.0023283</v>
      </c>
      <c r="BG5" t="s">
        <v>74</v>
      </c>
      <c r="BH5" t="s">
        <v>74</v>
      </c>
      <c r="BI5">
        <v>9</v>
      </c>
      <c r="BJ5" t="s">
        <v>177</v>
      </c>
      <c r="BK5" t="s">
        <v>100</v>
      </c>
      <c r="BL5" t="s">
        <v>178</v>
      </c>
      <c r="BM5" t="s">
        <v>179</v>
      </c>
      <c r="BN5">
        <v>21853104</v>
      </c>
      <c r="BO5" t="s">
        <v>180</v>
      </c>
      <c r="BP5" t="s">
        <v>74</v>
      </c>
      <c r="BQ5" t="s">
        <v>74</v>
      </c>
      <c r="BR5" t="s">
        <v>103</v>
      </c>
      <c r="BS5" t="s">
        <v>181</v>
      </c>
      <c r="BT5" t="str">
        <f>HYPERLINK("https%3A%2F%2Fwww.webofscience.com%2Fwos%2Fwoscc%2Ffull-record%2FWOS:000295454200064","View Full Record in Web of Science")</f>
        <v>View Full Record in Web of Science</v>
      </c>
    </row>
    <row r="6" spans="1:72" x14ac:dyDescent="0.15">
      <c r="A6" t="s">
        <v>72</v>
      </c>
      <c r="B6" t="s">
        <v>182</v>
      </c>
      <c r="C6" t="s">
        <v>74</v>
      </c>
      <c r="D6" t="s">
        <v>74</v>
      </c>
      <c r="E6" t="s">
        <v>74</v>
      </c>
      <c r="F6" t="s">
        <v>183</v>
      </c>
      <c r="G6" t="s">
        <v>74</v>
      </c>
      <c r="H6" t="s">
        <v>74</v>
      </c>
      <c r="I6" t="s">
        <v>184</v>
      </c>
      <c r="J6" t="s">
        <v>157</v>
      </c>
      <c r="K6" t="s">
        <v>74</v>
      </c>
      <c r="L6" t="s">
        <v>74</v>
      </c>
      <c r="M6" t="s">
        <v>78</v>
      </c>
      <c r="N6" t="s">
        <v>79</v>
      </c>
      <c r="O6" t="s">
        <v>74</v>
      </c>
      <c r="P6" t="s">
        <v>74</v>
      </c>
      <c r="Q6" t="s">
        <v>74</v>
      </c>
      <c r="R6" t="s">
        <v>74</v>
      </c>
      <c r="S6" t="s">
        <v>74</v>
      </c>
      <c r="T6" t="s">
        <v>74</v>
      </c>
      <c r="U6" t="s">
        <v>185</v>
      </c>
      <c r="V6" t="s">
        <v>186</v>
      </c>
      <c r="W6" t="s">
        <v>187</v>
      </c>
      <c r="X6" t="s">
        <v>188</v>
      </c>
      <c r="Y6" t="s">
        <v>189</v>
      </c>
      <c r="Z6" t="s">
        <v>190</v>
      </c>
      <c r="AA6" t="s">
        <v>191</v>
      </c>
      <c r="AB6" t="s">
        <v>192</v>
      </c>
      <c r="AC6" t="s">
        <v>193</v>
      </c>
      <c r="AD6" t="s">
        <v>194</v>
      </c>
      <c r="AE6" t="s">
        <v>195</v>
      </c>
      <c r="AF6" t="s">
        <v>74</v>
      </c>
      <c r="AG6">
        <v>53</v>
      </c>
      <c r="AH6">
        <v>35</v>
      </c>
      <c r="AI6">
        <v>44</v>
      </c>
      <c r="AJ6">
        <v>2</v>
      </c>
      <c r="AK6">
        <v>54</v>
      </c>
      <c r="AL6" t="s">
        <v>169</v>
      </c>
      <c r="AM6" t="s">
        <v>170</v>
      </c>
      <c r="AN6" t="s">
        <v>171</v>
      </c>
      <c r="AO6" t="s">
        <v>172</v>
      </c>
      <c r="AP6" t="s">
        <v>74</v>
      </c>
      <c r="AQ6" t="s">
        <v>74</v>
      </c>
      <c r="AR6" t="s">
        <v>157</v>
      </c>
      <c r="AS6" t="s">
        <v>173</v>
      </c>
      <c r="AT6" t="s">
        <v>174</v>
      </c>
      <c r="AU6">
        <v>2011</v>
      </c>
      <c r="AV6">
        <v>6</v>
      </c>
      <c r="AW6">
        <v>8</v>
      </c>
      <c r="AX6" t="s">
        <v>74</v>
      </c>
      <c r="AY6" t="s">
        <v>74</v>
      </c>
      <c r="AZ6" t="s">
        <v>74</v>
      </c>
      <c r="BA6" t="s">
        <v>74</v>
      </c>
      <c r="BB6" t="s">
        <v>74</v>
      </c>
      <c r="BC6" t="s">
        <v>74</v>
      </c>
      <c r="BD6" t="s">
        <v>196</v>
      </c>
      <c r="BE6" t="s">
        <v>197</v>
      </c>
      <c r="BF6" t="str">
        <f>HYPERLINK("http://dx.doi.org/10.1371/journal.pone.0023166","http://dx.doi.org/10.1371/journal.pone.0023166")</f>
        <v>http://dx.doi.org/10.1371/journal.pone.0023166</v>
      </c>
      <c r="BG6" t="s">
        <v>74</v>
      </c>
      <c r="BH6" t="s">
        <v>74</v>
      </c>
      <c r="BI6">
        <v>10</v>
      </c>
      <c r="BJ6" t="s">
        <v>177</v>
      </c>
      <c r="BK6" t="s">
        <v>100</v>
      </c>
      <c r="BL6" t="s">
        <v>178</v>
      </c>
      <c r="BM6" t="s">
        <v>179</v>
      </c>
      <c r="BN6">
        <v>21853081</v>
      </c>
      <c r="BO6" t="s">
        <v>198</v>
      </c>
      <c r="BP6" t="s">
        <v>74</v>
      </c>
      <c r="BQ6" t="s">
        <v>74</v>
      </c>
      <c r="BR6" t="s">
        <v>103</v>
      </c>
      <c r="BS6" t="s">
        <v>199</v>
      </c>
      <c r="BT6" t="str">
        <f>HYPERLINK("https%3A%2F%2Fwww.webofscience.com%2Fwos%2Fwoscc%2Ffull-record%2FWOS:000295454200048","View Full Record in Web of Science")</f>
        <v>View Full Record in Web of Science</v>
      </c>
    </row>
    <row r="7" spans="1:72" x14ac:dyDescent="0.15">
      <c r="A7" t="s">
        <v>72</v>
      </c>
      <c r="B7" t="s">
        <v>200</v>
      </c>
      <c r="C7" t="s">
        <v>74</v>
      </c>
      <c r="D7" t="s">
        <v>74</v>
      </c>
      <c r="E7" t="s">
        <v>74</v>
      </c>
      <c r="F7" t="s">
        <v>201</v>
      </c>
      <c r="G7" t="s">
        <v>74</v>
      </c>
      <c r="H7" t="s">
        <v>74</v>
      </c>
      <c r="I7" t="s">
        <v>202</v>
      </c>
      <c r="J7" t="s">
        <v>203</v>
      </c>
      <c r="K7" t="s">
        <v>74</v>
      </c>
      <c r="L7" t="s">
        <v>74</v>
      </c>
      <c r="M7" t="s">
        <v>78</v>
      </c>
      <c r="N7" t="s">
        <v>79</v>
      </c>
      <c r="O7" t="s">
        <v>74</v>
      </c>
      <c r="P7" t="s">
        <v>74</v>
      </c>
      <c r="Q7" t="s">
        <v>74</v>
      </c>
      <c r="R7" t="s">
        <v>74</v>
      </c>
      <c r="S7" t="s">
        <v>74</v>
      </c>
      <c r="T7" t="s">
        <v>204</v>
      </c>
      <c r="U7" t="s">
        <v>205</v>
      </c>
      <c r="V7" t="s">
        <v>206</v>
      </c>
      <c r="W7" t="s">
        <v>207</v>
      </c>
      <c r="X7" t="s">
        <v>208</v>
      </c>
      <c r="Y7" t="s">
        <v>209</v>
      </c>
      <c r="Z7" t="s">
        <v>210</v>
      </c>
      <c r="AA7" t="s">
        <v>211</v>
      </c>
      <c r="AB7" t="s">
        <v>212</v>
      </c>
      <c r="AC7" t="s">
        <v>213</v>
      </c>
      <c r="AD7" t="s">
        <v>214</v>
      </c>
      <c r="AE7" t="s">
        <v>215</v>
      </c>
      <c r="AF7" t="s">
        <v>74</v>
      </c>
      <c r="AG7">
        <v>64</v>
      </c>
      <c r="AH7">
        <v>37</v>
      </c>
      <c r="AI7">
        <v>38</v>
      </c>
      <c r="AJ7">
        <v>0</v>
      </c>
      <c r="AK7">
        <v>27</v>
      </c>
      <c r="AL7" t="s">
        <v>216</v>
      </c>
      <c r="AM7" t="s">
        <v>121</v>
      </c>
      <c r="AN7" t="s">
        <v>217</v>
      </c>
      <c r="AO7" t="s">
        <v>218</v>
      </c>
      <c r="AP7" t="s">
        <v>219</v>
      </c>
      <c r="AQ7" t="s">
        <v>74</v>
      </c>
      <c r="AR7" t="s">
        <v>220</v>
      </c>
      <c r="AS7" t="s">
        <v>221</v>
      </c>
      <c r="AT7" t="s">
        <v>174</v>
      </c>
      <c r="AU7">
        <v>2011</v>
      </c>
      <c r="AV7">
        <v>59</v>
      </c>
      <c r="AW7">
        <v>15</v>
      </c>
      <c r="AX7" t="s">
        <v>74</v>
      </c>
      <c r="AY7" t="s">
        <v>74</v>
      </c>
      <c r="AZ7" t="s">
        <v>74</v>
      </c>
      <c r="BA7" t="s">
        <v>74</v>
      </c>
      <c r="BB7">
        <v>8423</v>
      </c>
      <c r="BC7">
        <v>8434</v>
      </c>
      <c r="BD7" t="s">
        <v>74</v>
      </c>
      <c r="BE7" t="s">
        <v>222</v>
      </c>
      <c r="BF7" t="str">
        <f>HYPERLINK("http://dx.doi.org/10.1021/jf201871w","http://dx.doi.org/10.1021/jf201871w")</f>
        <v>http://dx.doi.org/10.1021/jf201871w</v>
      </c>
      <c r="BG7" t="s">
        <v>74</v>
      </c>
      <c r="BH7" t="s">
        <v>74</v>
      </c>
      <c r="BI7">
        <v>12</v>
      </c>
      <c r="BJ7" t="s">
        <v>223</v>
      </c>
      <c r="BK7" t="s">
        <v>100</v>
      </c>
      <c r="BL7" t="s">
        <v>224</v>
      </c>
      <c r="BM7" t="s">
        <v>225</v>
      </c>
      <c r="BN7">
        <v>21707030</v>
      </c>
      <c r="BO7" t="s">
        <v>74</v>
      </c>
      <c r="BP7" t="s">
        <v>74</v>
      </c>
      <c r="BQ7" t="s">
        <v>74</v>
      </c>
      <c r="BR7" t="s">
        <v>103</v>
      </c>
      <c r="BS7" t="s">
        <v>226</v>
      </c>
      <c r="BT7" t="str">
        <f>HYPERLINK("https%3A%2F%2Fwww.webofscience.com%2Fwos%2Fwoscc%2Ffull-record%2FWOS:000293355000048","View Full Record in Web of Science")</f>
        <v>View Full Record in Web of Science</v>
      </c>
    </row>
    <row r="8" spans="1:72" x14ac:dyDescent="0.15">
      <c r="A8" t="s">
        <v>72</v>
      </c>
      <c r="B8" t="s">
        <v>227</v>
      </c>
      <c r="C8" t="s">
        <v>74</v>
      </c>
      <c r="D8" t="s">
        <v>74</v>
      </c>
      <c r="E8" t="s">
        <v>74</v>
      </c>
      <c r="F8" t="s">
        <v>228</v>
      </c>
      <c r="G8" t="s">
        <v>74</v>
      </c>
      <c r="H8" t="s">
        <v>74</v>
      </c>
      <c r="I8" t="s">
        <v>229</v>
      </c>
      <c r="J8" t="s">
        <v>230</v>
      </c>
      <c r="K8" t="s">
        <v>74</v>
      </c>
      <c r="L8" t="s">
        <v>74</v>
      </c>
      <c r="M8" t="s">
        <v>78</v>
      </c>
      <c r="N8" t="s">
        <v>79</v>
      </c>
      <c r="O8" t="s">
        <v>74</v>
      </c>
      <c r="P8" t="s">
        <v>74</v>
      </c>
      <c r="Q8" t="s">
        <v>74</v>
      </c>
      <c r="R8" t="s">
        <v>74</v>
      </c>
      <c r="S8" t="s">
        <v>74</v>
      </c>
      <c r="T8" t="s">
        <v>74</v>
      </c>
      <c r="U8" t="s">
        <v>231</v>
      </c>
      <c r="V8" t="s">
        <v>232</v>
      </c>
      <c r="W8" t="s">
        <v>233</v>
      </c>
      <c r="X8" t="s">
        <v>234</v>
      </c>
      <c r="Y8" t="s">
        <v>235</v>
      </c>
      <c r="Z8" t="s">
        <v>236</v>
      </c>
      <c r="AA8" t="s">
        <v>237</v>
      </c>
      <c r="AB8" t="s">
        <v>238</v>
      </c>
      <c r="AC8" t="s">
        <v>239</v>
      </c>
      <c r="AD8" t="s">
        <v>240</v>
      </c>
      <c r="AE8" t="s">
        <v>241</v>
      </c>
      <c r="AF8" t="s">
        <v>74</v>
      </c>
      <c r="AG8">
        <v>66</v>
      </c>
      <c r="AH8">
        <v>190</v>
      </c>
      <c r="AI8">
        <v>201</v>
      </c>
      <c r="AJ8">
        <v>0</v>
      </c>
      <c r="AK8">
        <v>46</v>
      </c>
      <c r="AL8" t="s">
        <v>120</v>
      </c>
      <c r="AM8" t="s">
        <v>121</v>
      </c>
      <c r="AN8" t="s">
        <v>122</v>
      </c>
      <c r="AO8" t="s">
        <v>242</v>
      </c>
      <c r="AP8" t="s">
        <v>243</v>
      </c>
      <c r="AQ8" t="s">
        <v>74</v>
      </c>
      <c r="AR8" t="s">
        <v>244</v>
      </c>
      <c r="AS8" t="s">
        <v>245</v>
      </c>
      <c r="AT8" t="s">
        <v>174</v>
      </c>
      <c r="AU8">
        <v>2011</v>
      </c>
      <c r="AV8">
        <v>116</v>
      </c>
      <c r="AW8" t="s">
        <v>74</v>
      </c>
      <c r="AX8" t="s">
        <v>74</v>
      </c>
      <c r="AY8" t="s">
        <v>74</v>
      </c>
      <c r="AZ8" t="s">
        <v>74</v>
      </c>
      <c r="BA8" t="s">
        <v>74</v>
      </c>
      <c r="BB8" t="s">
        <v>74</v>
      </c>
      <c r="BC8" t="s">
        <v>74</v>
      </c>
      <c r="BD8" t="s">
        <v>246</v>
      </c>
      <c r="BE8" t="s">
        <v>247</v>
      </c>
      <c r="BF8" t="str">
        <f>HYPERLINK("http://dx.doi.org/10.1029/2011JD015681","http://dx.doi.org/10.1029/2011JD015681")</f>
        <v>http://dx.doi.org/10.1029/2011JD015681</v>
      </c>
      <c r="BG8" t="s">
        <v>74</v>
      </c>
      <c r="BH8" t="s">
        <v>74</v>
      </c>
      <c r="BI8">
        <v>14</v>
      </c>
      <c r="BJ8" t="s">
        <v>248</v>
      </c>
      <c r="BK8" t="s">
        <v>100</v>
      </c>
      <c r="BL8" t="s">
        <v>248</v>
      </c>
      <c r="BM8" t="s">
        <v>249</v>
      </c>
      <c r="BN8" t="s">
        <v>74</v>
      </c>
      <c r="BO8" t="s">
        <v>74</v>
      </c>
      <c r="BP8" t="s">
        <v>74</v>
      </c>
      <c r="BQ8" t="s">
        <v>74</v>
      </c>
      <c r="BR8" t="s">
        <v>103</v>
      </c>
      <c r="BS8" t="s">
        <v>250</v>
      </c>
      <c r="BT8" t="str">
        <f>HYPERLINK("https%3A%2F%2Fwww.webofscience.com%2Fwos%2Fwoscc%2Ffull-record%2FWOS:000293906700005","View Full Record in Web of Science")</f>
        <v>View Full Record in Web of Science</v>
      </c>
    </row>
    <row r="9" spans="1:72" x14ac:dyDescent="0.15">
      <c r="A9" t="s">
        <v>72</v>
      </c>
      <c r="B9" t="s">
        <v>251</v>
      </c>
      <c r="C9" t="s">
        <v>74</v>
      </c>
      <c r="D9" t="s">
        <v>74</v>
      </c>
      <c r="E9" t="s">
        <v>74</v>
      </c>
      <c r="F9" t="s">
        <v>252</v>
      </c>
      <c r="G9" t="s">
        <v>74</v>
      </c>
      <c r="H9" t="s">
        <v>74</v>
      </c>
      <c r="I9" t="s">
        <v>253</v>
      </c>
      <c r="J9" t="s">
        <v>254</v>
      </c>
      <c r="K9" t="s">
        <v>74</v>
      </c>
      <c r="L9" t="s">
        <v>74</v>
      </c>
      <c r="M9" t="s">
        <v>78</v>
      </c>
      <c r="N9" t="s">
        <v>79</v>
      </c>
      <c r="O9" t="s">
        <v>74</v>
      </c>
      <c r="P9" t="s">
        <v>74</v>
      </c>
      <c r="Q9" t="s">
        <v>74</v>
      </c>
      <c r="R9" t="s">
        <v>74</v>
      </c>
      <c r="S9" t="s">
        <v>74</v>
      </c>
      <c r="T9" t="s">
        <v>74</v>
      </c>
      <c r="U9" t="s">
        <v>255</v>
      </c>
      <c r="V9" t="s">
        <v>256</v>
      </c>
      <c r="W9" t="s">
        <v>257</v>
      </c>
      <c r="X9" t="s">
        <v>258</v>
      </c>
      <c r="Y9" t="s">
        <v>259</v>
      </c>
      <c r="Z9" t="s">
        <v>260</v>
      </c>
      <c r="AA9" t="s">
        <v>74</v>
      </c>
      <c r="AB9" t="s">
        <v>261</v>
      </c>
      <c r="AC9" t="s">
        <v>262</v>
      </c>
      <c r="AD9" t="s">
        <v>263</v>
      </c>
      <c r="AE9" t="s">
        <v>264</v>
      </c>
      <c r="AF9" t="s">
        <v>74</v>
      </c>
      <c r="AG9">
        <v>44</v>
      </c>
      <c r="AH9">
        <v>39</v>
      </c>
      <c r="AI9">
        <v>45</v>
      </c>
      <c r="AJ9">
        <v>1</v>
      </c>
      <c r="AK9">
        <v>32</v>
      </c>
      <c r="AL9" t="s">
        <v>120</v>
      </c>
      <c r="AM9" t="s">
        <v>121</v>
      </c>
      <c r="AN9" t="s">
        <v>122</v>
      </c>
      <c r="AO9" t="s">
        <v>265</v>
      </c>
      <c r="AP9" t="s">
        <v>266</v>
      </c>
      <c r="AQ9" t="s">
        <v>74</v>
      </c>
      <c r="AR9" t="s">
        <v>267</v>
      </c>
      <c r="AS9" t="s">
        <v>268</v>
      </c>
      <c r="AT9" t="s">
        <v>174</v>
      </c>
      <c r="AU9">
        <v>2011</v>
      </c>
      <c r="AV9">
        <v>116</v>
      </c>
      <c r="AW9" t="s">
        <v>74</v>
      </c>
      <c r="AX9" t="s">
        <v>74</v>
      </c>
      <c r="AY9" t="s">
        <v>74</v>
      </c>
      <c r="AZ9" t="s">
        <v>74</v>
      </c>
      <c r="BA9" t="s">
        <v>74</v>
      </c>
      <c r="BB9" t="s">
        <v>74</v>
      </c>
      <c r="BC9" t="s">
        <v>74</v>
      </c>
      <c r="BD9" t="s">
        <v>269</v>
      </c>
      <c r="BE9" t="s">
        <v>270</v>
      </c>
      <c r="BF9" t="str">
        <f>HYPERLINK("http://dx.doi.org/10.1029/2010JC006757","http://dx.doi.org/10.1029/2010JC006757")</f>
        <v>http://dx.doi.org/10.1029/2010JC006757</v>
      </c>
      <c r="BG9" t="s">
        <v>74</v>
      </c>
      <c r="BH9" t="s">
        <v>74</v>
      </c>
      <c r="BI9">
        <v>17</v>
      </c>
      <c r="BJ9" t="s">
        <v>271</v>
      </c>
      <c r="BK9" t="s">
        <v>100</v>
      </c>
      <c r="BL9" t="s">
        <v>271</v>
      </c>
      <c r="BM9" t="s">
        <v>272</v>
      </c>
      <c r="BN9" t="s">
        <v>74</v>
      </c>
      <c r="BO9" t="s">
        <v>273</v>
      </c>
      <c r="BP9" t="s">
        <v>74</v>
      </c>
      <c r="BQ9" t="s">
        <v>74</v>
      </c>
      <c r="BR9" t="s">
        <v>103</v>
      </c>
      <c r="BS9" t="s">
        <v>274</v>
      </c>
      <c r="BT9" t="str">
        <f>HYPERLINK("https%3A%2F%2Fwww.webofscience.com%2Fwos%2Fwoscc%2Ffull-record%2FWOS:000293922500002","View Full Record in Web of Science")</f>
        <v>View Full Record in Web of Science</v>
      </c>
    </row>
    <row r="10" spans="1:72" x14ac:dyDescent="0.15">
      <c r="A10" t="s">
        <v>72</v>
      </c>
      <c r="B10" t="s">
        <v>275</v>
      </c>
      <c r="C10" t="s">
        <v>74</v>
      </c>
      <c r="D10" t="s">
        <v>74</v>
      </c>
      <c r="E10" t="s">
        <v>74</v>
      </c>
      <c r="F10" t="s">
        <v>276</v>
      </c>
      <c r="G10" t="s">
        <v>74</v>
      </c>
      <c r="H10" t="s">
        <v>74</v>
      </c>
      <c r="I10" t="s">
        <v>277</v>
      </c>
      <c r="J10" t="s">
        <v>157</v>
      </c>
      <c r="K10" t="s">
        <v>74</v>
      </c>
      <c r="L10" t="s">
        <v>74</v>
      </c>
      <c r="M10" t="s">
        <v>78</v>
      </c>
      <c r="N10" t="s">
        <v>278</v>
      </c>
      <c r="O10" t="s">
        <v>74</v>
      </c>
      <c r="P10" t="s">
        <v>74</v>
      </c>
      <c r="Q10" t="s">
        <v>74</v>
      </c>
      <c r="R10" t="s">
        <v>74</v>
      </c>
      <c r="S10" t="s">
        <v>74</v>
      </c>
      <c r="T10" t="s">
        <v>74</v>
      </c>
      <c r="U10" t="s">
        <v>279</v>
      </c>
      <c r="V10" t="s">
        <v>280</v>
      </c>
      <c r="W10" t="s">
        <v>281</v>
      </c>
      <c r="X10" t="s">
        <v>282</v>
      </c>
      <c r="Y10" t="s">
        <v>283</v>
      </c>
      <c r="Z10" t="s">
        <v>284</v>
      </c>
      <c r="AA10" t="s">
        <v>285</v>
      </c>
      <c r="AB10" t="s">
        <v>286</v>
      </c>
      <c r="AC10" t="s">
        <v>287</v>
      </c>
      <c r="AD10" t="s">
        <v>288</v>
      </c>
      <c r="AE10" t="s">
        <v>289</v>
      </c>
      <c r="AF10" t="s">
        <v>74</v>
      </c>
      <c r="AG10">
        <v>192</v>
      </c>
      <c r="AH10">
        <v>77</v>
      </c>
      <c r="AI10">
        <v>82</v>
      </c>
      <c r="AJ10">
        <v>0</v>
      </c>
      <c r="AK10">
        <v>31</v>
      </c>
      <c r="AL10" t="s">
        <v>169</v>
      </c>
      <c r="AM10" t="s">
        <v>170</v>
      </c>
      <c r="AN10" t="s">
        <v>171</v>
      </c>
      <c r="AO10" t="s">
        <v>172</v>
      </c>
      <c r="AP10" t="s">
        <v>74</v>
      </c>
      <c r="AQ10" t="s">
        <v>74</v>
      </c>
      <c r="AR10" t="s">
        <v>157</v>
      </c>
      <c r="AS10" t="s">
        <v>173</v>
      </c>
      <c r="AT10" t="s">
        <v>174</v>
      </c>
      <c r="AU10">
        <v>2011</v>
      </c>
      <c r="AV10">
        <v>6</v>
      </c>
      <c r="AW10">
        <v>8</v>
      </c>
      <c r="AX10" t="s">
        <v>74</v>
      </c>
      <c r="AY10" t="s">
        <v>74</v>
      </c>
      <c r="AZ10" t="s">
        <v>74</v>
      </c>
      <c r="BA10" t="s">
        <v>74</v>
      </c>
      <c r="BB10" t="s">
        <v>74</v>
      </c>
      <c r="BC10" t="s">
        <v>74</v>
      </c>
      <c r="BD10" t="s">
        <v>290</v>
      </c>
      <c r="BE10" t="s">
        <v>291</v>
      </c>
      <c r="BF10" t="str">
        <f>HYPERLINK("http://dx.doi.org/10.1371/journal.pone.0022466","http://dx.doi.org/10.1371/journal.pone.0022466")</f>
        <v>http://dx.doi.org/10.1371/journal.pone.0022466</v>
      </c>
      <c r="BG10" t="s">
        <v>74</v>
      </c>
      <c r="BH10" t="s">
        <v>74</v>
      </c>
      <c r="BI10">
        <v>13</v>
      </c>
      <c r="BJ10" t="s">
        <v>177</v>
      </c>
      <c r="BK10" t="s">
        <v>100</v>
      </c>
      <c r="BL10" t="s">
        <v>178</v>
      </c>
      <c r="BM10" t="s">
        <v>179</v>
      </c>
      <c r="BN10">
        <v>21853034</v>
      </c>
      <c r="BO10" t="s">
        <v>180</v>
      </c>
      <c r="BP10" t="s">
        <v>74</v>
      </c>
      <c r="BQ10" t="s">
        <v>74</v>
      </c>
      <c r="BR10" t="s">
        <v>103</v>
      </c>
      <c r="BS10" t="s">
        <v>292</v>
      </c>
      <c r="BT10" t="str">
        <f>HYPERLINK("https%3A%2F%2Fwww.webofscience.com%2Fwos%2Fwoscc%2Ffull-record%2FWOS:000295454200011","View Full Record in Web of Science")</f>
        <v>View Full Record in Web of Science</v>
      </c>
    </row>
    <row r="11" spans="1:72" x14ac:dyDescent="0.15">
      <c r="A11" t="s">
        <v>72</v>
      </c>
      <c r="B11" t="s">
        <v>293</v>
      </c>
      <c r="C11" t="s">
        <v>74</v>
      </c>
      <c r="D11" t="s">
        <v>74</v>
      </c>
      <c r="E11" t="s">
        <v>74</v>
      </c>
      <c r="F11" t="s">
        <v>294</v>
      </c>
      <c r="G11" t="s">
        <v>74</v>
      </c>
      <c r="H11" t="s">
        <v>74</v>
      </c>
      <c r="I11" t="s">
        <v>295</v>
      </c>
      <c r="J11" t="s">
        <v>296</v>
      </c>
      <c r="K11" t="s">
        <v>74</v>
      </c>
      <c r="L11" t="s">
        <v>74</v>
      </c>
      <c r="M11" t="s">
        <v>78</v>
      </c>
      <c r="N11" t="s">
        <v>79</v>
      </c>
      <c r="O11" t="s">
        <v>74</v>
      </c>
      <c r="P11" t="s">
        <v>74</v>
      </c>
      <c r="Q11" t="s">
        <v>74</v>
      </c>
      <c r="R11" t="s">
        <v>74</v>
      </c>
      <c r="S11" t="s">
        <v>74</v>
      </c>
      <c r="T11" t="s">
        <v>297</v>
      </c>
      <c r="U11" t="s">
        <v>298</v>
      </c>
      <c r="V11" t="s">
        <v>299</v>
      </c>
      <c r="W11" t="s">
        <v>300</v>
      </c>
      <c r="X11" t="s">
        <v>301</v>
      </c>
      <c r="Y11" t="s">
        <v>302</v>
      </c>
      <c r="Z11" t="s">
        <v>303</v>
      </c>
      <c r="AA11" t="s">
        <v>74</v>
      </c>
      <c r="AB11" t="s">
        <v>304</v>
      </c>
      <c r="AC11" t="s">
        <v>305</v>
      </c>
      <c r="AD11" t="s">
        <v>306</v>
      </c>
      <c r="AE11" t="s">
        <v>307</v>
      </c>
      <c r="AF11" t="s">
        <v>74</v>
      </c>
      <c r="AG11">
        <v>27</v>
      </c>
      <c r="AH11">
        <v>44</v>
      </c>
      <c r="AI11">
        <v>49</v>
      </c>
      <c r="AJ11">
        <v>0</v>
      </c>
      <c r="AK11">
        <v>36</v>
      </c>
      <c r="AL11" t="s">
        <v>308</v>
      </c>
      <c r="AM11" t="s">
        <v>309</v>
      </c>
      <c r="AN11" t="s">
        <v>310</v>
      </c>
      <c r="AO11" t="s">
        <v>311</v>
      </c>
      <c r="AP11" t="s">
        <v>312</v>
      </c>
      <c r="AQ11" t="s">
        <v>74</v>
      </c>
      <c r="AR11" t="s">
        <v>296</v>
      </c>
      <c r="AS11" t="s">
        <v>313</v>
      </c>
      <c r="AT11" t="s">
        <v>314</v>
      </c>
      <c r="AU11">
        <v>2011</v>
      </c>
      <c r="AV11">
        <v>318</v>
      </c>
      <c r="AW11" t="s">
        <v>315</v>
      </c>
      <c r="AX11" t="s">
        <v>74</v>
      </c>
      <c r="AY11" t="s">
        <v>74</v>
      </c>
      <c r="AZ11" t="s">
        <v>74</v>
      </c>
      <c r="BA11" t="s">
        <v>74</v>
      </c>
      <c r="BB11">
        <v>335</v>
      </c>
      <c r="BC11">
        <v>342</v>
      </c>
      <c r="BD11" t="s">
        <v>74</v>
      </c>
      <c r="BE11" t="s">
        <v>316</v>
      </c>
      <c r="BF11" t="str">
        <f>HYPERLINK("http://dx.doi.org/10.1016/j.aquaculture.2011.05.042","http://dx.doi.org/10.1016/j.aquaculture.2011.05.042")</f>
        <v>http://dx.doi.org/10.1016/j.aquaculture.2011.05.042</v>
      </c>
      <c r="BG11" t="s">
        <v>74</v>
      </c>
      <c r="BH11" t="s">
        <v>74</v>
      </c>
      <c r="BI11">
        <v>8</v>
      </c>
      <c r="BJ11" t="s">
        <v>317</v>
      </c>
      <c r="BK11" t="s">
        <v>100</v>
      </c>
      <c r="BL11" t="s">
        <v>317</v>
      </c>
      <c r="BM11" t="s">
        <v>318</v>
      </c>
      <c r="BN11" t="s">
        <v>74</v>
      </c>
      <c r="BO11" t="s">
        <v>74</v>
      </c>
      <c r="BP11" t="s">
        <v>74</v>
      </c>
      <c r="BQ11" t="s">
        <v>74</v>
      </c>
      <c r="BR11" t="s">
        <v>103</v>
      </c>
      <c r="BS11" t="s">
        <v>319</v>
      </c>
      <c r="BT11" t="str">
        <f>HYPERLINK("https%3A%2F%2Fwww.webofscience.com%2Fwos%2Fwoscc%2Ffull-record%2FWOS:000293264200012","View Full Record in Web of Science")</f>
        <v>View Full Record in Web of Science</v>
      </c>
    </row>
    <row r="12" spans="1:72" x14ac:dyDescent="0.15">
      <c r="A12" t="s">
        <v>72</v>
      </c>
      <c r="B12" t="s">
        <v>320</v>
      </c>
      <c r="C12" t="s">
        <v>74</v>
      </c>
      <c r="D12" t="s">
        <v>74</v>
      </c>
      <c r="E12" t="s">
        <v>74</v>
      </c>
      <c r="F12" t="s">
        <v>321</v>
      </c>
      <c r="G12" t="s">
        <v>74</v>
      </c>
      <c r="H12" t="s">
        <v>74</v>
      </c>
      <c r="I12" t="s">
        <v>322</v>
      </c>
      <c r="J12" t="s">
        <v>323</v>
      </c>
      <c r="K12" t="s">
        <v>74</v>
      </c>
      <c r="L12" t="s">
        <v>74</v>
      </c>
      <c r="M12" t="s">
        <v>78</v>
      </c>
      <c r="N12" t="s">
        <v>79</v>
      </c>
      <c r="O12" t="s">
        <v>74</v>
      </c>
      <c r="P12" t="s">
        <v>74</v>
      </c>
      <c r="Q12" t="s">
        <v>74</v>
      </c>
      <c r="R12" t="s">
        <v>74</v>
      </c>
      <c r="S12" t="s">
        <v>74</v>
      </c>
      <c r="T12" t="s">
        <v>74</v>
      </c>
      <c r="U12" t="s">
        <v>324</v>
      </c>
      <c r="V12" t="s">
        <v>325</v>
      </c>
      <c r="W12" t="s">
        <v>326</v>
      </c>
      <c r="X12" t="s">
        <v>327</v>
      </c>
      <c r="Y12" t="s">
        <v>328</v>
      </c>
      <c r="Z12" t="s">
        <v>329</v>
      </c>
      <c r="AA12" t="s">
        <v>330</v>
      </c>
      <c r="AB12" t="s">
        <v>331</v>
      </c>
      <c r="AC12" t="s">
        <v>332</v>
      </c>
      <c r="AD12" t="s">
        <v>333</v>
      </c>
      <c r="AE12" t="s">
        <v>334</v>
      </c>
      <c r="AF12" t="s">
        <v>74</v>
      </c>
      <c r="AG12">
        <v>50</v>
      </c>
      <c r="AH12">
        <v>43</v>
      </c>
      <c r="AI12">
        <v>44</v>
      </c>
      <c r="AJ12">
        <v>1</v>
      </c>
      <c r="AK12">
        <v>39</v>
      </c>
      <c r="AL12" t="s">
        <v>120</v>
      </c>
      <c r="AM12" t="s">
        <v>121</v>
      </c>
      <c r="AN12" t="s">
        <v>122</v>
      </c>
      <c r="AO12" t="s">
        <v>335</v>
      </c>
      <c r="AP12" t="s">
        <v>336</v>
      </c>
      <c r="AQ12" t="s">
        <v>74</v>
      </c>
      <c r="AR12" t="s">
        <v>337</v>
      </c>
      <c r="AS12" t="s">
        <v>338</v>
      </c>
      <c r="AT12" t="s">
        <v>339</v>
      </c>
      <c r="AU12">
        <v>2011</v>
      </c>
      <c r="AV12">
        <v>116</v>
      </c>
      <c r="AW12" t="s">
        <v>74</v>
      </c>
      <c r="AX12" t="s">
        <v>74</v>
      </c>
      <c r="AY12" t="s">
        <v>74</v>
      </c>
      <c r="AZ12" t="s">
        <v>74</v>
      </c>
      <c r="BA12" t="s">
        <v>74</v>
      </c>
      <c r="BB12" t="s">
        <v>74</v>
      </c>
      <c r="BC12" t="s">
        <v>74</v>
      </c>
      <c r="BD12" t="s">
        <v>340</v>
      </c>
      <c r="BE12" t="s">
        <v>341</v>
      </c>
      <c r="BF12" t="str">
        <f>HYPERLINK("http://dx.doi.org/10.1029/2010JG001628","http://dx.doi.org/10.1029/2010JG001628")</f>
        <v>http://dx.doi.org/10.1029/2010JG001628</v>
      </c>
      <c r="BG12" t="s">
        <v>74</v>
      </c>
      <c r="BH12" t="s">
        <v>74</v>
      </c>
      <c r="BI12">
        <v>18</v>
      </c>
      <c r="BJ12" t="s">
        <v>342</v>
      </c>
      <c r="BK12" t="s">
        <v>100</v>
      </c>
      <c r="BL12" t="s">
        <v>343</v>
      </c>
      <c r="BM12" t="s">
        <v>344</v>
      </c>
      <c r="BN12" t="s">
        <v>74</v>
      </c>
      <c r="BO12" t="s">
        <v>152</v>
      </c>
      <c r="BP12" t="s">
        <v>74</v>
      </c>
      <c r="BQ12" t="s">
        <v>74</v>
      </c>
      <c r="BR12" t="s">
        <v>103</v>
      </c>
      <c r="BS12" t="s">
        <v>345</v>
      </c>
      <c r="BT12" t="str">
        <f>HYPERLINK("https%3A%2F%2Fwww.webofscience.com%2Fwos%2Fwoscc%2Ffull-record%2FWOS:000293653800001","View Full Record in Web of Science")</f>
        <v>View Full Record in Web of Science</v>
      </c>
    </row>
    <row r="13" spans="1:72" x14ac:dyDescent="0.15">
      <c r="A13" t="s">
        <v>72</v>
      </c>
      <c r="B13" t="s">
        <v>346</v>
      </c>
      <c r="C13" t="s">
        <v>74</v>
      </c>
      <c r="D13" t="s">
        <v>74</v>
      </c>
      <c r="E13" t="s">
        <v>74</v>
      </c>
      <c r="F13" t="s">
        <v>347</v>
      </c>
      <c r="G13" t="s">
        <v>74</v>
      </c>
      <c r="H13" t="s">
        <v>74</v>
      </c>
      <c r="I13" t="s">
        <v>348</v>
      </c>
      <c r="J13" t="s">
        <v>349</v>
      </c>
      <c r="K13" t="s">
        <v>74</v>
      </c>
      <c r="L13" t="s">
        <v>74</v>
      </c>
      <c r="M13" t="s">
        <v>78</v>
      </c>
      <c r="N13" t="s">
        <v>79</v>
      </c>
      <c r="O13" t="s">
        <v>74</v>
      </c>
      <c r="P13" t="s">
        <v>74</v>
      </c>
      <c r="Q13" t="s">
        <v>74</v>
      </c>
      <c r="R13" t="s">
        <v>74</v>
      </c>
      <c r="S13" t="s">
        <v>74</v>
      </c>
      <c r="T13" t="s">
        <v>74</v>
      </c>
      <c r="U13" t="s">
        <v>350</v>
      </c>
      <c r="V13" t="s">
        <v>351</v>
      </c>
      <c r="W13" t="s">
        <v>352</v>
      </c>
      <c r="X13" t="s">
        <v>353</v>
      </c>
      <c r="Y13" t="s">
        <v>354</v>
      </c>
      <c r="Z13" t="s">
        <v>355</v>
      </c>
      <c r="AA13" t="s">
        <v>356</v>
      </c>
      <c r="AB13" t="s">
        <v>357</v>
      </c>
      <c r="AC13" t="s">
        <v>358</v>
      </c>
      <c r="AD13" t="s">
        <v>359</v>
      </c>
      <c r="AE13" t="s">
        <v>360</v>
      </c>
      <c r="AF13" t="s">
        <v>74</v>
      </c>
      <c r="AG13">
        <v>53</v>
      </c>
      <c r="AH13">
        <v>33</v>
      </c>
      <c r="AI13">
        <v>37</v>
      </c>
      <c r="AJ13">
        <v>3</v>
      </c>
      <c r="AK13">
        <v>42</v>
      </c>
      <c r="AL13" t="s">
        <v>120</v>
      </c>
      <c r="AM13" t="s">
        <v>121</v>
      </c>
      <c r="AN13" t="s">
        <v>122</v>
      </c>
      <c r="AO13" t="s">
        <v>361</v>
      </c>
      <c r="AP13" t="s">
        <v>362</v>
      </c>
      <c r="AQ13" t="s">
        <v>74</v>
      </c>
      <c r="AR13" t="s">
        <v>363</v>
      </c>
      <c r="AS13" t="s">
        <v>364</v>
      </c>
      <c r="AT13" t="s">
        <v>339</v>
      </c>
      <c r="AU13">
        <v>2011</v>
      </c>
      <c r="AV13">
        <v>116</v>
      </c>
      <c r="AW13" t="s">
        <v>74</v>
      </c>
      <c r="AX13" t="s">
        <v>74</v>
      </c>
      <c r="AY13" t="s">
        <v>74</v>
      </c>
      <c r="AZ13" t="s">
        <v>74</v>
      </c>
      <c r="BA13" t="s">
        <v>74</v>
      </c>
      <c r="BB13" t="s">
        <v>74</v>
      </c>
      <c r="BC13" t="s">
        <v>74</v>
      </c>
      <c r="BD13" t="s">
        <v>365</v>
      </c>
      <c r="BE13" t="s">
        <v>366</v>
      </c>
      <c r="BF13" t="str">
        <f>HYPERLINK("http://dx.doi.org/10.1029/2010JF001864","http://dx.doi.org/10.1029/2010JF001864")</f>
        <v>http://dx.doi.org/10.1029/2010JF001864</v>
      </c>
      <c r="BG13" t="s">
        <v>74</v>
      </c>
      <c r="BH13" t="s">
        <v>74</v>
      </c>
      <c r="BI13">
        <v>16</v>
      </c>
      <c r="BJ13" t="s">
        <v>130</v>
      </c>
      <c r="BK13" t="s">
        <v>100</v>
      </c>
      <c r="BL13" t="s">
        <v>131</v>
      </c>
      <c r="BM13" t="s">
        <v>367</v>
      </c>
      <c r="BN13" t="s">
        <v>74</v>
      </c>
      <c r="BO13" t="s">
        <v>368</v>
      </c>
      <c r="BP13" t="s">
        <v>74</v>
      </c>
      <c r="BQ13" t="s">
        <v>74</v>
      </c>
      <c r="BR13" t="s">
        <v>103</v>
      </c>
      <c r="BS13" t="s">
        <v>369</v>
      </c>
      <c r="BT13" t="str">
        <f>HYPERLINK("https%3A%2F%2Fwww.webofscience.com%2Fwos%2Fwoscc%2Ffull-record%2FWOS:000293654200001","View Full Record in Web of Science")</f>
        <v>View Full Record in Web of Science</v>
      </c>
    </row>
    <row r="14" spans="1:72" x14ac:dyDescent="0.15">
      <c r="A14" t="s">
        <v>72</v>
      </c>
      <c r="B14" t="s">
        <v>370</v>
      </c>
      <c r="C14" t="s">
        <v>74</v>
      </c>
      <c r="D14" t="s">
        <v>74</v>
      </c>
      <c r="E14" t="s">
        <v>74</v>
      </c>
      <c r="F14" t="s">
        <v>371</v>
      </c>
      <c r="G14" t="s">
        <v>74</v>
      </c>
      <c r="H14" t="s">
        <v>74</v>
      </c>
      <c r="I14" t="s">
        <v>372</v>
      </c>
      <c r="J14" t="s">
        <v>373</v>
      </c>
      <c r="K14" t="s">
        <v>74</v>
      </c>
      <c r="L14" t="s">
        <v>74</v>
      </c>
      <c r="M14" t="s">
        <v>78</v>
      </c>
      <c r="N14" t="s">
        <v>79</v>
      </c>
      <c r="O14" t="s">
        <v>74</v>
      </c>
      <c r="P14" t="s">
        <v>74</v>
      </c>
      <c r="Q14" t="s">
        <v>74</v>
      </c>
      <c r="R14" t="s">
        <v>74</v>
      </c>
      <c r="S14" t="s">
        <v>74</v>
      </c>
      <c r="T14" t="s">
        <v>74</v>
      </c>
      <c r="U14" t="s">
        <v>374</v>
      </c>
      <c r="V14" t="s">
        <v>375</v>
      </c>
      <c r="W14" t="s">
        <v>376</v>
      </c>
      <c r="X14" t="s">
        <v>377</v>
      </c>
      <c r="Y14" t="s">
        <v>378</v>
      </c>
      <c r="Z14" t="s">
        <v>379</v>
      </c>
      <c r="AA14" t="s">
        <v>380</v>
      </c>
      <c r="AB14" t="s">
        <v>381</v>
      </c>
      <c r="AC14" t="s">
        <v>382</v>
      </c>
      <c r="AD14" t="s">
        <v>383</v>
      </c>
      <c r="AE14" t="s">
        <v>384</v>
      </c>
      <c r="AF14" t="s">
        <v>74</v>
      </c>
      <c r="AG14">
        <v>75</v>
      </c>
      <c r="AH14">
        <v>21</v>
      </c>
      <c r="AI14">
        <v>21</v>
      </c>
      <c r="AJ14">
        <v>0</v>
      </c>
      <c r="AK14">
        <v>3</v>
      </c>
      <c r="AL14" t="s">
        <v>120</v>
      </c>
      <c r="AM14" t="s">
        <v>121</v>
      </c>
      <c r="AN14" t="s">
        <v>122</v>
      </c>
      <c r="AO14" t="s">
        <v>385</v>
      </c>
      <c r="AP14" t="s">
        <v>386</v>
      </c>
      <c r="AQ14" t="s">
        <v>74</v>
      </c>
      <c r="AR14" t="s">
        <v>387</v>
      </c>
      <c r="AS14" t="s">
        <v>388</v>
      </c>
      <c r="AT14" t="s">
        <v>339</v>
      </c>
      <c r="AU14">
        <v>2011</v>
      </c>
      <c r="AV14">
        <v>116</v>
      </c>
      <c r="AW14" t="s">
        <v>74</v>
      </c>
      <c r="AX14" t="s">
        <v>74</v>
      </c>
      <c r="AY14" t="s">
        <v>74</v>
      </c>
      <c r="AZ14" t="s">
        <v>74</v>
      </c>
      <c r="BA14" t="s">
        <v>74</v>
      </c>
      <c r="BB14" t="s">
        <v>74</v>
      </c>
      <c r="BC14" t="s">
        <v>74</v>
      </c>
      <c r="BD14" t="s">
        <v>389</v>
      </c>
      <c r="BE14" t="s">
        <v>390</v>
      </c>
      <c r="BF14" t="str">
        <f>HYPERLINK("http://dx.doi.org/10.1029/2010JA016350","http://dx.doi.org/10.1029/2010JA016350")</f>
        <v>http://dx.doi.org/10.1029/2010JA016350</v>
      </c>
      <c r="BG14" t="s">
        <v>74</v>
      </c>
      <c r="BH14" t="s">
        <v>74</v>
      </c>
      <c r="BI14">
        <v>12</v>
      </c>
      <c r="BJ14" t="s">
        <v>391</v>
      </c>
      <c r="BK14" t="s">
        <v>100</v>
      </c>
      <c r="BL14" t="s">
        <v>391</v>
      </c>
      <c r="BM14" t="s">
        <v>392</v>
      </c>
      <c r="BN14" t="s">
        <v>74</v>
      </c>
      <c r="BO14" t="s">
        <v>393</v>
      </c>
      <c r="BP14" t="s">
        <v>74</v>
      </c>
      <c r="BQ14" t="s">
        <v>74</v>
      </c>
      <c r="BR14" t="s">
        <v>103</v>
      </c>
      <c r="BS14" t="s">
        <v>394</v>
      </c>
      <c r="BT14" t="str">
        <f>HYPERLINK("https%3A%2F%2Fwww.webofscience.com%2Fwos%2Fwoscc%2Ffull-record%2FWOS:000293650300002","View Full Record in Web of Science")</f>
        <v>View Full Record in Web of Science</v>
      </c>
    </row>
    <row r="15" spans="1:72" x14ac:dyDescent="0.15">
      <c r="A15" t="s">
        <v>72</v>
      </c>
      <c r="B15" t="s">
        <v>395</v>
      </c>
      <c r="C15" t="s">
        <v>74</v>
      </c>
      <c r="D15" t="s">
        <v>74</v>
      </c>
      <c r="E15" t="s">
        <v>74</v>
      </c>
      <c r="F15" t="s">
        <v>396</v>
      </c>
      <c r="G15" t="s">
        <v>74</v>
      </c>
      <c r="H15" t="s">
        <v>74</v>
      </c>
      <c r="I15" t="s">
        <v>397</v>
      </c>
      <c r="J15" t="s">
        <v>108</v>
      </c>
      <c r="K15" t="s">
        <v>74</v>
      </c>
      <c r="L15" t="s">
        <v>74</v>
      </c>
      <c r="M15" t="s">
        <v>78</v>
      </c>
      <c r="N15" t="s">
        <v>79</v>
      </c>
      <c r="O15" t="s">
        <v>74</v>
      </c>
      <c r="P15" t="s">
        <v>74</v>
      </c>
      <c r="Q15" t="s">
        <v>74</v>
      </c>
      <c r="R15" t="s">
        <v>74</v>
      </c>
      <c r="S15" t="s">
        <v>74</v>
      </c>
      <c r="T15" t="s">
        <v>74</v>
      </c>
      <c r="U15" t="s">
        <v>398</v>
      </c>
      <c r="V15" t="s">
        <v>399</v>
      </c>
      <c r="W15" t="s">
        <v>400</v>
      </c>
      <c r="X15" t="s">
        <v>401</v>
      </c>
      <c r="Y15" t="s">
        <v>402</v>
      </c>
      <c r="Z15" t="s">
        <v>74</v>
      </c>
      <c r="AA15" t="s">
        <v>403</v>
      </c>
      <c r="AB15" t="s">
        <v>404</v>
      </c>
      <c r="AC15" t="s">
        <v>405</v>
      </c>
      <c r="AD15" t="s">
        <v>406</v>
      </c>
      <c r="AE15" t="s">
        <v>407</v>
      </c>
      <c r="AF15" t="s">
        <v>74</v>
      </c>
      <c r="AG15">
        <v>25</v>
      </c>
      <c r="AH15">
        <v>35</v>
      </c>
      <c r="AI15">
        <v>36</v>
      </c>
      <c r="AJ15">
        <v>0</v>
      </c>
      <c r="AK15">
        <v>18</v>
      </c>
      <c r="AL15" t="s">
        <v>120</v>
      </c>
      <c r="AM15" t="s">
        <v>121</v>
      </c>
      <c r="AN15" t="s">
        <v>122</v>
      </c>
      <c r="AO15" t="s">
        <v>123</v>
      </c>
      <c r="AP15" t="s">
        <v>74</v>
      </c>
      <c r="AQ15" t="s">
        <v>74</v>
      </c>
      <c r="AR15" t="s">
        <v>125</v>
      </c>
      <c r="AS15" t="s">
        <v>126</v>
      </c>
      <c r="AT15" t="s">
        <v>408</v>
      </c>
      <c r="AU15">
        <v>2011</v>
      </c>
      <c r="AV15">
        <v>38</v>
      </c>
      <c r="AW15" t="s">
        <v>74</v>
      </c>
      <c r="AX15" t="s">
        <v>74</v>
      </c>
      <c r="AY15" t="s">
        <v>74</v>
      </c>
      <c r="AZ15" t="s">
        <v>74</v>
      </c>
      <c r="BA15" t="s">
        <v>74</v>
      </c>
      <c r="BB15" t="s">
        <v>74</v>
      </c>
      <c r="BC15" t="s">
        <v>74</v>
      </c>
      <c r="BD15" t="s">
        <v>409</v>
      </c>
      <c r="BE15" t="s">
        <v>410</v>
      </c>
      <c r="BF15" t="str">
        <f>HYPERLINK("http://dx.doi.org/10.1029/2011GL048145","http://dx.doi.org/10.1029/2011GL048145")</f>
        <v>http://dx.doi.org/10.1029/2011GL048145</v>
      </c>
      <c r="BG15" t="s">
        <v>74</v>
      </c>
      <c r="BH15" t="s">
        <v>74</v>
      </c>
      <c r="BI15">
        <v>5</v>
      </c>
      <c r="BJ15" t="s">
        <v>130</v>
      </c>
      <c r="BK15" t="s">
        <v>100</v>
      </c>
      <c r="BL15" t="s">
        <v>131</v>
      </c>
      <c r="BM15" t="s">
        <v>411</v>
      </c>
      <c r="BN15" t="s">
        <v>74</v>
      </c>
      <c r="BO15" t="s">
        <v>74</v>
      </c>
      <c r="BP15" t="s">
        <v>74</v>
      </c>
      <c r="BQ15" t="s">
        <v>74</v>
      </c>
      <c r="BR15" t="s">
        <v>103</v>
      </c>
      <c r="BS15" t="s">
        <v>412</v>
      </c>
      <c r="BT15" t="str">
        <f>HYPERLINK("https%3A%2F%2Fwww.webofscience.com%2Fwos%2Fwoscc%2Ffull-record%2FWOS:000293650800004","View Full Record in Web of Science")</f>
        <v>View Full Record in Web of Science</v>
      </c>
    </row>
    <row r="16" spans="1:72" x14ac:dyDescent="0.15">
      <c r="A16" t="s">
        <v>72</v>
      </c>
      <c r="B16" t="s">
        <v>413</v>
      </c>
      <c r="C16" t="s">
        <v>74</v>
      </c>
      <c r="D16" t="s">
        <v>74</v>
      </c>
      <c r="E16" t="s">
        <v>74</v>
      </c>
      <c r="F16" t="s">
        <v>414</v>
      </c>
      <c r="G16" t="s">
        <v>74</v>
      </c>
      <c r="H16" t="s">
        <v>74</v>
      </c>
      <c r="I16" t="s">
        <v>415</v>
      </c>
      <c r="J16" t="s">
        <v>108</v>
      </c>
      <c r="K16" t="s">
        <v>74</v>
      </c>
      <c r="L16" t="s">
        <v>74</v>
      </c>
      <c r="M16" t="s">
        <v>78</v>
      </c>
      <c r="N16" t="s">
        <v>79</v>
      </c>
      <c r="O16" t="s">
        <v>74</v>
      </c>
      <c r="P16" t="s">
        <v>74</v>
      </c>
      <c r="Q16" t="s">
        <v>74</v>
      </c>
      <c r="R16" t="s">
        <v>74</v>
      </c>
      <c r="S16" t="s">
        <v>74</v>
      </c>
      <c r="T16" t="s">
        <v>74</v>
      </c>
      <c r="U16" t="s">
        <v>416</v>
      </c>
      <c r="V16" t="s">
        <v>417</v>
      </c>
      <c r="W16" t="s">
        <v>418</v>
      </c>
      <c r="X16" t="s">
        <v>419</v>
      </c>
      <c r="Y16" t="s">
        <v>420</v>
      </c>
      <c r="Z16" t="s">
        <v>421</v>
      </c>
      <c r="AA16" t="s">
        <v>422</v>
      </c>
      <c r="AB16" t="s">
        <v>423</v>
      </c>
      <c r="AC16" t="s">
        <v>424</v>
      </c>
      <c r="AD16" t="s">
        <v>425</v>
      </c>
      <c r="AE16" t="s">
        <v>426</v>
      </c>
      <c r="AF16" t="s">
        <v>74</v>
      </c>
      <c r="AG16">
        <v>24</v>
      </c>
      <c r="AH16">
        <v>55</v>
      </c>
      <c r="AI16">
        <v>63</v>
      </c>
      <c r="AJ16">
        <v>0</v>
      </c>
      <c r="AK16">
        <v>28</v>
      </c>
      <c r="AL16" t="s">
        <v>120</v>
      </c>
      <c r="AM16" t="s">
        <v>121</v>
      </c>
      <c r="AN16" t="s">
        <v>122</v>
      </c>
      <c r="AO16" t="s">
        <v>123</v>
      </c>
      <c r="AP16" t="s">
        <v>124</v>
      </c>
      <c r="AQ16" t="s">
        <v>74</v>
      </c>
      <c r="AR16" t="s">
        <v>125</v>
      </c>
      <c r="AS16" t="s">
        <v>126</v>
      </c>
      <c r="AT16" t="s">
        <v>408</v>
      </c>
      <c r="AU16">
        <v>2011</v>
      </c>
      <c r="AV16">
        <v>38</v>
      </c>
      <c r="AW16" t="s">
        <v>74</v>
      </c>
      <c r="AX16" t="s">
        <v>74</v>
      </c>
      <c r="AY16" t="s">
        <v>74</v>
      </c>
      <c r="AZ16" t="s">
        <v>74</v>
      </c>
      <c r="BA16" t="s">
        <v>74</v>
      </c>
      <c r="BB16" t="s">
        <v>74</v>
      </c>
      <c r="BC16" t="s">
        <v>74</v>
      </c>
      <c r="BD16" t="s">
        <v>427</v>
      </c>
      <c r="BE16" t="s">
        <v>428</v>
      </c>
      <c r="BF16" t="str">
        <f>HYPERLINK("http://dx.doi.org/10.1029/2011GL048056","http://dx.doi.org/10.1029/2011GL048056")</f>
        <v>http://dx.doi.org/10.1029/2011GL048056</v>
      </c>
      <c r="BG16" t="s">
        <v>74</v>
      </c>
      <c r="BH16" t="s">
        <v>74</v>
      </c>
      <c r="BI16">
        <v>5</v>
      </c>
      <c r="BJ16" t="s">
        <v>130</v>
      </c>
      <c r="BK16" t="s">
        <v>100</v>
      </c>
      <c r="BL16" t="s">
        <v>131</v>
      </c>
      <c r="BM16" t="s">
        <v>411</v>
      </c>
      <c r="BN16" t="s">
        <v>74</v>
      </c>
      <c r="BO16" t="s">
        <v>74</v>
      </c>
      <c r="BP16" t="s">
        <v>74</v>
      </c>
      <c r="BQ16" t="s">
        <v>74</v>
      </c>
      <c r="BR16" t="s">
        <v>103</v>
      </c>
      <c r="BS16" t="s">
        <v>429</v>
      </c>
      <c r="BT16" t="str">
        <f>HYPERLINK("https%3A%2F%2Fwww.webofscience.com%2Fwos%2Fwoscc%2Ffull-record%2FWOS:000293650800002","View Full Record in Web of Science")</f>
        <v>View Full Record in Web of Science</v>
      </c>
    </row>
    <row r="17" spans="1:72" x14ac:dyDescent="0.15">
      <c r="A17" t="s">
        <v>72</v>
      </c>
      <c r="B17" t="s">
        <v>430</v>
      </c>
      <c r="C17" t="s">
        <v>74</v>
      </c>
      <c r="D17" t="s">
        <v>74</v>
      </c>
      <c r="E17" t="s">
        <v>74</v>
      </c>
      <c r="F17" t="s">
        <v>431</v>
      </c>
      <c r="G17" t="s">
        <v>74</v>
      </c>
      <c r="H17" t="s">
        <v>74</v>
      </c>
      <c r="I17" t="s">
        <v>432</v>
      </c>
      <c r="J17" t="s">
        <v>230</v>
      </c>
      <c r="K17" t="s">
        <v>74</v>
      </c>
      <c r="L17" t="s">
        <v>74</v>
      </c>
      <c r="M17" t="s">
        <v>78</v>
      </c>
      <c r="N17" t="s">
        <v>79</v>
      </c>
      <c r="O17" t="s">
        <v>74</v>
      </c>
      <c r="P17" t="s">
        <v>74</v>
      </c>
      <c r="Q17" t="s">
        <v>74</v>
      </c>
      <c r="R17" t="s">
        <v>74</v>
      </c>
      <c r="S17" t="s">
        <v>74</v>
      </c>
      <c r="T17" t="s">
        <v>74</v>
      </c>
      <c r="U17" t="s">
        <v>433</v>
      </c>
      <c r="V17" t="s">
        <v>434</v>
      </c>
      <c r="W17" t="s">
        <v>435</v>
      </c>
      <c r="X17" t="s">
        <v>436</v>
      </c>
      <c r="Y17" t="s">
        <v>437</v>
      </c>
      <c r="Z17" t="s">
        <v>438</v>
      </c>
      <c r="AA17" t="s">
        <v>439</v>
      </c>
      <c r="AB17" t="s">
        <v>440</v>
      </c>
      <c r="AC17" t="s">
        <v>441</v>
      </c>
      <c r="AD17" t="s">
        <v>442</v>
      </c>
      <c r="AE17" t="s">
        <v>443</v>
      </c>
      <c r="AF17" t="s">
        <v>74</v>
      </c>
      <c r="AG17">
        <v>80</v>
      </c>
      <c r="AH17">
        <v>36</v>
      </c>
      <c r="AI17">
        <v>38</v>
      </c>
      <c r="AJ17">
        <v>0</v>
      </c>
      <c r="AK17">
        <v>12</v>
      </c>
      <c r="AL17" t="s">
        <v>120</v>
      </c>
      <c r="AM17" t="s">
        <v>121</v>
      </c>
      <c r="AN17" t="s">
        <v>122</v>
      </c>
      <c r="AO17" t="s">
        <v>242</v>
      </c>
      <c r="AP17" t="s">
        <v>243</v>
      </c>
      <c r="AQ17" t="s">
        <v>74</v>
      </c>
      <c r="AR17" t="s">
        <v>244</v>
      </c>
      <c r="AS17" t="s">
        <v>245</v>
      </c>
      <c r="AT17" t="s">
        <v>408</v>
      </c>
      <c r="AU17">
        <v>2011</v>
      </c>
      <c r="AV17">
        <v>116</v>
      </c>
      <c r="AW17" t="s">
        <v>74</v>
      </c>
      <c r="AX17" t="s">
        <v>74</v>
      </c>
      <c r="AY17" t="s">
        <v>74</v>
      </c>
      <c r="AZ17" t="s">
        <v>74</v>
      </c>
      <c r="BA17" t="s">
        <v>74</v>
      </c>
      <c r="BB17" t="s">
        <v>74</v>
      </c>
      <c r="BC17" t="s">
        <v>74</v>
      </c>
      <c r="BD17" t="s">
        <v>444</v>
      </c>
      <c r="BE17" t="s">
        <v>445</v>
      </c>
      <c r="BF17" t="str">
        <f>HYPERLINK("http://dx.doi.org/10.1029/2011JD015803","http://dx.doi.org/10.1029/2011JD015803")</f>
        <v>http://dx.doi.org/10.1029/2011JD015803</v>
      </c>
      <c r="BG17" t="s">
        <v>74</v>
      </c>
      <c r="BH17" t="s">
        <v>74</v>
      </c>
      <c r="BI17">
        <v>18</v>
      </c>
      <c r="BJ17" t="s">
        <v>248</v>
      </c>
      <c r="BK17" t="s">
        <v>100</v>
      </c>
      <c r="BL17" t="s">
        <v>248</v>
      </c>
      <c r="BM17" t="s">
        <v>446</v>
      </c>
      <c r="BN17" t="s">
        <v>74</v>
      </c>
      <c r="BO17" t="s">
        <v>152</v>
      </c>
      <c r="BP17" t="s">
        <v>74</v>
      </c>
      <c r="BQ17" t="s">
        <v>74</v>
      </c>
      <c r="BR17" t="s">
        <v>103</v>
      </c>
      <c r="BS17" t="s">
        <v>447</v>
      </c>
      <c r="BT17" t="str">
        <f>HYPERLINK("https%3A%2F%2Fwww.webofscience.com%2Fwos%2Fwoscc%2Ffull-record%2FWOS:000293655900005","View Full Record in Web of Science")</f>
        <v>View Full Record in Web of Science</v>
      </c>
    </row>
    <row r="18" spans="1:72" x14ac:dyDescent="0.15">
      <c r="A18" t="s">
        <v>72</v>
      </c>
      <c r="B18" t="s">
        <v>448</v>
      </c>
      <c r="C18" t="s">
        <v>74</v>
      </c>
      <c r="D18" t="s">
        <v>74</v>
      </c>
      <c r="E18" t="s">
        <v>74</v>
      </c>
      <c r="F18" t="s">
        <v>449</v>
      </c>
      <c r="G18" t="s">
        <v>74</v>
      </c>
      <c r="H18" t="s">
        <v>450</v>
      </c>
      <c r="I18" t="s">
        <v>451</v>
      </c>
      <c r="J18" t="s">
        <v>157</v>
      </c>
      <c r="K18" t="s">
        <v>74</v>
      </c>
      <c r="L18" t="s">
        <v>74</v>
      </c>
      <c r="M18" t="s">
        <v>78</v>
      </c>
      <c r="N18" t="s">
        <v>79</v>
      </c>
      <c r="O18" t="s">
        <v>74</v>
      </c>
      <c r="P18" t="s">
        <v>74</v>
      </c>
      <c r="Q18" t="s">
        <v>74</v>
      </c>
      <c r="R18" t="s">
        <v>74</v>
      </c>
      <c r="S18" t="s">
        <v>74</v>
      </c>
      <c r="T18" t="s">
        <v>74</v>
      </c>
      <c r="U18" t="s">
        <v>452</v>
      </c>
      <c r="V18" t="s">
        <v>453</v>
      </c>
      <c r="W18" t="s">
        <v>454</v>
      </c>
      <c r="X18" t="s">
        <v>455</v>
      </c>
      <c r="Y18" t="s">
        <v>456</v>
      </c>
      <c r="Z18" t="s">
        <v>457</v>
      </c>
      <c r="AA18" t="s">
        <v>458</v>
      </c>
      <c r="AB18" t="s">
        <v>459</v>
      </c>
      <c r="AC18" t="s">
        <v>460</v>
      </c>
      <c r="AD18" t="s">
        <v>461</v>
      </c>
      <c r="AE18" t="s">
        <v>462</v>
      </c>
      <c r="AF18" t="s">
        <v>74</v>
      </c>
      <c r="AG18">
        <v>116</v>
      </c>
      <c r="AH18">
        <v>92</v>
      </c>
      <c r="AI18">
        <v>103</v>
      </c>
      <c r="AJ18">
        <v>4</v>
      </c>
      <c r="AK18">
        <v>90</v>
      </c>
      <c r="AL18" t="s">
        <v>169</v>
      </c>
      <c r="AM18" t="s">
        <v>170</v>
      </c>
      <c r="AN18" t="s">
        <v>171</v>
      </c>
      <c r="AO18" t="s">
        <v>172</v>
      </c>
      <c r="AP18" t="s">
        <v>74</v>
      </c>
      <c r="AQ18" t="s">
        <v>74</v>
      </c>
      <c r="AR18" t="s">
        <v>157</v>
      </c>
      <c r="AS18" t="s">
        <v>173</v>
      </c>
      <c r="AT18" t="s">
        <v>408</v>
      </c>
      <c r="AU18">
        <v>2011</v>
      </c>
      <c r="AV18">
        <v>6</v>
      </c>
      <c r="AW18">
        <v>8</v>
      </c>
      <c r="AX18" t="s">
        <v>74</v>
      </c>
      <c r="AY18" t="s">
        <v>74</v>
      </c>
      <c r="AZ18" t="s">
        <v>74</v>
      </c>
      <c r="BA18" t="s">
        <v>74</v>
      </c>
      <c r="BB18" t="s">
        <v>74</v>
      </c>
      <c r="BC18" t="s">
        <v>74</v>
      </c>
      <c r="BD18" t="s">
        <v>463</v>
      </c>
      <c r="BE18" t="s">
        <v>464</v>
      </c>
      <c r="BF18" t="str">
        <f>HYPERLINK("http://dx.doi.org/10.1371/journal.pone.0023259","http://dx.doi.org/10.1371/journal.pone.0023259")</f>
        <v>http://dx.doi.org/10.1371/journal.pone.0023259</v>
      </c>
      <c r="BG18" t="s">
        <v>74</v>
      </c>
      <c r="BH18" t="s">
        <v>74</v>
      </c>
      <c r="BI18">
        <v>16</v>
      </c>
      <c r="BJ18" t="s">
        <v>177</v>
      </c>
      <c r="BK18" t="s">
        <v>100</v>
      </c>
      <c r="BL18" t="s">
        <v>178</v>
      </c>
      <c r="BM18" t="s">
        <v>465</v>
      </c>
      <c r="BN18">
        <v>21829722</v>
      </c>
      <c r="BO18" t="s">
        <v>180</v>
      </c>
      <c r="BP18" t="s">
        <v>74</v>
      </c>
      <c r="BQ18" t="s">
        <v>74</v>
      </c>
      <c r="BR18" t="s">
        <v>103</v>
      </c>
      <c r="BS18" t="s">
        <v>466</v>
      </c>
      <c r="BT18" t="str">
        <f>HYPERLINK("https%3A%2F%2Fwww.webofscience.com%2Fwos%2Fwoscc%2Ffull-record%2FWOS:000293561200060","View Full Record in Web of Science")</f>
        <v>View Full Record in Web of Science</v>
      </c>
    </row>
    <row r="19" spans="1:72" x14ac:dyDescent="0.15">
      <c r="A19" t="s">
        <v>72</v>
      </c>
      <c r="B19" t="s">
        <v>467</v>
      </c>
      <c r="C19" t="s">
        <v>74</v>
      </c>
      <c r="D19" t="s">
        <v>74</v>
      </c>
      <c r="E19" t="s">
        <v>74</v>
      </c>
      <c r="F19" t="s">
        <v>468</v>
      </c>
      <c r="G19" t="s">
        <v>74</v>
      </c>
      <c r="H19" t="s">
        <v>74</v>
      </c>
      <c r="I19" t="s">
        <v>469</v>
      </c>
      <c r="J19" t="s">
        <v>470</v>
      </c>
      <c r="K19" t="s">
        <v>74</v>
      </c>
      <c r="L19" t="s">
        <v>74</v>
      </c>
      <c r="M19" t="s">
        <v>78</v>
      </c>
      <c r="N19" t="s">
        <v>79</v>
      </c>
      <c r="O19" t="s">
        <v>74</v>
      </c>
      <c r="P19" t="s">
        <v>74</v>
      </c>
      <c r="Q19" t="s">
        <v>74</v>
      </c>
      <c r="R19" t="s">
        <v>74</v>
      </c>
      <c r="S19" t="s">
        <v>74</v>
      </c>
      <c r="T19" t="s">
        <v>74</v>
      </c>
      <c r="U19" t="s">
        <v>471</v>
      </c>
      <c r="V19" t="s">
        <v>472</v>
      </c>
      <c r="W19" t="s">
        <v>473</v>
      </c>
      <c r="X19" t="s">
        <v>474</v>
      </c>
      <c r="Y19" t="s">
        <v>475</v>
      </c>
      <c r="Z19" t="s">
        <v>476</v>
      </c>
      <c r="AA19" t="s">
        <v>477</v>
      </c>
      <c r="AB19" t="s">
        <v>478</v>
      </c>
      <c r="AC19" t="s">
        <v>479</v>
      </c>
      <c r="AD19" t="s">
        <v>480</v>
      </c>
      <c r="AE19" t="s">
        <v>481</v>
      </c>
      <c r="AF19" t="s">
        <v>74</v>
      </c>
      <c r="AG19">
        <v>123</v>
      </c>
      <c r="AH19">
        <v>21</v>
      </c>
      <c r="AI19">
        <v>23</v>
      </c>
      <c r="AJ19">
        <v>1</v>
      </c>
      <c r="AK19">
        <v>13</v>
      </c>
      <c r="AL19" t="s">
        <v>120</v>
      </c>
      <c r="AM19" t="s">
        <v>121</v>
      </c>
      <c r="AN19" t="s">
        <v>122</v>
      </c>
      <c r="AO19" t="s">
        <v>482</v>
      </c>
      <c r="AP19" t="s">
        <v>483</v>
      </c>
      <c r="AQ19" t="s">
        <v>74</v>
      </c>
      <c r="AR19" t="s">
        <v>470</v>
      </c>
      <c r="AS19" t="s">
        <v>484</v>
      </c>
      <c r="AT19" t="s">
        <v>485</v>
      </c>
      <c r="AU19">
        <v>2011</v>
      </c>
      <c r="AV19">
        <v>30</v>
      </c>
      <c r="AW19" t="s">
        <v>74</v>
      </c>
      <c r="AX19" t="s">
        <v>74</v>
      </c>
      <c r="AY19" t="s">
        <v>74</v>
      </c>
      <c r="AZ19" t="s">
        <v>74</v>
      </c>
      <c r="BA19" t="s">
        <v>74</v>
      </c>
      <c r="BB19" t="s">
        <v>74</v>
      </c>
      <c r="BC19" t="s">
        <v>74</v>
      </c>
      <c r="BD19" t="s">
        <v>486</v>
      </c>
      <c r="BE19" t="s">
        <v>487</v>
      </c>
      <c r="BF19" t="str">
        <f>HYPERLINK("http://dx.doi.org/10.1029/2010TC002804","http://dx.doi.org/10.1029/2010TC002804")</f>
        <v>http://dx.doi.org/10.1029/2010TC002804</v>
      </c>
      <c r="BG19" t="s">
        <v>74</v>
      </c>
      <c r="BH19" t="s">
        <v>74</v>
      </c>
      <c r="BI19">
        <v>27</v>
      </c>
      <c r="BJ19" t="s">
        <v>488</v>
      </c>
      <c r="BK19" t="s">
        <v>100</v>
      </c>
      <c r="BL19" t="s">
        <v>488</v>
      </c>
      <c r="BM19" t="s">
        <v>489</v>
      </c>
      <c r="BN19" t="s">
        <v>74</v>
      </c>
      <c r="BO19" t="s">
        <v>74</v>
      </c>
      <c r="BP19" t="s">
        <v>74</v>
      </c>
      <c r="BQ19" t="s">
        <v>74</v>
      </c>
      <c r="BR19" t="s">
        <v>103</v>
      </c>
      <c r="BS19" t="s">
        <v>490</v>
      </c>
      <c r="BT19" t="str">
        <f>HYPERLINK("https%3A%2F%2Fwww.webofscience.com%2Fwos%2Fwoscc%2Ffull-record%2FWOS:000293649100001","View Full Record in Web of Science")</f>
        <v>View Full Record in Web of Science</v>
      </c>
    </row>
    <row r="20" spans="1:72" x14ac:dyDescent="0.15">
      <c r="A20" t="s">
        <v>72</v>
      </c>
      <c r="B20" t="s">
        <v>491</v>
      </c>
      <c r="C20" t="s">
        <v>74</v>
      </c>
      <c r="D20" t="s">
        <v>74</v>
      </c>
      <c r="E20" t="s">
        <v>74</v>
      </c>
      <c r="F20" t="s">
        <v>492</v>
      </c>
      <c r="G20" t="s">
        <v>74</v>
      </c>
      <c r="H20" t="s">
        <v>74</v>
      </c>
      <c r="I20" t="s">
        <v>493</v>
      </c>
      <c r="J20" t="s">
        <v>494</v>
      </c>
      <c r="K20" t="s">
        <v>74</v>
      </c>
      <c r="L20" t="s">
        <v>74</v>
      </c>
      <c r="M20" t="s">
        <v>78</v>
      </c>
      <c r="N20" t="s">
        <v>79</v>
      </c>
      <c r="O20" t="s">
        <v>74</v>
      </c>
      <c r="P20" t="s">
        <v>74</v>
      </c>
      <c r="Q20" t="s">
        <v>74</v>
      </c>
      <c r="R20" t="s">
        <v>74</v>
      </c>
      <c r="S20" t="s">
        <v>74</v>
      </c>
      <c r="T20" t="s">
        <v>495</v>
      </c>
      <c r="U20" t="s">
        <v>496</v>
      </c>
      <c r="V20" t="s">
        <v>497</v>
      </c>
      <c r="W20" t="s">
        <v>498</v>
      </c>
      <c r="X20" t="s">
        <v>499</v>
      </c>
      <c r="Y20" t="s">
        <v>500</v>
      </c>
      <c r="Z20" t="s">
        <v>501</v>
      </c>
      <c r="AA20" t="s">
        <v>502</v>
      </c>
      <c r="AB20" t="s">
        <v>503</v>
      </c>
      <c r="AC20" t="s">
        <v>504</v>
      </c>
      <c r="AD20" t="s">
        <v>505</v>
      </c>
      <c r="AE20" t="s">
        <v>506</v>
      </c>
      <c r="AF20" t="s">
        <v>74</v>
      </c>
      <c r="AG20">
        <v>26</v>
      </c>
      <c r="AH20">
        <v>5</v>
      </c>
      <c r="AI20">
        <v>5</v>
      </c>
      <c r="AJ20">
        <v>0</v>
      </c>
      <c r="AK20">
        <v>11</v>
      </c>
      <c r="AL20" t="s">
        <v>507</v>
      </c>
      <c r="AM20" t="s">
        <v>508</v>
      </c>
      <c r="AN20" t="s">
        <v>509</v>
      </c>
      <c r="AO20" t="s">
        <v>510</v>
      </c>
      <c r="AP20" t="s">
        <v>74</v>
      </c>
      <c r="AQ20" t="s">
        <v>74</v>
      </c>
      <c r="AR20" t="s">
        <v>511</v>
      </c>
      <c r="AS20" t="s">
        <v>512</v>
      </c>
      <c r="AT20" t="s">
        <v>485</v>
      </c>
      <c r="AU20">
        <v>2011</v>
      </c>
      <c r="AV20">
        <v>48</v>
      </c>
      <c r="AW20">
        <v>3</v>
      </c>
      <c r="AX20" t="s">
        <v>74</v>
      </c>
      <c r="AY20" t="s">
        <v>74</v>
      </c>
      <c r="AZ20" t="s">
        <v>74</v>
      </c>
      <c r="BA20" t="s">
        <v>74</v>
      </c>
      <c r="BB20">
        <v>521</v>
      </c>
      <c r="BC20">
        <v>528</v>
      </c>
      <c r="BD20" t="s">
        <v>74</v>
      </c>
      <c r="BE20" t="s">
        <v>513</v>
      </c>
      <c r="BF20" t="str">
        <f>HYPERLINK("http://dx.doi.org/10.1016/j.asr.2011.03.039","http://dx.doi.org/10.1016/j.asr.2011.03.039")</f>
        <v>http://dx.doi.org/10.1016/j.asr.2011.03.039</v>
      </c>
      <c r="BG20" t="s">
        <v>74</v>
      </c>
      <c r="BH20" t="s">
        <v>74</v>
      </c>
      <c r="BI20">
        <v>8</v>
      </c>
      <c r="BJ20" t="s">
        <v>514</v>
      </c>
      <c r="BK20" t="s">
        <v>100</v>
      </c>
      <c r="BL20" t="s">
        <v>515</v>
      </c>
      <c r="BM20" t="s">
        <v>516</v>
      </c>
      <c r="BN20" t="s">
        <v>74</v>
      </c>
      <c r="BO20" t="s">
        <v>74</v>
      </c>
      <c r="BP20" t="s">
        <v>74</v>
      </c>
      <c r="BQ20" t="s">
        <v>74</v>
      </c>
      <c r="BR20" t="s">
        <v>103</v>
      </c>
      <c r="BS20" t="s">
        <v>517</v>
      </c>
      <c r="BT20" t="str">
        <f>HYPERLINK("https%3A%2F%2Fwww.webofscience.com%2Fwos%2Fwoscc%2Ffull-record%2FWOS:000293307100012","View Full Record in Web of Science")</f>
        <v>View Full Record in Web of Science</v>
      </c>
    </row>
    <row r="21" spans="1:72" x14ac:dyDescent="0.15">
      <c r="A21" t="s">
        <v>72</v>
      </c>
      <c r="B21" t="s">
        <v>518</v>
      </c>
      <c r="C21" t="s">
        <v>74</v>
      </c>
      <c r="D21" t="s">
        <v>74</v>
      </c>
      <c r="E21" t="s">
        <v>74</v>
      </c>
      <c r="F21" t="s">
        <v>519</v>
      </c>
      <c r="G21" t="s">
        <v>74</v>
      </c>
      <c r="H21" t="s">
        <v>74</v>
      </c>
      <c r="I21" t="s">
        <v>520</v>
      </c>
      <c r="J21" t="s">
        <v>521</v>
      </c>
      <c r="K21" t="s">
        <v>74</v>
      </c>
      <c r="L21" t="s">
        <v>74</v>
      </c>
      <c r="M21" t="s">
        <v>78</v>
      </c>
      <c r="N21" t="s">
        <v>79</v>
      </c>
      <c r="O21" t="s">
        <v>74</v>
      </c>
      <c r="P21" t="s">
        <v>74</v>
      </c>
      <c r="Q21" t="s">
        <v>74</v>
      </c>
      <c r="R21" t="s">
        <v>74</v>
      </c>
      <c r="S21" t="s">
        <v>74</v>
      </c>
      <c r="T21" t="s">
        <v>74</v>
      </c>
      <c r="U21" t="s">
        <v>522</v>
      </c>
      <c r="V21" t="s">
        <v>523</v>
      </c>
      <c r="W21" t="s">
        <v>524</v>
      </c>
      <c r="X21" t="s">
        <v>525</v>
      </c>
      <c r="Y21" t="s">
        <v>526</v>
      </c>
      <c r="Z21" t="s">
        <v>527</v>
      </c>
      <c r="AA21" t="s">
        <v>74</v>
      </c>
      <c r="AB21" t="s">
        <v>528</v>
      </c>
      <c r="AC21" t="s">
        <v>529</v>
      </c>
      <c r="AD21" t="s">
        <v>529</v>
      </c>
      <c r="AE21" t="s">
        <v>530</v>
      </c>
      <c r="AF21" t="s">
        <v>74</v>
      </c>
      <c r="AG21">
        <v>78</v>
      </c>
      <c r="AH21">
        <v>29</v>
      </c>
      <c r="AI21">
        <v>30</v>
      </c>
      <c r="AJ21">
        <v>3</v>
      </c>
      <c r="AK21">
        <v>13</v>
      </c>
      <c r="AL21" t="s">
        <v>120</v>
      </c>
      <c r="AM21" t="s">
        <v>121</v>
      </c>
      <c r="AN21" t="s">
        <v>122</v>
      </c>
      <c r="AO21" t="s">
        <v>531</v>
      </c>
      <c r="AP21" t="s">
        <v>74</v>
      </c>
      <c r="AQ21" t="s">
        <v>74</v>
      </c>
      <c r="AR21" t="s">
        <v>521</v>
      </c>
      <c r="AS21" t="s">
        <v>532</v>
      </c>
      <c r="AT21" t="s">
        <v>485</v>
      </c>
      <c r="AU21">
        <v>2011</v>
      </c>
      <c r="AV21">
        <v>26</v>
      </c>
      <c r="AW21" t="s">
        <v>74</v>
      </c>
      <c r="AX21" t="s">
        <v>74</v>
      </c>
      <c r="AY21" t="s">
        <v>74</v>
      </c>
      <c r="AZ21" t="s">
        <v>74</v>
      </c>
      <c r="BA21" t="s">
        <v>74</v>
      </c>
      <c r="BB21" t="s">
        <v>74</v>
      </c>
      <c r="BC21" t="s">
        <v>74</v>
      </c>
      <c r="BD21" t="s">
        <v>533</v>
      </c>
      <c r="BE21" t="s">
        <v>534</v>
      </c>
      <c r="BF21" t="str">
        <f>HYPERLINK("http://dx.doi.org/10.1029/2010PA002065","http://dx.doi.org/10.1029/2010PA002065")</f>
        <v>http://dx.doi.org/10.1029/2010PA002065</v>
      </c>
      <c r="BG21" t="s">
        <v>74</v>
      </c>
      <c r="BH21" t="s">
        <v>74</v>
      </c>
      <c r="BI21">
        <v>11</v>
      </c>
      <c r="BJ21" t="s">
        <v>535</v>
      </c>
      <c r="BK21" t="s">
        <v>100</v>
      </c>
      <c r="BL21" t="s">
        <v>536</v>
      </c>
      <c r="BM21" t="s">
        <v>537</v>
      </c>
      <c r="BN21" t="s">
        <v>74</v>
      </c>
      <c r="BO21" t="s">
        <v>152</v>
      </c>
      <c r="BP21" t="s">
        <v>74</v>
      </c>
      <c r="BQ21" t="s">
        <v>74</v>
      </c>
      <c r="BR21" t="s">
        <v>103</v>
      </c>
      <c r="BS21" t="s">
        <v>538</v>
      </c>
      <c r="BT21" t="str">
        <f>HYPERLINK("https%3A%2F%2Fwww.webofscience.com%2Fwos%2Fwoscc%2Ffull-record%2FWOS:000293642000002","View Full Record in Web of Science")</f>
        <v>View Full Record in Web of Science</v>
      </c>
    </row>
    <row r="22" spans="1:72" x14ac:dyDescent="0.15">
      <c r="A22" t="s">
        <v>72</v>
      </c>
      <c r="B22" t="s">
        <v>539</v>
      </c>
      <c r="C22" t="s">
        <v>74</v>
      </c>
      <c r="D22" t="s">
        <v>74</v>
      </c>
      <c r="E22" t="s">
        <v>74</v>
      </c>
      <c r="F22" t="s">
        <v>540</v>
      </c>
      <c r="G22" t="s">
        <v>74</v>
      </c>
      <c r="H22" t="s">
        <v>74</v>
      </c>
      <c r="I22" t="s">
        <v>541</v>
      </c>
      <c r="J22" t="s">
        <v>157</v>
      </c>
      <c r="K22" t="s">
        <v>74</v>
      </c>
      <c r="L22" t="s">
        <v>74</v>
      </c>
      <c r="M22" t="s">
        <v>78</v>
      </c>
      <c r="N22" t="s">
        <v>79</v>
      </c>
      <c r="O22" t="s">
        <v>74</v>
      </c>
      <c r="P22" t="s">
        <v>74</v>
      </c>
      <c r="Q22" t="s">
        <v>74</v>
      </c>
      <c r="R22" t="s">
        <v>74</v>
      </c>
      <c r="S22" t="s">
        <v>74</v>
      </c>
      <c r="T22" t="s">
        <v>74</v>
      </c>
      <c r="U22" t="s">
        <v>542</v>
      </c>
      <c r="V22" t="s">
        <v>543</v>
      </c>
      <c r="W22" t="s">
        <v>544</v>
      </c>
      <c r="X22" t="s">
        <v>545</v>
      </c>
      <c r="Y22" t="s">
        <v>546</v>
      </c>
      <c r="Z22" t="s">
        <v>547</v>
      </c>
      <c r="AA22" t="s">
        <v>548</v>
      </c>
      <c r="AB22" t="s">
        <v>549</v>
      </c>
      <c r="AC22" t="s">
        <v>550</v>
      </c>
      <c r="AD22" t="s">
        <v>550</v>
      </c>
      <c r="AE22" t="s">
        <v>551</v>
      </c>
      <c r="AF22" t="s">
        <v>74</v>
      </c>
      <c r="AG22">
        <v>34</v>
      </c>
      <c r="AH22">
        <v>33</v>
      </c>
      <c r="AI22">
        <v>38</v>
      </c>
      <c r="AJ22">
        <v>0</v>
      </c>
      <c r="AK22">
        <v>20</v>
      </c>
      <c r="AL22" t="s">
        <v>169</v>
      </c>
      <c r="AM22" t="s">
        <v>170</v>
      </c>
      <c r="AN22" t="s">
        <v>171</v>
      </c>
      <c r="AO22" t="s">
        <v>172</v>
      </c>
      <c r="AP22" t="s">
        <v>74</v>
      </c>
      <c r="AQ22" t="s">
        <v>74</v>
      </c>
      <c r="AR22" t="s">
        <v>157</v>
      </c>
      <c r="AS22" t="s">
        <v>173</v>
      </c>
      <c r="AT22" t="s">
        <v>485</v>
      </c>
      <c r="AU22">
        <v>2011</v>
      </c>
      <c r="AV22">
        <v>6</v>
      </c>
      <c r="AW22">
        <v>8</v>
      </c>
      <c r="AX22" t="s">
        <v>74</v>
      </c>
      <c r="AY22" t="s">
        <v>74</v>
      </c>
      <c r="AZ22" t="s">
        <v>74</v>
      </c>
      <c r="BA22" t="s">
        <v>74</v>
      </c>
      <c r="BB22" t="s">
        <v>74</v>
      </c>
      <c r="BC22" t="s">
        <v>74</v>
      </c>
      <c r="BD22" t="s">
        <v>552</v>
      </c>
      <c r="BE22" t="s">
        <v>553</v>
      </c>
      <c r="BF22" t="str">
        <f>HYPERLINK("http://dx.doi.org/10.1371/journal.pone.0023339","http://dx.doi.org/10.1371/journal.pone.0023339")</f>
        <v>http://dx.doi.org/10.1371/journal.pone.0023339</v>
      </c>
      <c r="BG22" t="s">
        <v>74</v>
      </c>
      <c r="BH22" t="s">
        <v>74</v>
      </c>
      <c r="BI22">
        <v>5</v>
      </c>
      <c r="BJ22" t="s">
        <v>177</v>
      </c>
      <c r="BK22" t="s">
        <v>100</v>
      </c>
      <c r="BL22" t="s">
        <v>178</v>
      </c>
      <c r="BM22" t="s">
        <v>554</v>
      </c>
      <c r="BN22">
        <v>21826250</v>
      </c>
      <c r="BO22" t="s">
        <v>555</v>
      </c>
      <c r="BP22" t="s">
        <v>74</v>
      </c>
      <c r="BQ22" t="s">
        <v>74</v>
      </c>
      <c r="BR22" t="s">
        <v>103</v>
      </c>
      <c r="BS22" t="s">
        <v>556</v>
      </c>
      <c r="BT22" t="str">
        <f>HYPERLINK("https%3A%2F%2Fwww.webofscience.com%2Fwos%2Fwoscc%2Ffull-record%2FWOS:000293558900076","View Full Record in Web of Science")</f>
        <v>View Full Record in Web of Science</v>
      </c>
    </row>
    <row r="23" spans="1:72" x14ac:dyDescent="0.15">
      <c r="A23" t="s">
        <v>72</v>
      </c>
      <c r="B23" t="s">
        <v>557</v>
      </c>
      <c r="C23" t="s">
        <v>74</v>
      </c>
      <c r="D23" t="s">
        <v>74</v>
      </c>
      <c r="E23" t="s">
        <v>74</v>
      </c>
      <c r="F23" t="s">
        <v>558</v>
      </c>
      <c r="G23" t="s">
        <v>74</v>
      </c>
      <c r="H23" t="s">
        <v>74</v>
      </c>
      <c r="I23" t="s">
        <v>559</v>
      </c>
      <c r="J23" t="s">
        <v>521</v>
      </c>
      <c r="K23" t="s">
        <v>74</v>
      </c>
      <c r="L23" t="s">
        <v>74</v>
      </c>
      <c r="M23" t="s">
        <v>78</v>
      </c>
      <c r="N23" t="s">
        <v>79</v>
      </c>
      <c r="O23" t="s">
        <v>74</v>
      </c>
      <c r="P23" t="s">
        <v>74</v>
      </c>
      <c r="Q23" t="s">
        <v>74</v>
      </c>
      <c r="R23" t="s">
        <v>74</v>
      </c>
      <c r="S23" t="s">
        <v>74</v>
      </c>
      <c r="T23" t="s">
        <v>74</v>
      </c>
      <c r="U23" t="s">
        <v>560</v>
      </c>
      <c r="V23" t="s">
        <v>561</v>
      </c>
      <c r="W23" t="s">
        <v>562</v>
      </c>
      <c r="X23" t="s">
        <v>563</v>
      </c>
      <c r="Y23" t="s">
        <v>564</v>
      </c>
      <c r="Z23" t="s">
        <v>565</v>
      </c>
      <c r="AA23" t="s">
        <v>566</v>
      </c>
      <c r="AB23" t="s">
        <v>567</v>
      </c>
      <c r="AC23" t="s">
        <v>568</v>
      </c>
      <c r="AD23" t="s">
        <v>569</v>
      </c>
      <c r="AE23" t="s">
        <v>570</v>
      </c>
      <c r="AF23" t="s">
        <v>74</v>
      </c>
      <c r="AG23">
        <v>83</v>
      </c>
      <c r="AH23">
        <v>35</v>
      </c>
      <c r="AI23">
        <v>35</v>
      </c>
      <c r="AJ23">
        <v>1</v>
      </c>
      <c r="AK23">
        <v>24</v>
      </c>
      <c r="AL23" t="s">
        <v>120</v>
      </c>
      <c r="AM23" t="s">
        <v>121</v>
      </c>
      <c r="AN23" t="s">
        <v>122</v>
      </c>
      <c r="AO23" t="s">
        <v>531</v>
      </c>
      <c r="AP23" t="s">
        <v>571</v>
      </c>
      <c r="AQ23" t="s">
        <v>74</v>
      </c>
      <c r="AR23" t="s">
        <v>521</v>
      </c>
      <c r="AS23" t="s">
        <v>532</v>
      </c>
      <c r="AT23" t="s">
        <v>572</v>
      </c>
      <c r="AU23">
        <v>2011</v>
      </c>
      <c r="AV23">
        <v>26</v>
      </c>
      <c r="AW23" t="s">
        <v>74</v>
      </c>
      <c r="AX23" t="s">
        <v>74</v>
      </c>
      <c r="AY23" t="s">
        <v>74</v>
      </c>
      <c r="AZ23" t="s">
        <v>74</v>
      </c>
      <c r="BA23" t="s">
        <v>74</v>
      </c>
      <c r="BB23" t="s">
        <v>74</v>
      </c>
      <c r="BC23" t="s">
        <v>74</v>
      </c>
      <c r="BD23" t="s">
        <v>573</v>
      </c>
      <c r="BE23" t="s">
        <v>574</v>
      </c>
      <c r="BF23" t="str">
        <f>HYPERLINK("http://dx.doi.org/10.1029/2010PA002080","http://dx.doi.org/10.1029/2010PA002080")</f>
        <v>http://dx.doi.org/10.1029/2010PA002080</v>
      </c>
      <c r="BG23" t="s">
        <v>74</v>
      </c>
      <c r="BH23" t="s">
        <v>74</v>
      </c>
      <c r="BI23">
        <v>12</v>
      </c>
      <c r="BJ23" t="s">
        <v>535</v>
      </c>
      <c r="BK23" t="s">
        <v>100</v>
      </c>
      <c r="BL23" t="s">
        <v>536</v>
      </c>
      <c r="BM23" t="s">
        <v>575</v>
      </c>
      <c r="BN23" t="s">
        <v>74</v>
      </c>
      <c r="BO23" t="s">
        <v>152</v>
      </c>
      <c r="BP23" t="s">
        <v>74</v>
      </c>
      <c r="BQ23" t="s">
        <v>74</v>
      </c>
      <c r="BR23" t="s">
        <v>103</v>
      </c>
      <c r="BS23" t="s">
        <v>576</v>
      </c>
      <c r="BT23" t="str">
        <f>HYPERLINK("https%3A%2F%2Fwww.webofscience.com%2Fwos%2Fwoscc%2Ffull-record%2FWOS:000293641800002","View Full Record in Web of Science")</f>
        <v>View Full Record in Web of Science</v>
      </c>
    </row>
    <row r="24" spans="1:72" x14ac:dyDescent="0.15">
      <c r="A24" t="s">
        <v>72</v>
      </c>
      <c r="B24" t="s">
        <v>577</v>
      </c>
      <c r="C24" t="s">
        <v>74</v>
      </c>
      <c r="D24" t="s">
        <v>74</v>
      </c>
      <c r="E24" t="s">
        <v>74</v>
      </c>
      <c r="F24" t="s">
        <v>578</v>
      </c>
      <c r="G24" t="s">
        <v>74</v>
      </c>
      <c r="H24" t="s">
        <v>74</v>
      </c>
      <c r="I24" t="s">
        <v>579</v>
      </c>
      <c r="J24" t="s">
        <v>108</v>
      </c>
      <c r="K24" t="s">
        <v>74</v>
      </c>
      <c r="L24" t="s">
        <v>74</v>
      </c>
      <c r="M24" t="s">
        <v>78</v>
      </c>
      <c r="N24" t="s">
        <v>79</v>
      </c>
      <c r="O24" t="s">
        <v>74</v>
      </c>
      <c r="P24" t="s">
        <v>74</v>
      </c>
      <c r="Q24" t="s">
        <v>74</v>
      </c>
      <c r="R24" t="s">
        <v>74</v>
      </c>
      <c r="S24" t="s">
        <v>74</v>
      </c>
      <c r="T24" t="s">
        <v>74</v>
      </c>
      <c r="U24" t="s">
        <v>580</v>
      </c>
      <c r="V24" t="s">
        <v>581</v>
      </c>
      <c r="W24" t="s">
        <v>582</v>
      </c>
      <c r="X24" t="s">
        <v>583</v>
      </c>
      <c r="Y24" t="s">
        <v>584</v>
      </c>
      <c r="Z24" t="s">
        <v>585</v>
      </c>
      <c r="AA24" t="s">
        <v>586</v>
      </c>
      <c r="AB24" t="s">
        <v>587</v>
      </c>
      <c r="AC24" t="s">
        <v>588</v>
      </c>
      <c r="AD24" t="s">
        <v>589</v>
      </c>
      <c r="AE24" t="s">
        <v>590</v>
      </c>
      <c r="AF24" t="s">
        <v>74</v>
      </c>
      <c r="AG24">
        <v>22</v>
      </c>
      <c r="AH24">
        <v>20</v>
      </c>
      <c r="AI24">
        <v>22</v>
      </c>
      <c r="AJ24">
        <v>0</v>
      </c>
      <c r="AK24">
        <v>8</v>
      </c>
      <c r="AL24" t="s">
        <v>120</v>
      </c>
      <c r="AM24" t="s">
        <v>121</v>
      </c>
      <c r="AN24" t="s">
        <v>122</v>
      </c>
      <c r="AO24" t="s">
        <v>123</v>
      </c>
      <c r="AP24" t="s">
        <v>124</v>
      </c>
      <c r="AQ24" t="s">
        <v>74</v>
      </c>
      <c r="AR24" t="s">
        <v>125</v>
      </c>
      <c r="AS24" t="s">
        <v>126</v>
      </c>
      <c r="AT24" t="s">
        <v>572</v>
      </c>
      <c r="AU24">
        <v>2011</v>
      </c>
      <c r="AV24">
        <v>38</v>
      </c>
      <c r="AW24" t="s">
        <v>74</v>
      </c>
      <c r="AX24" t="s">
        <v>74</v>
      </c>
      <c r="AY24" t="s">
        <v>74</v>
      </c>
      <c r="AZ24" t="s">
        <v>74</v>
      </c>
      <c r="BA24" t="s">
        <v>74</v>
      </c>
      <c r="BB24" t="s">
        <v>74</v>
      </c>
      <c r="BC24" t="s">
        <v>74</v>
      </c>
      <c r="BD24" t="s">
        <v>591</v>
      </c>
      <c r="BE24" t="s">
        <v>592</v>
      </c>
      <c r="BF24" t="str">
        <f>HYPERLINK("http://dx.doi.org/10.1029/2011GL048204","http://dx.doi.org/10.1029/2011GL048204")</f>
        <v>http://dx.doi.org/10.1029/2011GL048204</v>
      </c>
      <c r="BG24" t="s">
        <v>74</v>
      </c>
      <c r="BH24" t="s">
        <v>74</v>
      </c>
      <c r="BI24">
        <v>6</v>
      </c>
      <c r="BJ24" t="s">
        <v>130</v>
      </c>
      <c r="BK24" t="s">
        <v>100</v>
      </c>
      <c r="BL24" t="s">
        <v>131</v>
      </c>
      <c r="BM24" t="s">
        <v>593</v>
      </c>
      <c r="BN24" t="s">
        <v>74</v>
      </c>
      <c r="BO24" t="s">
        <v>594</v>
      </c>
      <c r="BP24" t="s">
        <v>74</v>
      </c>
      <c r="BQ24" t="s">
        <v>74</v>
      </c>
      <c r="BR24" t="s">
        <v>103</v>
      </c>
      <c r="BS24" t="s">
        <v>595</v>
      </c>
      <c r="BT24" t="str">
        <f>HYPERLINK("https%3A%2F%2Fwww.webofscience.com%2Fwos%2Fwoscc%2Ffull-record%2FWOS:000293642200005","View Full Record in Web of Science")</f>
        <v>View Full Record in Web of Science</v>
      </c>
    </row>
    <row r="25" spans="1:72" x14ac:dyDescent="0.15">
      <c r="A25" t="s">
        <v>72</v>
      </c>
      <c r="B25" t="s">
        <v>596</v>
      </c>
      <c r="C25" t="s">
        <v>74</v>
      </c>
      <c r="D25" t="s">
        <v>74</v>
      </c>
      <c r="E25" t="s">
        <v>74</v>
      </c>
      <c r="F25" t="s">
        <v>597</v>
      </c>
      <c r="G25" t="s">
        <v>74</v>
      </c>
      <c r="H25" t="s">
        <v>74</v>
      </c>
      <c r="I25" t="s">
        <v>598</v>
      </c>
      <c r="J25" t="s">
        <v>470</v>
      </c>
      <c r="K25" t="s">
        <v>74</v>
      </c>
      <c r="L25" t="s">
        <v>74</v>
      </c>
      <c r="M25" t="s">
        <v>78</v>
      </c>
      <c r="N25" t="s">
        <v>79</v>
      </c>
      <c r="O25" t="s">
        <v>74</v>
      </c>
      <c r="P25" t="s">
        <v>74</v>
      </c>
      <c r="Q25" t="s">
        <v>74</v>
      </c>
      <c r="R25" t="s">
        <v>74</v>
      </c>
      <c r="S25" t="s">
        <v>74</v>
      </c>
      <c r="T25" t="s">
        <v>74</v>
      </c>
      <c r="U25" t="s">
        <v>599</v>
      </c>
      <c r="V25" t="s">
        <v>600</v>
      </c>
      <c r="W25" t="s">
        <v>601</v>
      </c>
      <c r="X25" t="s">
        <v>602</v>
      </c>
      <c r="Y25" t="s">
        <v>603</v>
      </c>
      <c r="Z25" t="s">
        <v>604</v>
      </c>
      <c r="AA25" t="s">
        <v>605</v>
      </c>
      <c r="AB25" t="s">
        <v>606</v>
      </c>
      <c r="AC25" t="s">
        <v>607</v>
      </c>
      <c r="AD25" t="s">
        <v>608</v>
      </c>
      <c r="AE25" t="s">
        <v>609</v>
      </c>
      <c r="AF25" t="s">
        <v>74</v>
      </c>
      <c r="AG25">
        <v>138</v>
      </c>
      <c r="AH25">
        <v>44</v>
      </c>
      <c r="AI25">
        <v>46</v>
      </c>
      <c r="AJ25">
        <v>0</v>
      </c>
      <c r="AK25">
        <v>23</v>
      </c>
      <c r="AL25" t="s">
        <v>120</v>
      </c>
      <c r="AM25" t="s">
        <v>121</v>
      </c>
      <c r="AN25" t="s">
        <v>122</v>
      </c>
      <c r="AO25" t="s">
        <v>482</v>
      </c>
      <c r="AP25" t="s">
        <v>483</v>
      </c>
      <c r="AQ25" t="s">
        <v>74</v>
      </c>
      <c r="AR25" t="s">
        <v>470</v>
      </c>
      <c r="AS25" t="s">
        <v>484</v>
      </c>
      <c r="AT25" t="s">
        <v>572</v>
      </c>
      <c r="AU25">
        <v>2011</v>
      </c>
      <c r="AV25">
        <v>30</v>
      </c>
      <c r="AW25" t="s">
        <v>74</v>
      </c>
      <c r="AX25" t="s">
        <v>74</v>
      </c>
      <c r="AY25" t="s">
        <v>74</v>
      </c>
      <c r="AZ25" t="s">
        <v>74</v>
      </c>
      <c r="BA25" t="s">
        <v>74</v>
      </c>
      <c r="BB25" t="s">
        <v>74</v>
      </c>
      <c r="BC25" t="s">
        <v>74</v>
      </c>
      <c r="BD25" t="s">
        <v>610</v>
      </c>
      <c r="BE25" t="s">
        <v>611</v>
      </c>
      <c r="BF25" t="str">
        <f>HYPERLINK("http://dx.doi.org/10.1029/2010TC002755","http://dx.doi.org/10.1029/2010TC002755")</f>
        <v>http://dx.doi.org/10.1029/2010TC002755</v>
      </c>
      <c r="BG25" t="s">
        <v>74</v>
      </c>
      <c r="BH25" t="s">
        <v>74</v>
      </c>
      <c r="BI25">
        <v>22</v>
      </c>
      <c r="BJ25" t="s">
        <v>488</v>
      </c>
      <c r="BK25" t="s">
        <v>100</v>
      </c>
      <c r="BL25" t="s">
        <v>488</v>
      </c>
      <c r="BM25" t="s">
        <v>612</v>
      </c>
      <c r="BN25" t="s">
        <v>74</v>
      </c>
      <c r="BO25" t="s">
        <v>152</v>
      </c>
      <c r="BP25" t="s">
        <v>74</v>
      </c>
      <c r="BQ25" t="s">
        <v>74</v>
      </c>
      <c r="BR25" t="s">
        <v>103</v>
      </c>
      <c r="BS25" t="s">
        <v>613</v>
      </c>
      <c r="BT25" t="str">
        <f>HYPERLINK("https%3A%2F%2Fwww.webofscience.com%2Fwos%2Fwoscc%2Ffull-record%2FWOS:000293648900001","View Full Record in Web of Science")</f>
        <v>View Full Record in Web of Science</v>
      </c>
    </row>
    <row r="26" spans="1:72" x14ac:dyDescent="0.15">
      <c r="A26" t="s">
        <v>72</v>
      </c>
      <c r="B26" t="s">
        <v>614</v>
      </c>
      <c r="C26" t="s">
        <v>74</v>
      </c>
      <c r="D26" t="s">
        <v>74</v>
      </c>
      <c r="E26" t="s">
        <v>74</v>
      </c>
      <c r="F26" t="s">
        <v>615</v>
      </c>
      <c r="G26" t="s">
        <v>74</v>
      </c>
      <c r="H26" t="s">
        <v>74</v>
      </c>
      <c r="I26" t="s">
        <v>616</v>
      </c>
      <c r="J26" t="s">
        <v>617</v>
      </c>
      <c r="K26" t="s">
        <v>74</v>
      </c>
      <c r="L26" t="s">
        <v>74</v>
      </c>
      <c r="M26" t="s">
        <v>78</v>
      </c>
      <c r="N26" t="s">
        <v>79</v>
      </c>
      <c r="O26" t="s">
        <v>74</v>
      </c>
      <c r="P26" t="s">
        <v>74</v>
      </c>
      <c r="Q26" t="s">
        <v>74</v>
      </c>
      <c r="R26" t="s">
        <v>74</v>
      </c>
      <c r="S26" t="s">
        <v>74</v>
      </c>
      <c r="T26" t="s">
        <v>74</v>
      </c>
      <c r="U26" t="s">
        <v>618</v>
      </c>
      <c r="V26" t="s">
        <v>619</v>
      </c>
      <c r="W26" t="s">
        <v>620</v>
      </c>
      <c r="X26" t="s">
        <v>621</v>
      </c>
      <c r="Y26" t="s">
        <v>622</v>
      </c>
      <c r="Z26" t="s">
        <v>623</v>
      </c>
      <c r="AA26" t="s">
        <v>74</v>
      </c>
      <c r="AB26" t="s">
        <v>74</v>
      </c>
      <c r="AC26" t="s">
        <v>74</v>
      </c>
      <c r="AD26" t="s">
        <v>74</v>
      </c>
      <c r="AE26" t="s">
        <v>74</v>
      </c>
      <c r="AF26" t="s">
        <v>74</v>
      </c>
      <c r="AG26">
        <v>25</v>
      </c>
      <c r="AH26">
        <v>9</v>
      </c>
      <c r="AI26">
        <v>10</v>
      </c>
      <c r="AJ26">
        <v>0</v>
      </c>
      <c r="AK26">
        <v>7</v>
      </c>
      <c r="AL26" t="s">
        <v>624</v>
      </c>
      <c r="AM26" t="s">
        <v>91</v>
      </c>
      <c r="AN26" t="s">
        <v>625</v>
      </c>
      <c r="AO26" t="s">
        <v>626</v>
      </c>
      <c r="AP26" t="s">
        <v>74</v>
      </c>
      <c r="AQ26" t="s">
        <v>74</v>
      </c>
      <c r="AR26" t="s">
        <v>627</v>
      </c>
      <c r="AS26" t="s">
        <v>628</v>
      </c>
      <c r="AT26" t="s">
        <v>629</v>
      </c>
      <c r="AU26">
        <v>2011</v>
      </c>
      <c r="AV26">
        <v>51</v>
      </c>
      <c r="AW26">
        <v>4</v>
      </c>
      <c r="AX26" t="s">
        <v>74</v>
      </c>
      <c r="AY26" t="s">
        <v>74</v>
      </c>
      <c r="AZ26" t="s">
        <v>74</v>
      </c>
      <c r="BA26" t="s">
        <v>74</v>
      </c>
      <c r="BB26">
        <v>501</v>
      </c>
      <c r="BC26">
        <v>512</v>
      </c>
      <c r="BD26" t="s">
        <v>74</v>
      </c>
      <c r="BE26" t="s">
        <v>630</v>
      </c>
      <c r="BF26" t="str">
        <f>HYPERLINK("http://dx.doi.org/10.1134/S0016793211040104","http://dx.doi.org/10.1134/S0016793211040104")</f>
        <v>http://dx.doi.org/10.1134/S0016793211040104</v>
      </c>
      <c r="BG26" t="s">
        <v>74</v>
      </c>
      <c r="BH26" t="s">
        <v>74</v>
      </c>
      <c r="BI26">
        <v>12</v>
      </c>
      <c r="BJ26" t="s">
        <v>488</v>
      </c>
      <c r="BK26" t="s">
        <v>100</v>
      </c>
      <c r="BL26" t="s">
        <v>488</v>
      </c>
      <c r="BM26" t="s">
        <v>631</v>
      </c>
      <c r="BN26" t="s">
        <v>74</v>
      </c>
      <c r="BO26" t="s">
        <v>74</v>
      </c>
      <c r="BP26" t="s">
        <v>74</v>
      </c>
      <c r="BQ26" t="s">
        <v>74</v>
      </c>
      <c r="BR26" t="s">
        <v>103</v>
      </c>
      <c r="BS26" t="s">
        <v>632</v>
      </c>
      <c r="BT26" t="str">
        <f>HYPERLINK("https%3A%2F%2Fwww.webofscience.com%2Fwos%2Fwoscc%2Ffull-record%2FWOS:000298348200009","View Full Record in Web of Science")</f>
        <v>View Full Record in Web of Science</v>
      </c>
    </row>
    <row r="27" spans="1:72" x14ac:dyDescent="0.15">
      <c r="A27" t="s">
        <v>72</v>
      </c>
      <c r="B27" t="s">
        <v>633</v>
      </c>
      <c r="C27" t="s">
        <v>74</v>
      </c>
      <c r="D27" t="s">
        <v>74</v>
      </c>
      <c r="E27" t="s">
        <v>74</v>
      </c>
      <c r="F27" t="s">
        <v>634</v>
      </c>
      <c r="G27" t="s">
        <v>74</v>
      </c>
      <c r="H27" t="s">
        <v>74</v>
      </c>
      <c r="I27" t="s">
        <v>635</v>
      </c>
      <c r="J27" t="s">
        <v>617</v>
      </c>
      <c r="K27" t="s">
        <v>74</v>
      </c>
      <c r="L27" t="s">
        <v>74</v>
      </c>
      <c r="M27" t="s">
        <v>78</v>
      </c>
      <c r="N27" t="s">
        <v>79</v>
      </c>
      <c r="O27" t="s">
        <v>74</v>
      </c>
      <c r="P27" t="s">
        <v>74</v>
      </c>
      <c r="Q27" t="s">
        <v>74</v>
      </c>
      <c r="R27" t="s">
        <v>74</v>
      </c>
      <c r="S27" t="s">
        <v>74</v>
      </c>
      <c r="T27" t="s">
        <v>74</v>
      </c>
      <c r="U27" t="s">
        <v>636</v>
      </c>
      <c r="V27" t="s">
        <v>637</v>
      </c>
      <c r="W27" t="s">
        <v>638</v>
      </c>
      <c r="X27" t="s">
        <v>639</v>
      </c>
      <c r="Y27" t="s">
        <v>640</v>
      </c>
      <c r="Z27" t="s">
        <v>74</v>
      </c>
      <c r="AA27" t="s">
        <v>641</v>
      </c>
      <c r="AB27" t="s">
        <v>74</v>
      </c>
      <c r="AC27" t="s">
        <v>74</v>
      </c>
      <c r="AD27" t="s">
        <v>74</v>
      </c>
      <c r="AE27" t="s">
        <v>74</v>
      </c>
      <c r="AF27" t="s">
        <v>74</v>
      </c>
      <c r="AG27">
        <v>7</v>
      </c>
      <c r="AH27">
        <v>2</v>
      </c>
      <c r="AI27">
        <v>2</v>
      </c>
      <c r="AJ27">
        <v>0</v>
      </c>
      <c r="AK27">
        <v>2</v>
      </c>
      <c r="AL27" t="s">
        <v>624</v>
      </c>
      <c r="AM27" t="s">
        <v>91</v>
      </c>
      <c r="AN27" t="s">
        <v>625</v>
      </c>
      <c r="AO27" t="s">
        <v>626</v>
      </c>
      <c r="AP27" t="s">
        <v>74</v>
      </c>
      <c r="AQ27" t="s">
        <v>74</v>
      </c>
      <c r="AR27" t="s">
        <v>627</v>
      </c>
      <c r="AS27" t="s">
        <v>628</v>
      </c>
      <c r="AT27" t="s">
        <v>629</v>
      </c>
      <c r="AU27">
        <v>2011</v>
      </c>
      <c r="AV27">
        <v>51</v>
      </c>
      <c r="AW27">
        <v>4</v>
      </c>
      <c r="AX27" t="s">
        <v>74</v>
      </c>
      <c r="AY27" t="s">
        <v>74</v>
      </c>
      <c r="AZ27" t="s">
        <v>74</v>
      </c>
      <c r="BA27" t="s">
        <v>74</v>
      </c>
      <c r="BB27">
        <v>534</v>
      </c>
      <c r="BC27">
        <v>545</v>
      </c>
      <c r="BD27" t="s">
        <v>74</v>
      </c>
      <c r="BE27" t="s">
        <v>642</v>
      </c>
      <c r="BF27" t="str">
        <f>HYPERLINK("http://dx.doi.org/10.1134/S001679321104013X","http://dx.doi.org/10.1134/S001679321104013X")</f>
        <v>http://dx.doi.org/10.1134/S001679321104013X</v>
      </c>
      <c r="BG27" t="s">
        <v>74</v>
      </c>
      <c r="BH27" t="s">
        <v>74</v>
      </c>
      <c r="BI27">
        <v>12</v>
      </c>
      <c r="BJ27" t="s">
        <v>488</v>
      </c>
      <c r="BK27" t="s">
        <v>100</v>
      </c>
      <c r="BL27" t="s">
        <v>488</v>
      </c>
      <c r="BM27" t="s">
        <v>631</v>
      </c>
      <c r="BN27" t="s">
        <v>74</v>
      </c>
      <c r="BO27" t="s">
        <v>74</v>
      </c>
      <c r="BP27" t="s">
        <v>74</v>
      </c>
      <c r="BQ27" t="s">
        <v>74</v>
      </c>
      <c r="BR27" t="s">
        <v>103</v>
      </c>
      <c r="BS27" t="s">
        <v>643</v>
      </c>
      <c r="BT27" t="str">
        <f>HYPERLINK("https%3A%2F%2Fwww.webofscience.com%2Fwos%2Fwoscc%2Ffull-record%2FWOS:000298348200012","View Full Record in Web of Science")</f>
        <v>View Full Record in Web of Science</v>
      </c>
    </row>
    <row r="28" spans="1:72" x14ac:dyDescent="0.15">
      <c r="A28" t="s">
        <v>72</v>
      </c>
      <c r="B28" t="s">
        <v>644</v>
      </c>
      <c r="C28" t="s">
        <v>74</v>
      </c>
      <c r="D28" t="s">
        <v>74</v>
      </c>
      <c r="E28" t="s">
        <v>74</v>
      </c>
      <c r="F28" t="s">
        <v>645</v>
      </c>
      <c r="G28" t="s">
        <v>74</v>
      </c>
      <c r="H28" t="s">
        <v>74</v>
      </c>
      <c r="I28" t="s">
        <v>646</v>
      </c>
      <c r="J28" t="s">
        <v>647</v>
      </c>
      <c r="K28" t="s">
        <v>74</v>
      </c>
      <c r="L28" t="s">
        <v>74</v>
      </c>
      <c r="M28" t="s">
        <v>78</v>
      </c>
      <c r="N28" t="s">
        <v>79</v>
      </c>
      <c r="O28" t="s">
        <v>74</v>
      </c>
      <c r="P28" t="s">
        <v>74</v>
      </c>
      <c r="Q28" t="s">
        <v>74</v>
      </c>
      <c r="R28" t="s">
        <v>74</v>
      </c>
      <c r="S28" t="s">
        <v>74</v>
      </c>
      <c r="T28" t="s">
        <v>74</v>
      </c>
      <c r="U28" t="s">
        <v>648</v>
      </c>
      <c r="V28" t="s">
        <v>649</v>
      </c>
      <c r="W28" t="s">
        <v>650</v>
      </c>
      <c r="X28" t="s">
        <v>651</v>
      </c>
      <c r="Y28" t="s">
        <v>652</v>
      </c>
      <c r="Z28" t="s">
        <v>653</v>
      </c>
      <c r="AA28" t="s">
        <v>654</v>
      </c>
      <c r="AB28" t="s">
        <v>655</v>
      </c>
      <c r="AC28" t="s">
        <v>656</v>
      </c>
      <c r="AD28" t="s">
        <v>657</v>
      </c>
      <c r="AE28" t="s">
        <v>658</v>
      </c>
      <c r="AF28" t="s">
        <v>74</v>
      </c>
      <c r="AG28">
        <v>21</v>
      </c>
      <c r="AH28">
        <v>3</v>
      </c>
      <c r="AI28">
        <v>3</v>
      </c>
      <c r="AJ28">
        <v>0</v>
      </c>
      <c r="AK28">
        <v>5</v>
      </c>
      <c r="AL28" t="s">
        <v>624</v>
      </c>
      <c r="AM28" t="s">
        <v>91</v>
      </c>
      <c r="AN28" t="s">
        <v>625</v>
      </c>
      <c r="AO28" t="s">
        <v>659</v>
      </c>
      <c r="AP28" t="s">
        <v>74</v>
      </c>
      <c r="AQ28" t="s">
        <v>74</v>
      </c>
      <c r="AR28" t="s">
        <v>660</v>
      </c>
      <c r="AS28" t="s">
        <v>661</v>
      </c>
      <c r="AT28" t="s">
        <v>629</v>
      </c>
      <c r="AU28">
        <v>2011</v>
      </c>
      <c r="AV28">
        <v>51</v>
      </c>
      <c r="AW28">
        <v>4</v>
      </c>
      <c r="AX28" t="s">
        <v>74</v>
      </c>
      <c r="AY28" t="s">
        <v>74</v>
      </c>
      <c r="AZ28" t="s">
        <v>74</v>
      </c>
      <c r="BA28" t="s">
        <v>74</v>
      </c>
      <c r="BB28">
        <v>588</v>
      </c>
      <c r="BC28">
        <v>598</v>
      </c>
      <c r="BD28" t="s">
        <v>74</v>
      </c>
      <c r="BE28" t="s">
        <v>662</v>
      </c>
      <c r="BF28" t="str">
        <f>HYPERLINK("http://dx.doi.org/10.1134/S0001437011040175","http://dx.doi.org/10.1134/S0001437011040175")</f>
        <v>http://dx.doi.org/10.1134/S0001437011040175</v>
      </c>
      <c r="BG28" t="s">
        <v>74</v>
      </c>
      <c r="BH28" t="s">
        <v>74</v>
      </c>
      <c r="BI28">
        <v>11</v>
      </c>
      <c r="BJ28" t="s">
        <v>271</v>
      </c>
      <c r="BK28" t="s">
        <v>100</v>
      </c>
      <c r="BL28" t="s">
        <v>271</v>
      </c>
      <c r="BM28" t="s">
        <v>663</v>
      </c>
      <c r="BN28" t="s">
        <v>74</v>
      </c>
      <c r="BO28" t="s">
        <v>74</v>
      </c>
      <c r="BP28" t="s">
        <v>74</v>
      </c>
      <c r="BQ28" t="s">
        <v>74</v>
      </c>
      <c r="BR28" t="s">
        <v>103</v>
      </c>
      <c r="BS28" t="s">
        <v>664</v>
      </c>
      <c r="BT28" t="str">
        <f>HYPERLINK("https%3A%2F%2Fwww.webofscience.com%2Fwos%2Fwoscc%2Ffull-record%2FWOS:000298563300006","View Full Record in Web of Science")</f>
        <v>View Full Record in Web of Science</v>
      </c>
    </row>
    <row r="29" spans="1:72" x14ac:dyDescent="0.15">
      <c r="A29" t="s">
        <v>72</v>
      </c>
      <c r="B29" t="s">
        <v>665</v>
      </c>
      <c r="C29" t="s">
        <v>74</v>
      </c>
      <c r="D29" t="s">
        <v>74</v>
      </c>
      <c r="E29" t="s">
        <v>74</v>
      </c>
      <c r="F29" t="s">
        <v>666</v>
      </c>
      <c r="G29" t="s">
        <v>74</v>
      </c>
      <c r="H29" t="s">
        <v>74</v>
      </c>
      <c r="I29" t="s">
        <v>667</v>
      </c>
      <c r="J29" t="s">
        <v>647</v>
      </c>
      <c r="K29" t="s">
        <v>74</v>
      </c>
      <c r="L29" t="s">
        <v>74</v>
      </c>
      <c r="M29" t="s">
        <v>78</v>
      </c>
      <c r="N29" t="s">
        <v>79</v>
      </c>
      <c r="O29" t="s">
        <v>74</v>
      </c>
      <c r="P29" t="s">
        <v>74</v>
      </c>
      <c r="Q29" t="s">
        <v>74</v>
      </c>
      <c r="R29" t="s">
        <v>74</v>
      </c>
      <c r="S29" t="s">
        <v>74</v>
      </c>
      <c r="T29" t="s">
        <v>74</v>
      </c>
      <c r="U29" t="s">
        <v>668</v>
      </c>
      <c r="V29" t="s">
        <v>669</v>
      </c>
      <c r="W29" t="s">
        <v>670</v>
      </c>
      <c r="X29" t="s">
        <v>651</v>
      </c>
      <c r="Y29" t="s">
        <v>671</v>
      </c>
      <c r="Z29" t="s">
        <v>672</v>
      </c>
      <c r="AA29" t="s">
        <v>673</v>
      </c>
      <c r="AB29" t="s">
        <v>74</v>
      </c>
      <c r="AC29" t="s">
        <v>74</v>
      </c>
      <c r="AD29" t="s">
        <v>74</v>
      </c>
      <c r="AE29" t="s">
        <v>74</v>
      </c>
      <c r="AF29" t="s">
        <v>74</v>
      </c>
      <c r="AG29">
        <v>79</v>
      </c>
      <c r="AH29">
        <v>1</v>
      </c>
      <c r="AI29">
        <v>1</v>
      </c>
      <c r="AJ29">
        <v>0</v>
      </c>
      <c r="AK29">
        <v>5</v>
      </c>
      <c r="AL29" t="s">
        <v>624</v>
      </c>
      <c r="AM29" t="s">
        <v>91</v>
      </c>
      <c r="AN29" t="s">
        <v>625</v>
      </c>
      <c r="AO29" t="s">
        <v>659</v>
      </c>
      <c r="AP29" t="s">
        <v>674</v>
      </c>
      <c r="AQ29" t="s">
        <v>74</v>
      </c>
      <c r="AR29" t="s">
        <v>660</v>
      </c>
      <c r="AS29" t="s">
        <v>661</v>
      </c>
      <c r="AT29" t="s">
        <v>629</v>
      </c>
      <c r="AU29">
        <v>2011</v>
      </c>
      <c r="AV29">
        <v>51</v>
      </c>
      <c r="AW29">
        <v>4</v>
      </c>
      <c r="AX29" t="s">
        <v>74</v>
      </c>
      <c r="AY29" t="s">
        <v>74</v>
      </c>
      <c r="AZ29" t="s">
        <v>74</v>
      </c>
      <c r="BA29" t="s">
        <v>74</v>
      </c>
      <c r="BB29">
        <v>662</v>
      </c>
      <c r="BC29">
        <v>676</v>
      </c>
      <c r="BD29" t="s">
        <v>74</v>
      </c>
      <c r="BE29" t="s">
        <v>675</v>
      </c>
      <c r="BF29" t="str">
        <f>HYPERLINK("http://dx.doi.org/10.1134/S0001437011040151","http://dx.doi.org/10.1134/S0001437011040151")</f>
        <v>http://dx.doi.org/10.1134/S0001437011040151</v>
      </c>
      <c r="BG29" t="s">
        <v>74</v>
      </c>
      <c r="BH29" t="s">
        <v>74</v>
      </c>
      <c r="BI29">
        <v>15</v>
      </c>
      <c r="BJ29" t="s">
        <v>271</v>
      </c>
      <c r="BK29" t="s">
        <v>100</v>
      </c>
      <c r="BL29" t="s">
        <v>271</v>
      </c>
      <c r="BM29" t="s">
        <v>663</v>
      </c>
      <c r="BN29" t="s">
        <v>74</v>
      </c>
      <c r="BO29" t="s">
        <v>74</v>
      </c>
      <c r="BP29" t="s">
        <v>74</v>
      </c>
      <c r="BQ29" t="s">
        <v>74</v>
      </c>
      <c r="BR29" t="s">
        <v>103</v>
      </c>
      <c r="BS29" t="s">
        <v>676</v>
      </c>
      <c r="BT29" t="str">
        <f>HYPERLINK("https%3A%2F%2Fwww.webofscience.com%2Fwos%2Fwoscc%2Ffull-record%2FWOS:000298563300014","View Full Record in Web of Science")</f>
        <v>View Full Record in Web of Science</v>
      </c>
    </row>
    <row r="30" spans="1:72" x14ac:dyDescent="0.15">
      <c r="A30" t="s">
        <v>72</v>
      </c>
      <c r="B30" t="s">
        <v>677</v>
      </c>
      <c r="C30" t="s">
        <v>74</v>
      </c>
      <c r="D30" t="s">
        <v>74</v>
      </c>
      <c r="E30" t="s">
        <v>74</v>
      </c>
      <c r="F30" t="s">
        <v>678</v>
      </c>
      <c r="G30" t="s">
        <v>74</v>
      </c>
      <c r="H30" t="s">
        <v>74</v>
      </c>
      <c r="I30" t="s">
        <v>679</v>
      </c>
      <c r="J30" t="s">
        <v>680</v>
      </c>
      <c r="K30" t="s">
        <v>74</v>
      </c>
      <c r="L30" t="s">
        <v>74</v>
      </c>
      <c r="M30" t="s">
        <v>78</v>
      </c>
      <c r="N30" t="s">
        <v>79</v>
      </c>
      <c r="O30" t="s">
        <v>74</v>
      </c>
      <c r="P30" t="s">
        <v>74</v>
      </c>
      <c r="Q30" t="s">
        <v>74</v>
      </c>
      <c r="R30" t="s">
        <v>74</v>
      </c>
      <c r="S30" t="s">
        <v>74</v>
      </c>
      <c r="T30" t="s">
        <v>681</v>
      </c>
      <c r="U30" t="s">
        <v>682</v>
      </c>
      <c r="V30" t="s">
        <v>683</v>
      </c>
      <c r="W30" t="s">
        <v>684</v>
      </c>
      <c r="X30" t="s">
        <v>685</v>
      </c>
      <c r="Y30" t="s">
        <v>686</v>
      </c>
      <c r="Z30" t="s">
        <v>687</v>
      </c>
      <c r="AA30" t="s">
        <v>688</v>
      </c>
      <c r="AB30" t="s">
        <v>689</v>
      </c>
      <c r="AC30" t="s">
        <v>690</v>
      </c>
      <c r="AD30" t="s">
        <v>691</v>
      </c>
      <c r="AE30" t="s">
        <v>692</v>
      </c>
      <c r="AF30" t="s">
        <v>74</v>
      </c>
      <c r="AG30">
        <v>30</v>
      </c>
      <c r="AH30">
        <v>5</v>
      </c>
      <c r="AI30">
        <v>5</v>
      </c>
      <c r="AJ30">
        <v>0</v>
      </c>
      <c r="AK30">
        <v>3</v>
      </c>
      <c r="AL30" t="s">
        <v>693</v>
      </c>
      <c r="AM30" t="s">
        <v>91</v>
      </c>
      <c r="AN30" t="s">
        <v>694</v>
      </c>
      <c r="AO30" t="s">
        <v>695</v>
      </c>
      <c r="AP30" t="s">
        <v>696</v>
      </c>
      <c r="AQ30" t="s">
        <v>74</v>
      </c>
      <c r="AR30" t="s">
        <v>697</v>
      </c>
      <c r="AS30" t="s">
        <v>698</v>
      </c>
      <c r="AT30" t="s">
        <v>629</v>
      </c>
      <c r="AU30">
        <v>2011</v>
      </c>
      <c r="AV30">
        <v>91</v>
      </c>
      <c r="AW30">
        <v>5</v>
      </c>
      <c r="AX30" t="s">
        <v>74</v>
      </c>
      <c r="AY30" t="s">
        <v>74</v>
      </c>
      <c r="AZ30" t="s">
        <v>74</v>
      </c>
      <c r="BA30" t="s">
        <v>74</v>
      </c>
      <c r="BB30">
        <v>1023</v>
      </c>
      <c r="BC30">
        <v>1029</v>
      </c>
      <c r="BD30" t="s">
        <v>74</v>
      </c>
      <c r="BE30" t="s">
        <v>699</v>
      </c>
      <c r="BF30" t="str">
        <f>HYPERLINK("http://dx.doi.org/10.1017/S0025315410001840","http://dx.doi.org/10.1017/S0025315410001840")</f>
        <v>http://dx.doi.org/10.1017/S0025315410001840</v>
      </c>
      <c r="BG30" t="s">
        <v>74</v>
      </c>
      <c r="BH30" t="s">
        <v>74</v>
      </c>
      <c r="BI30">
        <v>7</v>
      </c>
      <c r="BJ30" t="s">
        <v>700</v>
      </c>
      <c r="BK30" t="s">
        <v>100</v>
      </c>
      <c r="BL30" t="s">
        <v>700</v>
      </c>
      <c r="BM30" t="s">
        <v>701</v>
      </c>
      <c r="BN30" t="s">
        <v>74</v>
      </c>
      <c r="BO30" t="s">
        <v>702</v>
      </c>
      <c r="BP30" t="s">
        <v>74</v>
      </c>
      <c r="BQ30" t="s">
        <v>74</v>
      </c>
      <c r="BR30" t="s">
        <v>103</v>
      </c>
      <c r="BS30" t="s">
        <v>703</v>
      </c>
      <c r="BT30" t="str">
        <f>HYPERLINK("https%3A%2F%2Fwww.webofscience.com%2Fwos%2Fwoscc%2Ffull-record%2FWOS:000292263400007","View Full Record in Web of Science")</f>
        <v>View Full Record in Web of Science</v>
      </c>
    </row>
    <row r="31" spans="1:72" x14ac:dyDescent="0.15">
      <c r="A31" t="s">
        <v>72</v>
      </c>
      <c r="B31" t="s">
        <v>704</v>
      </c>
      <c r="C31" t="s">
        <v>74</v>
      </c>
      <c r="D31" t="s">
        <v>74</v>
      </c>
      <c r="E31" t="s">
        <v>74</v>
      </c>
      <c r="F31" t="s">
        <v>705</v>
      </c>
      <c r="G31" t="s">
        <v>74</v>
      </c>
      <c r="H31" t="s">
        <v>74</v>
      </c>
      <c r="I31" t="s">
        <v>706</v>
      </c>
      <c r="J31" t="s">
        <v>707</v>
      </c>
      <c r="K31" t="s">
        <v>74</v>
      </c>
      <c r="L31" t="s">
        <v>74</v>
      </c>
      <c r="M31" t="s">
        <v>78</v>
      </c>
      <c r="N31" t="s">
        <v>79</v>
      </c>
      <c r="O31" t="s">
        <v>74</v>
      </c>
      <c r="P31" t="s">
        <v>74</v>
      </c>
      <c r="Q31" t="s">
        <v>74</v>
      </c>
      <c r="R31" t="s">
        <v>74</v>
      </c>
      <c r="S31" t="s">
        <v>74</v>
      </c>
      <c r="T31" t="s">
        <v>708</v>
      </c>
      <c r="U31" t="s">
        <v>709</v>
      </c>
      <c r="V31" t="s">
        <v>710</v>
      </c>
      <c r="W31" t="s">
        <v>711</v>
      </c>
      <c r="X31" t="s">
        <v>712</v>
      </c>
      <c r="Y31" t="s">
        <v>713</v>
      </c>
      <c r="Z31" t="s">
        <v>714</v>
      </c>
      <c r="AA31" t="s">
        <v>715</v>
      </c>
      <c r="AB31" t="s">
        <v>716</v>
      </c>
      <c r="AC31" t="s">
        <v>74</v>
      </c>
      <c r="AD31" t="s">
        <v>74</v>
      </c>
      <c r="AE31" t="s">
        <v>74</v>
      </c>
      <c r="AF31" t="s">
        <v>74</v>
      </c>
      <c r="AG31">
        <v>43</v>
      </c>
      <c r="AH31">
        <v>19</v>
      </c>
      <c r="AI31">
        <v>19</v>
      </c>
      <c r="AJ31">
        <v>0</v>
      </c>
      <c r="AK31">
        <v>26</v>
      </c>
      <c r="AL31" t="s">
        <v>693</v>
      </c>
      <c r="AM31" t="s">
        <v>91</v>
      </c>
      <c r="AN31" t="s">
        <v>694</v>
      </c>
      <c r="AO31" t="s">
        <v>717</v>
      </c>
      <c r="AP31" t="s">
        <v>718</v>
      </c>
      <c r="AQ31" t="s">
        <v>74</v>
      </c>
      <c r="AR31" t="s">
        <v>719</v>
      </c>
      <c r="AS31" t="s">
        <v>720</v>
      </c>
      <c r="AT31" t="s">
        <v>629</v>
      </c>
      <c r="AU31">
        <v>2011</v>
      </c>
      <c r="AV31">
        <v>23</v>
      </c>
      <c r="AW31">
        <v>4</v>
      </c>
      <c r="AX31" t="s">
        <v>74</v>
      </c>
      <c r="AY31" t="s">
        <v>74</v>
      </c>
      <c r="AZ31" t="s">
        <v>74</v>
      </c>
      <c r="BA31" t="s">
        <v>74</v>
      </c>
      <c r="BB31">
        <v>337</v>
      </c>
      <c r="BC31">
        <v>342</v>
      </c>
      <c r="BD31" t="s">
        <v>74</v>
      </c>
      <c r="BE31" t="s">
        <v>721</v>
      </c>
      <c r="BF31" t="str">
        <f>HYPERLINK("http://dx.doi.org/10.1017/S0954102011000198","http://dx.doi.org/10.1017/S0954102011000198")</f>
        <v>http://dx.doi.org/10.1017/S0954102011000198</v>
      </c>
      <c r="BG31" t="s">
        <v>74</v>
      </c>
      <c r="BH31" t="s">
        <v>74</v>
      </c>
      <c r="BI31">
        <v>6</v>
      </c>
      <c r="BJ31" t="s">
        <v>722</v>
      </c>
      <c r="BK31" t="s">
        <v>100</v>
      </c>
      <c r="BL31" t="s">
        <v>723</v>
      </c>
      <c r="BM31" t="s">
        <v>724</v>
      </c>
      <c r="BN31" t="s">
        <v>74</v>
      </c>
      <c r="BO31" t="s">
        <v>74</v>
      </c>
      <c r="BP31" t="s">
        <v>74</v>
      </c>
      <c r="BQ31" t="s">
        <v>74</v>
      </c>
      <c r="BR31" t="s">
        <v>103</v>
      </c>
      <c r="BS31" t="s">
        <v>725</v>
      </c>
      <c r="BT31" t="str">
        <f>HYPERLINK("https%3A%2F%2Fwww.webofscience.com%2Fwos%2Fwoscc%2Ffull-record%2FWOS:000293337000004","View Full Record in Web of Science")</f>
        <v>View Full Record in Web of Science</v>
      </c>
    </row>
    <row r="32" spans="1:72" x14ac:dyDescent="0.15">
      <c r="A32" t="s">
        <v>72</v>
      </c>
      <c r="B32" t="s">
        <v>726</v>
      </c>
      <c r="C32" t="s">
        <v>74</v>
      </c>
      <c r="D32" t="s">
        <v>74</v>
      </c>
      <c r="E32" t="s">
        <v>74</v>
      </c>
      <c r="F32" t="s">
        <v>727</v>
      </c>
      <c r="G32" t="s">
        <v>74</v>
      </c>
      <c r="H32" t="s">
        <v>74</v>
      </c>
      <c r="I32" t="s">
        <v>728</v>
      </c>
      <c r="J32" t="s">
        <v>729</v>
      </c>
      <c r="K32" t="s">
        <v>74</v>
      </c>
      <c r="L32" t="s">
        <v>74</v>
      </c>
      <c r="M32" t="s">
        <v>78</v>
      </c>
      <c r="N32" t="s">
        <v>79</v>
      </c>
      <c r="O32" t="s">
        <v>74</v>
      </c>
      <c r="P32" t="s">
        <v>74</v>
      </c>
      <c r="Q32" t="s">
        <v>74</v>
      </c>
      <c r="R32" t="s">
        <v>74</v>
      </c>
      <c r="S32" t="s">
        <v>74</v>
      </c>
      <c r="T32" t="s">
        <v>74</v>
      </c>
      <c r="U32" t="s">
        <v>730</v>
      </c>
      <c r="V32" t="s">
        <v>731</v>
      </c>
      <c r="W32" t="s">
        <v>732</v>
      </c>
      <c r="X32" t="s">
        <v>733</v>
      </c>
      <c r="Y32" t="s">
        <v>734</v>
      </c>
      <c r="Z32" t="s">
        <v>735</v>
      </c>
      <c r="AA32" t="s">
        <v>736</v>
      </c>
      <c r="AB32" t="s">
        <v>737</v>
      </c>
      <c r="AC32" t="s">
        <v>738</v>
      </c>
      <c r="AD32" t="s">
        <v>739</v>
      </c>
      <c r="AE32" t="s">
        <v>740</v>
      </c>
      <c r="AF32" t="s">
        <v>74</v>
      </c>
      <c r="AG32">
        <v>43</v>
      </c>
      <c r="AH32">
        <v>18</v>
      </c>
      <c r="AI32">
        <v>18</v>
      </c>
      <c r="AJ32">
        <v>2</v>
      </c>
      <c r="AK32">
        <v>24</v>
      </c>
      <c r="AL32" t="s">
        <v>741</v>
      </c>
      <c r="AM32" t="s">
        <v>742</v>
      </c>
      <c r="AN32" t="s">
        <v>743</v>
      </c>
      <c r="AO32" t="s">
        <v>744</v>
      </c>
      <c r="AP32" t="s">
        <v>745</v>
      </c>
      <c r="AQ32" t="s">
        <v>74</v>
      </c>
      <c r="AR32" t="s">
        <v>746</v>
      </c>
      <c r="AS32" t="s">
        <v>747</v>
      </c>
      <c r="AT32" t="s">
        <v>629</v>
      </c>
      <c r="AU32">
        <v>2011</v>
      </c>
      <c r="AV32">
        <v>68</v>
      </c>
      <c r="AW32">
        <v>8</v>
      </c>
      <c r="AX32" t="s">
        <v>74</v>
      </c>
      <c r="AY32" t="s">
        <v>74</v>
      </c>
      <c r="AZ32" t="s">
        <v>74</v>
      </c>
      <c r="BA32" t="s">
        <v>74</v>
      </c>
      <c r="BB32">
        <v>1351</v>
      </c>
      <c r="BC32">
        <v>1360</v>
      </c>
      <c r="BD32" t="s">
        <v>74</v>
      </c>
      <c r="BE32" t="s">
        <v>748</v>
      </c>
      <c r="BF32" t="str">
        <f>HYPERLINK("http://dx.doi.org/10.1139/F2011-059","http://dx.doi.org/10.1139/F2011-059")</f>
        <v>http://dx.doi.org/10.1139/F2011-059</v>
      </c>
      <c r="BG32" t="s">
        <v>74</v>
      </c>
      <c r="BH32" t="s">
        <v>74</v>
      </c>
      <c r="BI32">
        <v>10</v>
      </c>
      <c r="BJ32" t="s">
        <v>317</v>
      </c>
      <c r="BK32" t="s">
        <v>100</v>
      </c>
      <c r="BL32" t="s">
        <v>317</v>
      </c>
      <c r="BM32" t="s">
        <v>749</v>
      </c>
      <c r="BN32" t="s">
        <v>74</v>
      </c>
      <c r="BO32" t="s">
        <v>74</v>
      </c>
      <c r="BP32" t="s">
        <v>74</v>
      </c>
      <c r="BQ32" t="s">
        <v>74</v>
      </c>
      <c r="BR32" t="s">
        <v>103</v>
      </c>
      <c r="BS32" t="s">
        <v>750</v>
      </c>
      <c r="BT32" t="str">
        <f>HYPERLINK("https%3A%2F%2Fwww.webofscience.com%2Fwos%2Fwoscc%2Ffull-record%2FWOS:000296033800005","View Full Record in Web of Science")</f>
        <v>View Full Record in Web of Science</v>
      </c>
    </row>
    <row r="33" spans="1:72" x14ac:dyDescent="0.15">
      <c r="A33" t="s">
        <v>751</v>
      </c>
      <c r="B33" t="s">
        <v>752</v>
      </c>
      <c r="C33" t="s">
        <v>74</v>
      </c>
      <c r="D33" t="s">
        <v>74</v>
      </c>
      <c r="E33" t="s">
        <v>74</v>
      </c>
      <c r="F33" t="s">
        <v>753</v>
      </c>
      <c r="G33" t="s">
        <v>74</v>
      </c>
      <c r="H33" t="s">
        <v>754</v>
      </c>
      <c r="I33" t="s">
        <v>755</v>
      </c>
      <c r="J33" t="s">
        <v>756</v>
      </c>
      <c r="K33" t="s">
        <v>74</v>
      </c>
      <c r="L33" t="s">
        <v>74</v>
      </c>
      <c r="M33" t="s">
        <v>78</v>
      </c>
      <c r="N33" t="s">
        <v>757</v>
      </c>
      <c r="O33" t="s">
        <v>758</v>
      </c>
      <c r="P33" t="s">
        <v>759</v>
      </c>
      <c r="Q33" t="s">
        <v>760</v>
      </c>
      <c r="R33" t="s">
        <v>74</v>
      </c>
      <c r="S33" t="s">
        <v>74</v>
      </c>
      <c r="T33" t="s">
        <v>74</v>
      </c>
      <c r="U33" t="s">
        <v>761</v>
      </c>
      <c r="V33" t="s">
        <v>762</v>
      </c>
      <c r="W33" t="s">
        <v>763</v>
      </c>
      <c r="X33" t="s">
        <v>764</v>
      </c>
      <c r="Y33" t="s">
        <v>765</v>
      </c>
      <c r="Z33" t="s">
        <v>74</v>
      </c>
      <c r="AA33" t="s">
        <v>766</v>
      </c>
      <c r="AB33" t="s">
        <v>767</v>
      </c>
      <c r="AC33" t="s">
        <v>74</v>
      </c>
      <c r="AD33" t="s">
        <v>74</v>
      </c>
      <c r="AE33" t="s">
        <v>74</v>
      </c>
      <c r="AF33" t="s">
        <v>74</v>
      </c>
      <c r="AG33">
        <v>19</v>
      </c>
      <c r="AH33">
        <v>2</v>
      </c>
      <c r="AI33">
        <v>2</v>
      </c>
      <c r="AJ33">
        <v>0</v>
      </c>
      <c r="AK33">
        <v>0</v>
      </c>
      <c r="AL33" t="s">
        <v>308</v>
      </c>
      <c r="AM33" t="s">
        <v>309</v>
      </c>
      <c r="AN33" t="s">
        <v>310</v>
      </c>
      <c r="AO33" t="s">
        <v>768</v>
      </c>
      <c r="AP33" t="s">
        <v>769</v>
      </c>
      <c r="AQ33" t="s">
        <v>74</v>
      </c>
      <c r="AR33" t="s">
        <v>770</v>
      </c>
      <c r="AS33" t="s">
        <v>771</v>
      </c>
      <c r="AT33" t="s">
        <v>629</v>
      </c>
      <c r="AU33">
        <v>2011</v>
      </c>
      <c r="AV33">
        <v>217</v>
      </c>
      <c r="AW33" t="s">
        <v>74</v>
      </c>
      <c r="AX33" t="s">
        <v>74</v>
      </c>
      <c r="AY33" t="s">
        <v>74</v>
      </c>
      <c r="AZ33" t="s">
        <v>74</v>
      </c>
      <c r="BA33" t="s">
        <v>74</v>
      </c>
      <c r="BB33">
        <v>269</v>
      </c>
      <c r="BC33">
        <v>271</v>
      </c>
      <c r="BD33" t="s">
        <v>74</v>
      </c>
      <c r="BE33" t="s">
        <v>772</v>
      </c>
      <c r="BF33" t="str">
        <f>HYPERLINK("http://dx.doi.org/10.1016/j.nuclphysbps.2011.04.116","http://dx.doi.org/10.1016/j.nuclphysbps.2011.04.116")</f>
        <v>http://dx.doi.org/10.1016/j.nuclphysbps.2011.04.116</v>
      </c>
      <c r="BG33" t="s">
        <v>74</v>
      </c>
      <c r="BH33" t="s">
        <v>74</v>
      </c>
      <c r="BI33">
        <v>3</v>
      </c>
      <c r="BJ33" t="s">
        <v>773</v>
      </c>
      <c r="BK33" t="s">
        <v>774</v>
      </c>
      <c r="BL33" t="s">
        <v>775</v>
      </c>
      <c r="BM33" t="s">
        <v>776</v>
      </c>
      <c r="BN33" t="s">
        <v>74</v>
      </c>
      <c r="BO33" t="s">
        <v>74</v>
      </c>
      <c r="BP33" t="s">
        <v>74</v>
      </c>
      <c r="BQ33" t="s">
        <v>74</v>
      </c>
      <c r="BR33" t="s">
        <v>103</v>
      </c>
      <c r="BS33" t="s">
        <v>777</v>
      </c>
      <c r="BT33" t="str">
        <f>HYPERLINK("https%3A%2F%2Fwww.webofscience.com%2Fwos%2Fwoscc%2Ffull-record%2FWOS:000295296500063","View Full Record in Web of Science")</f>
        <v>View Full Record in Web of Science</v>
      </c>
    </row>
    <row r="34" spans="1:72" x14ac:dyDescent="0.15">
      <c r="A34" t="s">
        <v>72</v>
      </c>
      <c r="B34" t="s">
        <v>778</v>
      </c>
      <c r="C34" t="s">
        <v>74</v>
      </c>
      <c r="D34" t="s">
        <v>74</v>
      </c>
      <c r="E34" t="s">
        <v>74</v>
      </c>
      <c r="F34" t="s">
        <v>779</v>
      </c>
      <c r="G34" t="s">
        <v>74</v>
      </c>
      <c r="H34" t="s">
        <v>74</v>
      </c>
      <c r="I34" t="s">
        <v>780</v>
      </c>
      <c r="J34" t="s">
        <v>781</v>
      </c>
      <c r="K34" t="s">
        <v>74</v>
      </c>
      <c r="L34" t="s">
        <v>74</v>
      </c>
      <c r="M34" t="s">
        <v>78</v>
      </c>
      <c r="N34" t="s">
        <v>79</v>
      </c>
      <c r="O34" t="s">
        <v>74</v>
      </c>
      <c r="P34" t="s">
        <v>74</v>
      </c>
      <c r="Q34" t="s">
        <v>74</v>
      </c>
      <c r="R34" t="s">
        <v>74</v>
      </c>
      <c r="S34" t="s">
        <v>74</v>
      </c>
      <c r="T34" t="s">
        <v>782</v>
      </c>
      <c r="U34" t="s">
        <v>783</v>
      </c>
      <c r="V34" t="s">
        <v>784</v>
      </c>
      <c r="W34" t="s">
        <v>785</v>
      </c>
      <c r="X34" t="s">
        <v>786</v>
      </c>
      <c r="Y34" t="s">
        <v>787</v>
      </c>
      <c r="Z34" t="s">
        <v>788</v>
      </c>
      <c r="AA34" t="s">
        <v>789</v>
      </c>
      <c r="AB34" t="s">
        <v>790</v>
      </c>
      <c r="AC34" t="s">
        <v>791</v>
      </c>
      <c r="AD34" t="s">
        <v>791</v>
      </c>
      <c r="AE34" t="s">
        <v>792</v>
      </c>
      <c r="AF34" t="s">
        <v>74</v>
      </c>
      <c r="AG34">
        <v>62</v>
      </c>
      <c r="AH34">
        <v>8</v>
      </c>
      <c r="AI34">
        <v>8</v>
      </c>
      <c r="AJ34">
        <v>0</v>
      </c>
      <c r="AK34">
        <v>6</v>
      </c>
      <c r="AL34" t="s">
        <v>793</v>
      </c>
      <c r="AM34" t="s">
        <v>794</v>
      </c>
      <c r="AN34" t="s">
        <v>795</v>
      </c>
      <c r="AO34" t="s">
        <v>796</v>
      </c>
      <c r="AP34" t="s">
        <v>74</v>
      </c>
      <c r="AQ34" t="s">
        <v>74</v>
      </c>
      <c r="AR34" t="s">
        <v>797</v>
      </c>
      <c r="AS34" t="s">
        <v>798</v>
      </c>
      <c r="AT34" t="s">
        <v>629</v>
      </c>
      <c r="AU34">
        <v>2011</v>
      </c>
      <c r="AV34">
        <v>120</v>
      </c>
      <c r="AW34">
        <v>4</v>
      </c>
      <c r="AX34" t="s">
        <v>74</v>
      </c>
      <c r="AY34" t="s">
        <v>74</v>
      </c>
      <c r="AZ34" t="s">
        <v>74</v>
      </c>
      <c r="BA34" t="s">
        <v>74</v>
      </c>
      <c r="BB34">
        <v>735</v>
      </c>
      <c r="BC34">
        <v>754</v>
      </c>
      <c r="BD34" t="s">
        <v>74</v>
      </c>
      <c r="BE34" t="s">
        <v>799</v>
      </c>
      <c r="BF34" t="str">
        <f>HYPERLINK("http://dx.doi.org/10.1007/s12040-011-0102-5","http://dx.doi.org/10.1007/s12040-011-0102-5")</f>
        <v>http://dx.doi.org/10.1007/s12040-011-0102-5</v>
      </c>
      <c r="BG34" t="s">
        <v>74</v>
      </c>
      <c r="BH34" t="s">
        <v>74</v>
      </c>
      <c r="BI34">
        <v>20</v>
      </c>
      <c r="BJ34" t="s">
        <v>800</v>
      </c>
      <c r="BK34" t="s">
        <v>100</v>
      </c>
      <c r="BL34" t="s">
        <v>801</v>
      </c>
      <c r="BM34" t="s">
        <v>802</v>
      </c>
      <c r="BN34" t="s">
        <v>74</v>
      </c>
      <c r="BO34" t="s">
        <v>152</v>
      </c>
      <c r="BP34" t="s">
        <v>74</v>
      </c>
      <c r="BQ34" t="s">
        <v>74</v>
      </c>
      <c r="BR34" t="s">
        <v>103</v>
      </c>
      <c r="BS34" t="s">
        <v>803</v>
      </c>
      <c r="BT34" t="str">
        <f>HYPERLINK("https%3A%2F%2Fwww.webofscience.com%2Fwos%2Fwoscc%2Ffull-record%2FWOS:000295537300014","View Full Record in Web of Science")</f>
        <v>View Full Record in Web of Science</v>
      </c>
    </row>
    <row r="35" spans="1:72" x14ac:dyDescent="0.15">
      <c r="A35" t="s">
        <v>72</v>
      </c>
      <c r="B35" t="s">
        <v>804</v>
      </c>
      <c r="C35" t="s">
        <v>74</v>
      </c>
      <c r="D35" t="s">
        <v>74</v>
      </c>
      <c r="E35" t="s">
        <v>74</v>
      </c>
      <c r="F35" t="s">
        <v>805</v>
      </c>
      <c r="G35" t="s">
        <v>74</v>
      </c>
      <c r="H35" t="s">
        <v>74</v>
      </c>
      <c r="I35" t="s">
        <v>806</v>
      </c>
      <c r="J35" t="s">
        <v>807</v>
      </c>
      <c r="K35" t="s">
        <v>74</v>
      </c>
      <c r="L35" t="s">
        <v>74</v>
      </c>
      <c r="M35" t="s">
        <v>78</v>
      </c>
      <c r="N35" t="s">
        <v>79</v>
      </c>
      <c r="O35" t="s">
        <v>74</v>
      </c>
      <c r="P35" t="s">
        <v>74</v>
      </c>
      <c r="Q35" t="s">
        <v>74</v>
      </c>
      <c r="R35" t="s">
        <v>74</v>
      </c>
      <c r="S35" t="s">
        <v>74</v>
      </c>
      <c r="T35" t="s">
        <v>808</v>
      </c>
      <c r="U35" t="s">
        <v>809</v>
      </c>
      <c r="V35" t="s">
        <v>810</v>
      </c>
      <c r="W35" t="s">
        <v>811</v>
      </c>
      <c r="X35" t="s">
        <v>812</v>
      </c>
      <c r="Y35" t="s">
        <v>813</v>
      </c>
      <c r="Z35" t="s">
        <v>814</v>
      </c>
      <c r="AA35" t="s">
        <v>815</v>
      </c>
      <c r="AB35" t="s">
        <v>816</v>
      </c>
      <c r="AC35" t="s">
        <v>817</v>
      </c>
      <c r="AD35" t="s">
        <v>817</v>
      </c>
      <c r="AE35" t="s">
        <v>818</v>
      </c>
      <c r="AF35" t="s">
        <v>74</v>
      </c>
      <c r="AG35">
        <v>8</v>
      </c>
      <c r="AH35">
        <v>3</v>
      </c>
      <c r="AI35">
        <v>3</v>
      </c>
      <c r="AJ35">
        <v>0</v>
      </c>
      <c r="AK35">
        <v>18</v>
      </c>
      <c r="AL35" t="s">
        <v>819</v>
      </c>
      <c r="AM35" t="s">
        <v>820</v>
      </c>
      <c r="AN35" t="s">
        <v>821</v>
      </c>
      <c r="AO35" t="s">
        <v>822</v>
      </c>
      <c r="AP35" t="s">
        <v>74</v>
      </c>
      <c r="AQ35" t="s">
        <v>74</v>
      </c>
      <c r="AR35" t="s">
        <v>823</v>
      </c>
      <c r="AS35" t="s">
        <v>824</v>
      </c>
      <c r="AT35" t="s">
        <v>629</v>
      </c>
      <c r="AU35">
        <v>2011</v>
      </c>
      <c r="AV35">
        <v>78</v>
      </c>
      <c r="AW35">
        <v>2</v>
      </c>
      <c r="AX35" t="s">
        <v>74</v>
      </c>
      <c r="AY35" t="s">
        <v>74</v>
      </c>
      <c r="AZ35" t="s">
        <v>74</v>
      </c>
      <c r="BA35" t="s">
        <v>74</v>
      </c>
      <c r="BB35">
        <v>99</v>
      </c>
      <c r="BC35">
        <v>108</v>
      </c>
      <c r="BD35" t="s">
        <v>74</v>
      </c>
      <c r="BE35" t="s">
        <v>825</v>
      </c>
      <c r="BF35" t="str">
        <f>HYPERLINK("http://dx.doi.org/10.1007/s12594-011-0076-6","http://dx.doi.org/10.1007/s12594-011-0076-6")</f>
        <v>http://dx.doi.org/10.1007/s12594-011-0076-6</v>
      </c>
      <c r="BG35" t="s">
        <v>74</v>
      </c>
      <c r="BH35" t="s">
        <v>74</v>
      </c>
      <c r="BI35">
        <v>10</v>
      </c>
      <c r="BJ35" t="s">
        <v>130</v>
      </c>
      <c r="BK35" t="s">
        <v>100</v>
      </c>
      <c r="BL35" t="s">
        <v>131</v>
      </c>
      <c r="BM35" t="s">
        <v>826</v>
      </c>
      <c r="BN35" t="s">
        <v>74</v>
      </c>
      <c r="BO35" t="s">
        <v>74</v>
      </c>
      <c r="BP35" t="s">
        <v>74</v>
      </c>
      <c r="BQ35" t="s">
        <v>74</v>
      </c>
      <c r="BR35" t="s">
        <v>103</v>
      </c>
      <c r="BS35" t="s">
        <v>827</v>
      </c>
      <c r="BT35" t="str">
        <f>HYPERLINK("https%3A%2F%2Fwww.webofscience.com%2Fwos%2Fwoscc%2Ffull-record%2FWOS:000295168200001","View Full Record in Web of Science")</f>
        <v>View Full Record in Web of Science</v>
      </c>
    </row>
    <row r="36" spans="1:72" x14ac:dyDescent="0.15">
      <c r="A36" t="s">
        <v>72</v>
      </c>
      <c r="B36" t="s">
        <v>828</v>
      </c>
      <c r="C36" t="s">
        <v>74</v>
      </c>
      <c r="D36" t="s">
        <v>74</v>
      </c>
      <c r="E36" t="s">
        <v>74</v>
      </c>
      <c r="F36" t="s">
        <v>829</v>
      </c>
      <c r="G36" t="s">
        <v>74</v>
      </c>
      <c r="H36" t="s">
        <v>74</v>
      </c>
      <c r="I36" t="s">
        <v>830</v>
      </c>
      <c r="J36" t="s">
        <v>807</v>
      </c>
      <c r="K36" t="s">
        <v>74</v>
      </c>
      <c r="L36" t="s">
        <v>74</v>
      </c>
      <c r="M36" t="s">
        <v>78</v>
      </c>
      <c r="N36" t="s">
        <v>79</v>
      </c>
      <c r="O36" t="s">
        <v>74</v>
      </c>
      <c r="P36" t="s">
        <v>74</v>
      </c>
      <c r="Q36" t="s">
        <v>74</v>
      </c>
      <c r="R36" t="s">
        <v>74</v>
      </c>
      <c r="S36" t="s">
        <v>74</v>
      </c>
      <c r="T36" t="s">
        <v>831</v>
      </c>
      <c r="U36" t="s">
        <v>832</v>
      </c>
      <c r="V36" t="s">
        <v>833</v>
      </c>
      <c r="W36" t="s">
        <v>834</v>
      </c>
      <c r="X36" t="s">
        <v>835</v>
      </c>
      <c r="Y36" t="s">
        <v>836</v>
      </c>
      <c r="Z36" t="s">
        <v>837</v>
      </c>
      <c r="AA36" t="s">
        <v>74</v>
      </c>
      <c r="AB36" t="s">
        <v>74</v>
      </c>
      <c r="AC36" t="s">
        <v>838</v>
      </c>
      <c r="AD36" t="s">
        <v>839</v>
      </c>
      <c r="AE36" t="s">
        <v>840</v>
      </c>
      <c r="AF36" t="s">
        <v>74</v>
      </c>
      <c r="AG36">
        <v>48</v>
      </c>
      <c r="AH36">
        <v>4</v>
      </c>
      <c r="AI36">
        <v>4</v>
      </c>
      <c r="AJ36">
        <v>0</v>
      </c>
      <c r="AK36">
        <v>5</v>
      </c>
      <c r="AL36" t="s">
        <v>819</v>
      </c>
      <c r="AM36" t="s">
        <v>820</v>
      </c>
      <c r="AN36" t="s">
        <v>821</v>
      </c>
      <c r="AO36" t="s">
        <v>822</v>
      </c>
      <c r="AP36" t="s">
        <v>841</v>
      </c>
      <c r="AQ36" t="s">
        <v>74</v>
      </c>
      <c r="AR36" t="s">
        <v>823</v>
      </c>
      <c r="AS36" t="s">
        <v>824</v>
      </c>
      <c r="AT36" t="s">
        <v>629</v>
      </c>
      <c r="AU36">
        <v>2011</v>
      </c>
      <c r="AV36">
        <v>78</v>
      </c>
      <c r="AW36">
        <v>2</v>
      </c>
      <c r="AX36" t="s">
        <v>74</v>
      </c>
      <c r="AY36" t="s">
        <v>74</v>
      </c>
      <c r="AZ36" t="s">
        <v>74</v>
      </c>
      <c r="BA36" t="s">
        <v>74</v>
      </c>
      <c r="BB36">
        <v>157</v>
      </c>
      <c r="BC36">
        <v>166</v>
      </c>
      <c r="BD36" t="s">
        <v>74</v>
      </c>
      <c r="BE36" t="s">
        <v>842</v>
      </c>
      <c r="BF36" t="str">
        <f>HYPERLINK("http://dx.doi.org/10.1007/s12594-011-0071-y","http://dx.doi.org/10.1007/s12594-011-0071-y")</f>
        <v>http://dx.doi.org/10.1007/s12594-011-0071-y</v>
      </c>
      <c r="BG36" t="s">
        <v>74</v>
      </c>
      <c r="BH36" t="s">
        <v>74</v>
      </c>
      <c r="BI36">
        <v>10</v>
      </c>
      <c r="BJ36" t="s">
        <v>130</v>
      </c>
      <c r="BK36" t="s">
        <v>100</v>
      </c>
      <c r="BL36" t="s">
        <v>131</v>
      </c>
      <c r="BM36" t="s">
        <v>826</v>
      </c>
      <c r="BN36" t="s">
        <v>74</v>
      </c>
      <c r="BO36" t="s">
        <v>74</v>
      </c>
      <c r="BP36" t="s">
        <v>74</v>
      </c>
      <c r="BQ36" t="s">
        <v>74</v>
      </c>
      <c r="BR36" t="s">
        <v>103</v>
      </c>
      <c r="BS36" t="s">
        <v>843</v>
      </c>
      <c r="BT36" t="str">
        <f>HYPERLINK("https%3A%2F%2Fwww.webofscience.com%2Fwos%2Fwoscc%2Ffull-record%2FWOS:000295168200007","View Full Record in Web of Science")</f>
        <v>View Full Record in Web of Science</v>
      </c>
    </row>
    <row r="37" spans="1:72" x14ac:dyDescent="0.15">
      <c r="A37" t="s">
        <v>72</v>
      </c>
      <c r="B37" t="s">
        <v>844</v>
      </c>
      <c r="C37" t="s">
        <v>74</v>
      </c>
      <c r="D37" t="s">
        <v>74</v>
      </c>
      <c r="E37" t="s">
        <v>74</v>
      </c>
      <c r="F37" t="s">
        <v>845</v>
      </c>
      <c r="G37" t="s">
        <v>74</v>
      </c>
      <c r="H37" t="s">
        <v>74</v>
      </c>
      <c r="I37" t="s">
        <v>846</v>
      </c>
      <c r="J37" t="s">
        <v>847</v>
      </c>
      <c r="K37" t="s">
        <v>74</v>
      </c>
      <c r="L37" t="s">
        <v>74</v>
      </c>
      <c r="M37" t="s">
        <v>78</v>
      </c>
      <c r="N37" t="s">
        <v>79</v>
      </c>
      <c r="O37" t="s">
        <v>74</v>
      </c>
      <c r="P37" t="s">
        <v>74</v>
      </c>
      <c r="Q37" t="s">
        <v>74</v>
      </c>
      <c r="R37" t="s">
        <v>74</v>
      </c>
      <c r="S37" t="s">
        <v>74</v>
      </c>
      <c r="T37" t="s">
        <v>848</v>
      </c>
      <c r="U37" t="s">
        <v>849</v>
      </c>
      <c r="V37" t="s">
        <v>850</v>
      </c>
      <c r="W37" t="s">
        <v>851</v>
      </c>
      <c r="X37" t="s">
        <v>852</v>
      </c>
      <c r="Y37" t="s">
        <v>853</v>
      </c>
      <c r="Z37" t="s">
        <v>854</v>
      </c>
      <c r="AA37" t="s">
        <v>855</v>
      </c>
      <c r="AB37" t="s">
        <v>856</v>
      </c>
      <c r="AC37" t="s">
        <v>857</v>
      </c>
      <c r="AD37" t="s">
        <v>858</v>
      </c>
      <c r="AE37" t="s">
        <v>859</v>
      </c>
      <c r="AF37" t="s">
        <v>74</v>
      </c>
      <c r="AG37">
        <v>80</v>
      </c>
      <c r="AH37">
        <v>58</v>
      </c>
      <c r="AI37">
        <v>60</v>
      </c>
      <c r="AJ37">
        <v>1</v>
      </c>
      <c r="AK37">
        <v>46</v>
      </c>
      <c r="AL37" t="s">
        <v>507</v>
      </c>
      <c r="AM37" t="s">
        <v>508</v>
      </c>
      <c r="AN37" t="s">
        <v>509</v>
      </c>
      <c r="AO37" t="s">
        <v>860</v>
      </c>
      <c r="AP37" t="s">
        <v>861</v>
      </c>
      <c r="AQ37" t="s">
        <v>74</v>
      </c>
      <c r="AR37" t="s">
        <v>862</v>
      </c>
      <c r="AS37" t="s">
        <v>863</v>
      </c>
      <c r="AT37" t="s">
        <v>629</v>
      </c>
      <c r="AU37">
        <v>2011</v>
      </c>
      <c r="AV37">
        <v>21</v>
      </c>
      <c r="AW37">
        <v>3</v>
      </c>
      <c r="AX37" t="s">
        <v>74</v>
      </c>
      <c r="AY37" t="s">
        <v>74</v>
      </c>
      <c r="AZ37" t="s">
        <v>864</v>
      </c>
      <c r="BA37" t="s">
        <v>74</v>
      </c>
      <c r="BB37">
        <v>972</v>
      </c>
      <c r="BC37">
        <v>982</v>
      </c>
      <c r="BD37" t="s">
        <v>74</v>
      </c>
      <c r="BE37" t="s">
        <v>865</v>
      </c>
      <c r="BF37" t="str">
        <f>HYPERLINK("http://dx.doi.org/10.1016/j.gloenvcha.2011.04.013","http://dx.doi.org/10.1016/j.gloenvcha.2011.04.013")</f>
        <v>http://dx.doi.org/10.1016/j.gloenvcha.2011.04.013</v>
      </c>
      <c r="BG37" t="s">
        <v>74</v>
      </c>
      <c r="BH37" t="s">
        <v>74</v>
      </c>
      <c r="BI37">
        <v>11</v>
      </c>
      <c r="BJ37" t="s">
        <v>866</v>
      </c>
      <c r="BK37" t="s">
        <v>867</v>
      </c>
      <c r="BL37" t="s">
        <v>868</v>
      </c>
      <c r="BM37" t="s">
        <v>869</v>
      </c>
      <c r="BN37" t="s">
        <v>74</v>
      </c>
      <c r="BO37" t="s">
        <v>74</v>
      </c>
      <c r="BP37" t="s">
        <v>74</v>
      </c>
      <c r="BQ37" t="s">
        <v>74</v>
      </c>
      <c r="BR37" t="s">
        <v>103</v>
      </c>
      <c r="BS37" t="s">
        <v>870</v>
      </c>
      <c r="BT37" t="str">
        <f>HYPERLINK("https%3A%2F%2Fwww.webofscience.com%2Fwos%2Fwoscc%2Ffull-record%2FWOS:000293549000020","View Full Record in Web of Science")</f>
        <v>View Full Record in Web of Science</v>
      </c>
    </row>
    <row r="38" spans="1:72" x14ac:dyDescent="0.15">
      <c r="A38" t="s">
        <v>72</v>
      </c>
      <c r="B38" t="s">
        <v>871</v>
      </c>
      <c r="C38" t="s">
        <v>74</v>
      </c>
      <c r="D38" t="s">
        <v>74</v>
      </c>
      <c r="E38" t="s">
        <v>74</v>
      </c>
      <c r="F38" t="s">
        <v>872</v>
      </c>
      <c r="G38" t="s">
        <v>74</v>
      </c>
      <c r="H38" t="s">
        <v>74</v>
      </c>
      <c r="I38" t="s">
        <v>873</v>
      </c>
      <c r="J38" t="s">
        <v>874</v>
      </c>
      <c r="K38" t="s">
        <v>74</v>
      </c>
      <c r="L38" t="s">
        <v>74</v>
      </c>
      <c r="M38" t="s">
        <v>78</v>
      </c>
      <c r="N38" t="s">
        <v>79</v>
      </c>
      <c r="O38" t="s">
        <v>74</v>
      </c>
      <c r="P38" t="s">
        <v>74</v>
      </c>
      <c r="Q38" t="s">
        <v>74</v>
      </c>
      <c r="R38" t="s">
        <v>74</v>
      </c>
      <c r="S38" t="s">
        <v>74</v>
      </c>
      <c r="T38" t="s">
        <v>74</v>
      </c>
      <c r="U38" t="s">
        <v>875</v>
      </c>
      <c r="V38" t="s">
        <v>876</v>
      </c>
      <c r="W38" t="s">
        <v>877</v>
      </c>
      <c r="X38" t="s">
        <v>878</v>
      </c>
      <c r="Y38" t="s">
        <v>879</v>
      </c>
      <c r="Z38" t="s">
        <v>880</v>
      </c>
      <c r="AA38" t="s">
        <v>881</v>
      </c>
      <c r="AB38" t="s">
        <v>882</v>
      </c>
      <c r="AC38" t="s">
        <v>883</v>
      </c>
      <c r="AD38" t="s">
        <v>240</v>
      </c>
      <c r="AE38" t="s">
        <v>884</v>
      </c>
      <c r="AF38" t="s">
        <v>74</v>
      </c>
      <c r="AG38">
        <v>33</v>
      </c>
      <c r="AH38">
        <v>19</v>
      </c>
      <c r="AI38">
        <v>19</v>
      </c>
      <c r="AJ38">
        <v>0</v>
      </c>
      <c r="AK38">
        <v>12</v>
      </c>
      <c r="AL38" t="s">
        <v>885</v>
      </c>
      <c r="AM38" t="s">
        <v>886</v>
      </c>
      <c r="AN38" t="s">
        <v>887</v>
      </c>
      <c r="AO38" t="s">
        <v>888</v>
      </c>
      <c r="AP38" t="s">
        <v>74</v>
      </c>
      <c r="AQ38" t="s">
        <v>74</v>
      </c>
      <c r="AR38" t="s">
        <v>889</v>
      </c>
      <c r="AS38" t="s">
        <v>890</v>
      </c>
      <c r="AT38" t="s">
        <v>629</v>
      </c>
      <c r="AU38">
        <v>2011</v>
      </c>
      <c r="AV38">
        <v>61</v>
      </c>
      <c r="AW38" t="s">
        <v>74</v>
      </c>
      <c r="AX38">
        <v>8</v>
      </c>
      <c r="AY38" t="s">
        <v>74</v>
      </c>
      <c r="AZ38" t="s">
        <v>74</v>
      </c>
      <c r="BA38" t="s">
        <v>74</v>
      </c>
      <c r="BB38">
        <v>1938</v>
      </c>
      <c r="BC38">
        <v>1943</v>
      </c>
      <c r="BD38" t="s">
        <v>74</v>
      </c>
      <c r="BE38" t="s">
        <v>891</v>
      </c>
      <c r="BF38" t="str">
        <f>HYPERLINK("http://dx.doi.org/10.1099/ijs.0.021956-0","http://dx.doi.org/10.1099/ijs.0.021956-0")</f>
        <v>http://dx.doi.org/10.1099/ijs.0.021956-0</v>
      </c>
      <c r="BG38" t="s">
        <v>74</v>
      </c>
      <c r="BH38" t="s">
        <v>74</v>
      </c>
      <c r="BI38">
        <v>6</v>
      </c>
      <c r="BJ38" t="s">
        <v>892</v>
      </c>
      <c r="BK38" t="s">
        <v>100</v>
      </c>
      <c r="BL38" t="s">
        <v>892</v>
      </c>
      <c r="BM38" t="s">
        <v>893</v>
      </c>
      <c r="BN38">
        <v>20833887</v>
      </c>
      <c r="BO38" t="s">
        <v>152</v>
      </c>
      <c r="BP38" t="s">
        <v>74</v>
      </c>
      <c r="BQ38" t="s">
        <v>74</v>
      </c>
      <c r="BR38" t="s">
        <v>103</v>
      </c>
      <c r="BS38" t="s">
        <v>894</v>
      </c>
      <c r="BT38" t="str">
        <f>HYPERLINK("https%3A%2F%2Fwww.webofscience.com%2Fwos%2Fwoscc%2Ffull-record%2FWOS:000294514500027","View Full Record in Web of Science")</f>
        <v>View Full Record in Web of Science</v>
      </c>
    </row>
    <row r="39" spans="1:72" x14ac:dyDescent="0.15">
      <c r="A39" t="s">
        <v>72</v>
      </c>
      <c r="B39" t="s">
        <v>895</v>
      </c>
      <c r="C39" t="s">
        <v>74</v>
      </c>
      <c r="D39" t="s">
        <v>74</v>
      </c>
      <c r="E39" t="s">
        <v>74</v>
      </c>
      <c r="F39" t="s">
        <v>896</v>
      </c>
      <c r="G39" t="s">
        <v>74</v>
      </c>
      <c r="H39" t="s">
        <v>74</v>
      </c>
      <c r="I39" t="s">
        <v>897</v>
      </c>
      <c r="J39" t="s">
        <v>874</v>
      </c>
      <c r="K39" t="s">
        <v>74</v>
      </c>
      <c r="L39" t="s">
        <v>74</v>
      </c>
      <c r="M39" t="s">
        <v>78</v>
      </c>
      <c r="N39" t="s">
        <v>79</v>
      </c>
      <c r="O39" t="s">
        <v>74</v>
      </c>
      <c r="P39" t="s">
        <v>74</v>
      </c>
      <c r="Q39" t="s">
        <v>74</v>
      </c>
      <c r="R39" t="s">
        <v>74</v>
      </c>
      <c r="S39" t="s">
        <v>74</v>
      </c>
      <c r="T39" t="s">
        <v>74</v>
      </c>
      <c r="U39" t="s">
        <v>898</v>
      </c>
      <c r="V39" t="s">
        <v>899</v>
      </c>
      <c r="W39" t="s">
        <v>900</v>
      </c>
      <c r="X39" t="s">
        <v>901</v>
      </c>
      <c r="Y39" t="s">
        <v>902</v>
      </c>
      <c r="Z39" t="s">
        <v>903</v>
      </c>
      <c r="AA39" t="s">
        <v>74</v>
      </c>
      <c r="AB39" t="s">
        <v>904</v>
      </c>
      <c r="AC39" t="s">
        <v>905</v>
      </c>
      <c r="AD39" t="s">
        <v>906</v>
      </c>
      <c r="AE39" t="s">
        <v>907</v>
      </c>
      <c r="AF39" t="s">
        <v>74</v>
      </c>
      <c r="AG39">
        <v>38</v>
      </c>
      <c r="AH39">
        <v>21</v>
      </c>
      <c r="AI39">
        <v>22</v>
      </c>
      <c r="AJ39">
        <v>1</v>
      </c>
      <c r="AK39">
        <v>6</v>
      </c>
      <c r="AL39" t="s">
        <v>885</v>
      </c>
      <c r="AM39" t="s">
        <v>886</v>
      </c>
      <c r="AN39" t="s">
        <v>887</v>
      </c>
      <c r="AO39" t="s">
        <v>888</v>
      </c>
      <c r="AP39" t="s">
        <v>74</v>
      </c>
      <c r="AQ39" t="s">
        <v>74</v>
      </c>
      <c r="AR39" t="s">
        <v>889</v>
      </c>
      <c r="AS39" t="s">
        <v>890</v>
      </c>
      <c r="AT39" t="s">
        <v>629</v>
      </c>
      <c r="AU39">
        <v>2011</v>
      </c>
      <c r="AV39">
        <v>61</v>
      </c>
      <c r="AW39" t="s">
        <v>74</v>
      </c>
      <c r="AX39">
        <v>8</v>
      </c>
      <c r="AY39" t="s">
        <v>74</v>
      </c>
      <c r="AZ39" t="s">
        <v>74</v>
      </c>
      <c r="BA39" t="s">
        <v>74</v>
      </c>
      <c r="BB39">
        <v>1973</v>
      </c>
      <c r="BC39">
        <v>1980</v>
      </c>
      <c r="BD39" t="s">
        <v>74</v>
      </c>
      <c r="BE39" t="s">
        <v>908</v>
      </c>
      <c r="BF39" t="str">
        <f>HYPERLINK("http://dx.doi.org/10.1099/ijs.0.026625-0","http://dx.doi.org/10.1099/ijs.0.026625-0")</f>
        <v>http://dx.doi.org/10.1099/ijs.0.026625-0</v>
      </c>
      <c r="BG39" t="s">
        <v>74</v>
      </c>
      <c r="BH39" t="s">
        <v>74</v>
      </c>
      <c r="BI39">
        <v>8</v>
      </c>
      <c r="BJ39" t="s">
        <v>892</v>
      </c>
      <c r="BK39" t="s">
        <v>100</v>
      </c>
      <c r="BL39" t="s">
        <v>892</v>
      </c>
      <c r="BM39" t="s">
        <v>893</v>
      </c>
      <c r="BN39">
        <v>20851919</v>
      </c>
      <c r="BO39" t="s">
        <v>152</v>
      </c>
      <c r="BP39" t="s">
        <v>74</v>
      </c>
      <c r="BQ39" t="s">
        <v>74</v>
      </c>
      <c r="BR39" t="s">
        <v>103</v>
      </c>
      <c r="BS39" t="s">
        <v>909</v>
      </c>
      <c r="BT39" t="str">
        <f>HYPERLINK("https%3A%2F%2Fwww.webofscience.com%2Fwos%2Fwoscc%2Ffull-record%2FWOS:000294514500032","View Full Record in Web of Science")</f>
        <v>View Full Record in Web of Science</v>
      </c>
    </row>
    <row r="40" spans="1:72" x14ac:dyDescent="0.15">
      <c r="A40" t="s">
        <v>72</v>
      </c>
      <c r="B40" t="s">
        <v>910</v>
      </c>
      <c r="C40" t="s">
        <v>74</v>
      </c>
      <c r="D40" t="s">
        <v>74</v>
      </c>
      <c r="E40" t="s">
        <v>74</v>
      </c>
      <c r="F40" t="s">
        <v>911</v>
      </c>
      <c r="G40" t="s">
        <v>74</v>
      </c>
      <c r="H40" t="s">
        <v>74</v>
      </c>
      <c r="I40" t="s">
        <v>912</v>
      </c>
      <c r="J40" t="s">
        <v>913</v>
      </c>
      <c r="K40" t="s">
        <v>74</v>
      </c>
      <c r="L40" t="s">
        <v>74</v>
      </c>
      <c r="M40" t="s">
        <v>78</v>
      </c>
      <c r="N40" t="s">
        <v>79</v>
      </c>
      <c r="O40" t="s">
        <v>74</v>
      </c>
      <c r="P40" t="s">
        <v>74</v>
      </c>
      <c r="Q40" t="s">
        <v>74</v>
      </c>
      <c r="R40" t="s">
        <v>74</v>
      </c>
      <c r="S40" t="s">
        <v>74</v>
      </c>
      <c r="T40" t="s">
        <v>914</v>
      </c>
      <c r="U40" t="s">
        <v>915</v>
      </c>
      <c r="V40" t="s">
        <v>916</v>
      </c>
      <c r="W40" t="s">
        <v>917</v>
      </c>
      <c r="X40" t="s">
        <v>918</v>
      </c>
      <c r="Y40" t="s">
        <v>919</v>
      </c>
      <c r="Z40" t="s">
        <v>920</v>
      </c>
      <c r="AA40" t="s">
        <v>921</v>
      </c>
      <c r="AB40" t="s">
        <v>922</v>
      </c>
      <c r="AC40" t="s">
        <v>923</v>
      </c>
      <c r="AD40" t="s">
        <v>924</v>
      </c>
      <c r="AE40" t="s">
        <v>925</v>
      </c>
      <c r="AF40" t="s">
        <v>74</v>
      </c>
      <c r="AG40">
        <v>35</v>
      </c>
      <c r="AH40">
        <v>8</v>
      </c>
      <c r="AI40">
        <v>10</v>
      </c>
      <c r="AJ40">
        <v>0</v>
      </c>
      <c r="AK40">
        <v>3</v>
      </c>
      <c r="AL40" t="s">
        <v>926</v>
      </c>
      <c r="AM40" t="s">
        <v>508</v>
      </c>
      <c r="AN40" t="s">
        <v>927</v>
      </c>
      <c r="AO40" t="s">
        <v>928</v>
      </c>
      <c r="AP40" t="s">
        <v>74</v>
      </c>
      <c r="AQ40" t="s">
        <v>74</v>
      </c>
      <c r="AR40" t="s">
        <v>929</v>
      </c>
      <c r="AS40" t="s">
        <v>930</v>
      </c>
      <c r="AT40" t="s">
        <v>629</v>
      </c>
      <c r="AU40">
        <v>2011</v>
      </c>
      <c r="AV40">
        <v>73</v>
      </c>
      <c r="AW40">
        <v>13</v>
      </c>
      <c r="AX40" t="s">
        <v>74</v>
      </c>
      <c r="AY40" t="s">
        <v>74</v>
      </c>
      <c r="AZ40" t="s">
        <v>74</v>
      </c>
      <c r="BA40" t="s">
        <v>74</v>
      </c>
      <c r="BB40">
        <v>1940</v>
      </c>
      <c r="BC40">
        <v>1952</v>
      </c>
      <c r="BD40" t="s">
        <v>74</v>
      </c>
      <c r="BE40" t="s">
        <v>931</v>
      </c>
      <c r="BF40" t="str">
        <f>HYPERLINK("http://dx.doi.org/10.1016/j.jastp.2011.05.001","http://dx.doi.org/10.1016/j.jastp.2011.05.001")</f>
        <v>http://dx.doi.org/10.1016/j.jastp.2011.05.001</v>
      </c>
      <c r="BG40" t="s">
        <v>74</v>
      </c>
      <c r="BH40" t="s">
        <v>74</v>
      </c>
      <c r="BI40">
        <v>13</v>
      </c>
      <c r="BJ40" t="s">
        <v>932</v>
      </c>
      <c r="BK40" t="s">
        <v>100</v>
      </c>
      <c r="BL40" t="s">
        <v>932</v>
      </c>
      <c r="BM40" t="s">
        <v>933</v>
      </c>
      <c r="BN40" t="s">
        <v>74</v>
      </c>
      <c r="BO40" t="s">
        <v>74</v>
      </c>
      <c r="BP40" t="s">
        <v>74</v>
      </c>
      <c r="BQ40" t="s">
        <v>74</v>
      </c>
      <c r="BR40" t="s">
        <v>103</v>
      </c>
      <c r="BS40" t="s">
        <v>934</v>
      </c>
      <c r="BT40" t="str">
        <f>HYPERLINK("https%3A%2F%2Fwww.webofscience.com%2Fwos%2Fwoscc%2Ffull-record%2FWOS:000294591800038","View Full Record in Web of Science")</f>
        <v>View Full Record in Web of Science</v>
      </c>
    </row>
    <row r="41" spans="1:72" x14ac:dyDescent="0.15">
      <c r="A41" t="s">
        <v>72</v>
      </c>
      <c r="B41" t="s">
        <v>935</v>
      </c>
      <c r="C41" t="s">
        <v>74</v>
      </c>
      <c r="D41" t="s">
        <v>74</v>
      </c>
      <c r="E41" t="s">
        <v>74</v>
      </c>
      <c r="F41" t="s">
        <v>936</v>
      </c>
      <c r="G41" t="s">
        <v>74</v>
      </c>
      <c r="H41" t="s">
        <v>74</v>
      </c>
      <c r="I41" t="s">
        <v>937</v>
      </c>
      <c r="J41" t="s">
        <v>938</v>
      </c>
      <c r="K41" t="s">
        <v>74</v>
      </c>
      <c r="L41" t="s">
        <v>74</v>
      </c>
      <c r="M41" t="s">
        <v>78</v>
      </c>
      <c r="N41" t="s">
        <v>79</v>
      </c>
      <c r="O41" t="s">
        <v>74</v>
      </c>
      <c r="P41" t="s">
        <v>74</v>
      </c>
      <c r="Q41" t="s">
        <v>74</v>
      </c>
      <c r="R41" t="s">
        <v>74</v>
      </c>
      <c r="S41" t="s">
        <v>74</v>
      </c>
      <c r="T41" t="s">
        <v>939</v>
      </c>
      <c r="U41" t="s">
        <v>940</v>
      </c>
      <c r="V41" t="s">
        <v>941</v>
      </c>
      <c r="W41" t="s">
        <v>942</v>
      </c>
      <c r="X41" t="s">
        <v>943</v>
      </c>
      <c r="Y41" t="s">
        <v>944</v>
      </c>
      <c r="Z41" t="s">
        <v>945</v>
      </c>
      <c r="AA41" t="s">
        <v>74</v>
      </c>
      <c r="AB41" t="s">
        <v>74</v>
      </c>
      <c r="AC41" t="s">
        <v>946</v>
      </c>
      <c r="AD41" t="s">
        <v>947</v>
      </c>
      <c r="AE41" t="s">
        <v>948</v>
      </c>
      <c r="AF41" t="s">
        <v>74</v>
      </c>
      <c r="AG41">
        <v>56</v>
      </c>
      <c r="AH41">
        <v>34</v>
      </c>
      <c r="AI41">
        <v>38</v>
      </c>
      <c r="AJ41">
        <v>4</v>
      </c>
      <c r="AK41">
        <v>26</v>
      </c>
      <c r="AL41" t="s">
        <v>926</v>
      </c>
      <c r="AM41" t="s">
        <v>508</v>
      </c>
      <c r="AN41" t="s">
        <v>927</v>
      </c>
      <c r="AO41" t="s">
        <v>949</v>
      </c>
      <c r="AP41" t="s">
        <v>950</v>
      </c>
      <c r="AQ41" t="s">
        <v>74</v>
      </c>
      <c r="AR41" t="s">
        <v>951</v>
      </c>
      <c r="AS41" t="s">
        <v>952</v>
      </c>
      <c r="AT41" t="s">
        <v>629</v>
      </c>
      <c r="AU41">
        <v>2011</v>
      </c>
      <c r="AV41">
        <v>57</v>
      </c>
      <c r="AW41">
        <v>8</v>
      </c>
      <c r="AX41" t="s">
        <v>74</v>
      </c>
      <c r="AY41" t="s">
        <v>74</v>
      </c>
      <c r="AZ41" t="s">
        <v>864</v>
      </c>
      <c r="BA41" t="s">
        <v>74</v>
      </c>
      <c r="BB41">
        <v>1096</v>
      </c>
      <c r="BC41">
        <v>1105</v>
      </c>
      <c r="BD41" t="s">
        <v>74</v>
      </c>
      <c r="BE41" t="s">
        <v>953</v>
      </c>
      <c r="BF41" t="str">
        <f>HYPERLINK("http://dx.doi.org/10.1016/j.jinsphys.2011.02.006","http://dx.doi.org/10.1016/j.jinsphys.2011.02.006")</f>
        <v>http://dx.doi.org/10.1016/j.jinsphys.2011.02.006</v>
      </c>
      <c r="BG41" t="s">
        <v>74</v>
      </c>
      <c r="BH41" t="s">
        <v>74</v>
      </c>
      <c r="BI41">
        <v>10</v>
      </c>
      <c r="BJ41" t="s">
        <v>954</v>
      </c>
      <c r="BK41" t="s">
        <v>100</v>
      </c>
      <c r="BL41" t="s">
        <v>954</v>
      </c>
      <c r="BM41" t="s">
        <v>955</v>
      </c>
      <c r="BN41">
        <v>21315725</v>
      </c>
      <c r="BO41" t="s">
        <v>273</v>
      </c>
      <c r="BP41" t="s">
        <v>74</v>
      </c>
      <c r="BQ41" t="s">
        <v>74</v>
      </c>
      <c r="BR41" t="s">
        <v>103</v>
      </c>
      <c r="BS41" t="s">
        <v>956</v>
      </c>
      <c r="BT41" t="str">
        <f>HYPERLINK("https%3A%2F%2Fwww.webofscience.com%2Fwos%2Fwoscc%2Ffull-record%2FWOS:000294591600006","View Full Record in Web of Science")</f>
        <v>View Full Record in Web of Science</v>
      </c>
    </row>
    <row r="42" spans="1:72" x14ac:dyDescent="0.15">
      <c r="A42" t="s">
        <v>72</v>
      </c>
      <c r="B42" t="s">
        <v>957</v>
      </c>
      <c r="C42" t="s">
        <v>74</v>
      </c>
      <c r="D42" t="s">
        <v>74</v>
      </c>
      <c r="E42" t="s">
        <v>74</v>
      </c>
      <c r="F42" t="s">
        <v>958</v>
      </c>
      <c r="G42" t="s">
        <v>74</v>
      </c>
      <c r="H42" t="s">
        <v>74</v>
      </c>
      <c r="I42" t="s">
        <v>959</v>
      </c>
      <c r="J42" t="s">
        <v>938</v>
      </c>
      <c r="K42" t="s">
        <v>74</v>
      </c>
      <c r="L42" t="s">
        <v>74</v>
      </c>
      <c r="M42" t="s">
        <v>78</v>
      </c>
      <c r="N42" t="s">
        <v>79</v>
      </c>
      <c r="O42" t="s">
        <v>74</v>
      </c>
      <c r="P42" t="s">
        <v>74</v>
      </c>
      <c r="Q42" t="s">
        <v>74</v>
      </c>
      <c r="R42" t="s">
        <v>74</v>
      </c>
      <c r="S42" t="s">
        <v>74</v>
      </c>
      <c r="T42" t="s">
        <v>960</v>
      </c>
      <c r="U42" t="s">
        <v>961</v>
      </c>
      <c r="V42" t="s">
        <v>962</v>
      </c>
      <c r="W42" t="s">
        <v>963</v>
      </c>
      <c r="X42" t="s">
        <v>964</v>
      </c>
      <c r="Y42" t="s">
        <v>965</v>
      </c>
      <c r="Z42" t="s">
        <v>966</v>
      </c>
      <c r="AA42" t="s">
        <v>967</v>
      </c>
      <c r="AB42" t="s">
        <v>968</v>
      </c>
      <c r="AC42" t="s">
        <v>969</v>
      </c>
      <c r="AD42" t="s">
        <v>970</v>
      </c>
      <c r="AE42" t="s">
        <v>971</v>
      </c>
      <c r="AF42" t="s">
        <v>74</v>
      </c>
      <c r="AG42">
        <v>40</v>
      </c>
      <c r="AH42">
        <v>45</v>
      </c>
      <c r="AI42">
        <v>52</v>
      </c>
      <c r="AJ42">
        <v>5</v>
      </c>
      <c r="AK42">
        <v>37</v>
      </c>
      <c r="AL42" t="s">
        <v>926</v>
      </c>
      <c r="AM42" t="s">
        <v>508</v>
      </c>
      <c r="AN42" t="s">
        <v>927</v>
      </c>
      <c r="AO42" t="s">
        <v>949</v>
      </c>
      <c r="AP42" t="s">
        <v>950</v>
      </c>
      <c r="AQ42" t="s">
        <v>74</v>
      </c>
      <c r="AR42" t="s">
        <v>951</v>
      </c>
      <c r="AS42" t="s">
        <v>952</v>
      </c>
      <c r="AT42" t="s">
        <v>629</v>
      </c>
      <c r="AU42">
        <v>2011</v>
      </c>
      <c r="AV42">
        <v>57</v>
      </c>
      <c r="AW42">
        <v>8</v>
      </c>
      <c r="AX42" t="s">
        <v>74</v>
      </c>
      <c r="AY42" t="s">
        <v>74</v>
      </c>
      <c r="AZ42" t="s">
        <v>864</v>
      </c>
      <c r="BA42" t="s">
        <v>74</v>
      </c>
      <c r="BB42">
        <v>1106</v>
      </c>
      <c r="BC42">
        <v>1114</v>
      </c>
      <c r="BD42" t="s">
        <v>74</v>
      </c>
      <c r="BE42" t="s">
        <v>972</v>
      </c>
      <c r="BF42" t="str">
        <f>HYPERLINK("http://dx.doi.org/10.1016/j.jinsphys.2011.03.023","http://dx.doi.org/10.1016/j.jinsphys.2011.03.023")</f>
        <v>http://dx.doi.org/10.1016/j.jinsphys.2011.03.023</v>
      </c>
      <c r="BG42" t="s">
        <v>74</v>
      </c>
      <c r="BH42" t="s">
        <v>74</v>
      </c>
      <c r="BI42">
        <v>9</v>
      </c>
      <c r="BJ42" t="s">
        <v>954</v>
      </c>
      <c r="BK42" t="s">
        <v>100</v>
      </c>
      <c r="BL42" t="s">
        <v>954</v>
      </c>
      <c r="BM42" t="s">
        <v>955</v>
      </c>
      <c r="BN42">
        <v>21497603</v>
      </c>
      <c r="BO42" t="s">
        <v>74</v>
      </c>
      <c r="BP42" t="s">
        <v>74</v>
      </c>
      <c r="BQ42" t="s">
        <v>74</v>
      </c>
      <c r="BR42" t="s">
        <v>103</v>
      </c>
      <c r="BS42" t="s">
        <v>973</v>
      </c>
      <c r="BT42" t="str">
        <f>HYPERLINK("https%3A%2F%2Fwww.webofscience.com%2Fwos%2Fwoscc%2Ffull-record%2FWOS:000294591600007","View Full Record in Web of Science")</f>
        <v>View Full Record in Web of Science</v>
      </c>
    </row>
    <row r="43" spans="1:72" x14ac:dyDescent="0.15">
      <c r="A43" t="s">
        <v>72</v>
      </c>
      <c r="B43" t="s">
        <v>974</v>
      </c>
      <c r="C43" t="s">
        <v>74</v>
      </c>
      <c r="D43" t="s">
        <v>74</v>
      </c>
      <c r="E43" t="s">
        <v>74</v>
      </c>
      <c r="F43" t="s">
        <v>975</v>
      </c>
      <c r="G43" t="s">
        <v>74</v>
      </c>
      <c r="H43" t="s">
        <v>74</v>
      </c>
      <c r="I43" t="s">
        <v>976</v>
      </c>
      <c r="J43" t="s">
        <v>977</v>
      </c>
      <c r="K43" t="s">
        <v>74</v>
      </c>
      <c r="L43" t="s">
        <v>74</v>
      </c>
      <c r="M43" t="s">
        <v>78</v>
      </c>
      <c r="N43" t="s">
        <v>79</v>
      </c>
      <c r="O43" t="s">
        <v>74</v>
      </c>
      <c r="P43" t="s">
        <v>74</v>
      </c>
      <c r="Q43" t="s">
        <v>74</v>
      </c>
      <c r="R43" t="s">
        <v>74</v>
      </c>
      <c r="S43" t="s">
        <v>74</v>
      </c>
      <c r="T43" t="s">
        <v>978</v>
      </c>
      <c r="U43" t="s">
        <v>979</v>
      </c>
      <c r="V43" t="s">
        <v>980</v>
      </c>
      <c r="W43" t="s">
        <v>981</v>
      </c>
      <c r="X43" t="s">
        <v>982</v>
      </c>
      <c r="Y43" t="s">
        <v>983</v>
      </c>
      <c r="Z43" t="s">
        <v>984</v>
      </c>
      <c r="AA43" t="s">
        <v>985</v>
      </c>
      <c r="AB43" t="s">
        <v>986</v>
      </c>
      <c r="AC43" t="s">
        <v>987</v>
      </c>
      <c r="AD43" t="s">
        <v>988</v>
      </c>
      <c r="AE43" t="s">
        <v>989</v>
      </c>
      <c r="AF43" t="s">
        <v>74</v>
      </c>
      <c r="AG43">
        <v>32</v>
      </c>
      <c r="AH43">
        <v>3</v>
      </c>
      <c r="AI43">
        <v>3</v>
      </c>
      <c r="AJ43">
        <v>0</v>
      </c>
      <c r="AK43">
        <v>16</v>
      </c>
      <c r="AL43" t="s">
        <v>990</v>
      </c>
      <c r="AM43" t="s">
        <v>991</v>
      </c>
      <c r="AN43" t="s">
        <v>992</v>
      </c>
      <c r="AO43" t="s">
        <v>993</v>
      </c>
      <c r="AP43" t="s">
        <v>994</v>
      </c>
      <c r="AQ43" t="s">
        <v>74</v>
      </c>
      <c r="AR43" t="s">
        <v>995</v>
      </c>
      <c r="AS43" t="s">
        <v>996</v>
      </c>
      <c r="AT43" t="s">
        <v>629</v>
      </c>
      <c r="AU43">
        <v>2011</v>
      </c>
      <c r="AV43">
        <v>106</v>
      </c>
      <c r="AW43">
        <v>4</v>
      </c>
      <c r="AX43" t="s">
        <v>74</v>
      </c>
      <c r="AY43" t="s">
        <v>74</v>
      </c>
      <c r="AZ43" t="s">
        <v>74</v>
      </c>
      <c r="BA43" t="s">
        <v>74</v>
      </c>
      <c r="BB43">
        <v>195</v>
      </c>
      <c r="BC43">
        <v>203</v>
      </c>
      <c r="BD43" t="s">
        <v>74</v>
      </c>
      <c r="BE43" t="s">
        <v>997</v>
      </c>
      <c r="BF43" t="str">
        <f>HYPERLINK("http://dx.doi.org/10.2465/jmps.101116","http://dx.doi.org/10.2465/jmps.101116")</f>
        <v>http://dx.doi.org/10.2465/jmps.101116</v>
      </c>
      <c r="BG43" t="s">
        <v>74</v>
      </c>
      <c r="BH43" t="s">
        <v>74</v>
      </c>
      <c r="BI43">
        <v>9</v>
      </c>
      <c r="BJ43" t="s">
        <v>998</v>
      </c>
      <c r="BK43" t="s">
        <v>100</v>
      </c>
      <c r="BL43" t="s">
        <v>998</v>
      </c>
      <c r="BM43" t="s">
        <v>999</v>
      </c>
      <c r="BN43" t="s">
        <v>74</v>
      </c>
      <c r="BO43" t="s">
        <v>152</v>
      </c>
      <c r="BP43" t="s">
        <v>74</v>
      </c>
      <c r="BQ43" t="s">
        <v>74</v>
      </c>
      <c r="BR43" t="s">
        <v>103</v>
      </c>
      <c r="BS43" t="s">
        <v>1000</v>
      </c>
      <c r="BT43" t="str">
        <f>HYPERLINK("https%3A%2F%2Fwww.webofscience.com%2Fwos%2Fwoscc%2Ffull-record%2FWOS:000294572200002","View Full Record in Web of Science")</f>
        <v>View Full Record in Web of Science</v>
      </c>
    </row>
    <row r="44" spans="1:72" x14ac:dyDescent="0.15">
      <c r="A44" t="s">
        <v>72</v>
      </c>
      <c r="B44" t="s">
        <v>1001</v>
      </c>
      <c r="C44" t="s">
        <v>74</v>
      </c>
      <c r="D44" t="s">
        <v>74</v>
      </c>
      <c r="E44" t="s">
        <v>74</v>
      </c>
      <c r="F44" t="s">
        <v>1002</v>
      </c>
      <c r="G44" t="s">
        <v>74</v>
      </c>
      <c r="H44" t="s">
        <v>74</v>
      </c>
      <c r="I44" t="s">
        <v>1003</v>
      </c>
      <c r="J44" t="s">
        <v>1004</v>
      </c>
      <c r="K44" t="s">
        <v>74</v>
      </c>
      <c r="L44" t="s">
        <v>74</v>
      </c>
      <c r="M44" t="s">
        <v>78</v>
      </c>
      <c r="N44" t="s">
        <v>79</v>
      </c>
      <c r="O44" t="s">
        <v>74</v>
      </c>
      <c r="P44" t="s">
        <v>74</v>
      </c>
      <c r="Q44" t="s">
        <v>74</v>
      </c>
      <c r="R44" t="s">
        <v>74</v>
      </c>
      <c r="S44" t="s">
        <v>74</v>
      </c>
      <c r="T44" t="s">
        <v>74</v>
      </c>
      <c r="U44" t="s">
        <v>1005</v>
      </c>
      <c r="V44" t="s">
        <v>1006</v>
      </c>
      <c r="W44" t="s">
        <v>1007</v>
      </c>
      <c r="X44" t="s">
        <v>1008</v>
      </c>
      <c r="Y44" t="s">
        <v>1009</v>
      </c>
      <c r="Z44" t="s">
        <v>1010</v>
      </c>
      <c r="AA44" t="s">
        <v>74</v>
      </c>
      <c r="AB44" t="s">
        <v>74</v>
      </c>
      <c r="AC44" t="s">
        <v>1011</v>
      </c>
      <c r="AD44" t="s">
        <v>1012</v>
      </c>
      <c r="AE44" t="s">
        <v>1013</v>
      </c>
      <c r="AF44" t="s">
        <v>74</v>
      </c>
      <c r="AG44">
        <v>83</v>
      </c>
      <c r="AH44">
        <v>30</v>
      </c>
      <c r="AI44">
        <v>44</v>
      </c>
      <c r="AJ44">
        <v>0</v>
      </c>
      <c r="AK44">
        <v>30</v>
      </c>
      <c r="AL44" t="s">
        <v>1014</v>
      </c>
      <c r="AM44" t="s">
        <v>1015</v>
      </c>
      <c r="AN44" t="s">
        <v>1016</v>
      </c>
      <c r="AO44" t="s">
        <v>1017</v>
      </c>
      <c r="AP44" t="s">
        <v>1018</v>
      </c>
      <c r="AQ44" t="s">
        <v>74</v>
      </c>
      <c r="AR44" t="s">
        <v>1019</v>
      </c>
      <c r="AS44" t="s">
        <v>1020</v>
      </c>
      <c r="AT44" t="s">
        <v>629</v>
      </c>
      <c r="AU44">
        <v>2011</v>
      </c>
      <c r="AV44">
        <v>43</v>
      </c>
      <c r="AW44">
        <v>3</v>
      </c>
      <c r="AX44" t="s">
        <v>74</v>
      </c>
      <c r="AY44" t="s">
        <v>74</v>
      </c>
      <c r="AZ44" t="s">
        <v>74</v>
      </c>
      <c r="BA44" t="s">
        <v>74</v>
      </c>
      <c r="BB44">
        <v>317</v>
      </c>
      <c r="BC44">
        <v>330</v>
      </c>
      <c r="BD44" t="s">
        <v>74</v>
      </c>
      <c r="BE44" t="s">
        <v>1021</v>
      </c>
      <c r="BF44" t="str">
        <f>HYPERLINK("http://dx.doi.org/10.1657/1938-4246-43.3.317","http://dx.doi.org/10.1657/1938-4246-43.3.317")</f>
        <v>http://dx.doi.org/10.1657/1938-4246-43.3.317</v>
      </c>
      <c r="BG44" t="s">
        <v>74</v>
      </c>
      <c r="BH44" t="s">
        <v>74</v>
      </c>
      <c r="BI44">
        <v>14</v>
      </c>
      <c r="BJ44" t="s">
        <v>1022</v>
      </c>
      <c r="BK44" t="s">
        <v>100</v>
      </c>
      <c r="BL44" t="s">
        <v>1023</v>
      </c>
      <c r="BM44" t="s">
        <v>1024</v>
      </c>
      <c r="BN44" t="s">
        <v>74</v>
      </c>
      <c r="BO44" t="s">
        <v>1025</v>
      </c>
      <c r="BP44" t="s">
        <v>74</v>
      </c>
      <c r="BQ44" t="s">
        <v>74</v>
      </c>
      <c r="BR44" t="s">
        <v>103</v>
      </c>
      <c r="BS44" t="s">
        <v>1026</v>
      </c>
      <c r="BT44" t="str">
        <f>HYPERLINK("https%3A%2F%2Fwww.webofscience.com%2Fwos%2Fwoscc%2Ffull-record%2FWOS:000294318500001","View Full Record in Web of Science")</f>
        <v>View Full Record in Web of Science</v>
      </c>
    </row>
    <row r="45" spans="1:72" x14ac:dyDescent="0.15">
      <c r="A45" t="s">
        <v>72</v>
      </c>
      <c r="B45" t="s">
        <v>1027</v>
      </c>
      <c r="C45" t="s">
        <v>74</v>
      </c>
      <c r="D45" t="s">
        <v>74</v>
      </c>
      <c r="E45" t="s">
        <v>74</v>
      </c>
      <c r="F45" t="s">
        <v>1028</v>
      </c>
      <c r="G45" t="s">
        <v>74</v>
      </c>
      <c r="H45" t="s">
        <v>74</v>
      </c>
      <c r="I45" t="s">
        <v>1029</v>
      </c>
      <c r="J45" t="s">
        <v>1004</v>
      </c>
      <c r="K45" t="s">
        <v>74</v>
      </c>
      <c r="L45" t="s">
        <v>74</v>
      </c>
      <c r="M45" t="s">
        <v>78</v>
      </c>
      <c r="N45" t="s">
        <v>79</v>
      </c>
      <c r="O45" t="s">
        <v>74</v>
      </c>
      <c r="P45" t="s">
        <v>74</v>
      </c>
      <c r="Q45" t="s">
        <v>74</v>
      </c>
      <c r="R45" t="s">
        <v>74</v>
      </c>
      <c r="S45" t="s">
        <v>74</v>
      </c>
      <c r="T45" t="s">
        <v>74</v>
      </c>
      <c r="U45" t="s">
        <v>1030</v>
      </c>
      <c r="V45" t="s">
        <v>1031</v>
      </c>
      <c r="W45" t="s">
        <v>1032</v>
      </c>
      <c r="X45" t="s">
        <v>74</v>
      </c>
      <c r="Y45" t="s">
        <v>1033</v>
      </c>
      <c r="Z45" t="s">
        <v>1034</v>
      </c>
      <c r="AA45" t="s">
        <v>74</v>
      </c>
      <c r="AB45" t="s">
        <v>74</v>
      </c>
      <c r="AC45" t="s">
        <v>74</v>
      </c>
      <c r="AD45" t="s">
        <v>74</v>
      </c>
      <c r="AE45" t="s">
        <v>74</v>
      </c>
      <c r="AF45" t="s">
        <v>74</v>
      </c>
      <c r="AG45">
        <v>32</v>
      </c>
      <c r="AH45">
        <v>10</v>
      </c>
      <c r="AI45">
        <v>11</v>
      </c>
      <c r="AJ45">
        <v>0</v>
      </c>
      <c r="AK45">
        <v>23</v>
      </c>
      <c r="AL45" t="s">
        <v>1035</v>
      </c>
      <c r="AM45" t="s">
        <v>1036</v>
      </c>
      <c r="AN45" t="s">
        <v>1037</v>
      </c>
      <c r="AO45" t="s">
        <v>1017</v>
      </c>
      <c r="AP45" t="s">
        <v>74</v>
      </c>
      <c r="AQ45" t="s">
        <v>74</v>
      </c>
      <c r="AR45" t="s">
        <v>1019</v>
      </c>
      <c r="AS45" t="s">
        <v>1020</v>
      </c>
      <c r="AT45" t="s">
        <v>629</v>
      </c>
      <c r="AU45">
        <v>2011</v>
      </c>
      <c r="AV45">
        <v>43</v>
      </c>
      <c r="AW45">
        <v>3</v>
      </c>
      <c r="AX45" t="s">
        <v>74</v>
      </c>
      <c r="AY45" t="s">
        <v>74</v>
      </c>
      <c r="AZ45" t="s">
        <v>74</v>
      </c>
      <c r="BA45" t="s">
        <v>74</v>
      </c>
      <c r="BB45">
        <v>331</v>
      </c>
      <c r="BC45">
        <v>342</v>
      </c>
      <c r="BD45" t="s">
        <v>74</v>
      </c>
      <c r="BE45" t="s">
        <v>1038</v>
      </c>
      <c r="BF45" t="str">
        <f>HYPERLINK("http://dx.doi.org/10.1657/1938-4246-43.3.331","http://dx.doi.org/10.1657/1938-4246-43.3.331")</f>
        <v>http://dx.doi.org/10.1657/1938-4246-43.3.331</v>
      </c>
      <c r="BG45" t="s">
        <v>74</v>
      </c>
      <c r="BH45" t="s">
        <v>74</v>
      </c>
      <c r="BI45">
        <v>12</v>
      </c>
      <c r="BJ45" t="s">
        <v>1022</v>
      </c>
      <c r="BK45" t="s">
        <v>100</v>
      </c>
      <c r="BL45" t="s">
        <v>1023</v>
      </c>
      <c r="BM45" t="s">
        <v>1024</v>
      </c>
      <c r="BN45" t="s">
        <v>74</v>
      </c>
      <c r="BO45" t="s">
        <v>1039</v>
      </c>
      <c r="BP45" t="s">
        <v>74</v>
      </c>
      <c r="BQ45" t="s">
        <v>74</v>
      </c>
      <c r="BR45" t="s">
        <v>103</v>
      </c>
      <c r="BS45" t="s">
        <v>1040</v>
      </c>
      <c r="BT45" t="str">
        <f>HYPERLINK("https%3A%2F%2Fwww.webofscience.com%2Fwos%2Fwoscc%2Ffull-record%2FWOS:000294318500002","View Full Record in Web of Science")</f>
        <v>View Full Record in Web of Science</v>
      </c>
    </row>
    <row r="46" spans="1:72" x14ac:dyDescent="0.15">
      <c r="A46" t="s">
        <v>72</v>
      </c>
      <c r="B46" t="s">
        <v>1041</v>
      </c>
      <c r="C46" t="s">
        <v>74</v>
      </c>
      <c r="D46" t="s">
        <v>74</v>
      </c>
      <c r="E46" t="s">
        <v>74</v>
      </c>
      <c r="F46" t="s">
        <v>1042</v>
      </c>
      <c r="G46" t="s">
        <v>74</v>
      </c>
      <c r="H46" t="s">
        <v>74</v>
      </c>
      <c r="I46" t="s">
        <v>1043</v>
      </c>
      <c r="J46" t="s">
        <v>1004</v>
      </c>
      <c r="K46" t="s">
        <v>74</v>
      </c>
      <c r="L46" t="s">
        <v>74</v>
      </c>
      <c r="M46" t="s">
        <v>78</v>
      </c>
      <c r="N46" t="s">
        <v>79</v>
      </c>
      <c r="O46" t="s">
        <v>74</v>
      </c>
      <c r="P46" t="s">
        <v>74</v>
      </c>
      <c r="Q46" t="s">
        <v>74</v>
      </c>
      <c r="R46" t="s">
        <v>74</v>
      </c>
      <c r="S46" t="s">
        <v>74</v>
      </c>
      <c r="T46" t="s">
        <v>74</v>
      </c>
      <c r="U46" t="s">
        <v>1044</v>
      </c>
      <c r="V46" t="s">
        <v>1045</v>
      </c>
      <c r="W46" t="s">
        <v>1046</v>
      </c>
      <c r="X46" t="s">
        <v>1047</v>
      </c>
      <c r="Y46" t="s">
        <v>1048</v>
      </c>
      <c r="Z46" t="s">
        <v>1049</v>
      </c>
      <c r="AA46" t="s">
        <v>74</v>
      </c>
      <c r="AB46" t="s">
        <v>74</v>
      </c>
      <c r="AC46" t="s">
        <v>74</v>
      </c>
      <c r="AD46" t="s">
        <v>74</v>
      </c>
      <c r="AE46" t="s">
        <v>74</v>
      </c>
      <c r="AF46" t="s">
        <v>74</v>
      </c>
      <c r="AG46">
        <v>50</v>
      </c>
      <c r="AH46">
        <v>7</v>
      </c>
      <c r="AI46">
        <v>11</v>
      </c>
      <c r="AJ46">
        <v>0</v>
      </c>
      <c r="AK46">
        <v>29</v>
      </c>
      <c r="AL46" t="s">
        <v>1014</v>
      </c>
      <c r="AM46" t="s">
        <v>1015</v>
      </c>
      <c r="AN46" t="s">
        <v>1016</v>
      </c>
      <c r="AO46" t="s">
        <v>1017</v>
      </c>
      <c r="AP46" t="s">
        <v>1018</v>
      </c>
      <c r="AQ46" t="s">
        <v>74</v>
      </c>
      <c r="AR46" t="s">
        <v>1019</v>
      </c>
      <c r="AS46" t="s">
        <v>1020</v>
      </c>
      <c r="AT46" t="s">
        <v>629</v>
      </c>
      <c r="AU46">
        <v>2011</v>
      </c>
      <c r="AV46">
        <v>43</v>
      </c>
      <c r="AW46">
        <v>3</v>
      </c>
      <c r="AX46" t="s">
        <v>74</v>
      </c>
      <c r="AY46" t="s">
        <v>74</v>
      </c>
      <c r="AZ46" t="s">
        <v>74</v>
      </c>
      <c r="BA46" t="s">
        <v>74</v>
      </c>
      <c r="BB46">
        <v>343</v>
      </c>
      <c r="BC46">
        <v>354</v>
      </c>
      <c r="BD46" t="s">
        <v>74</v>
      </c>
      <c r="BE46" t="s">
        <v>1050</v>
      </c>
      <c r="BF46" t="str">
        <f>HYPERLINK("http://dx.doi.org/10.1657/1938-4246-43.3.343","http://dx.doi.org/10.1657/1938-4246-43.3.343")</f>
        <v>http://dx.doi.org/10.1657/1938-4246-43.3.343</v>
      </c>
      <c r="BG46" t="s">
        <v>74</v>
      </c>
      <c r="BH46" t="s">
        <v>74</v>
      </c>
      <c r="BI46">
        <v>12</v>
      </c>
      <c r="BJ46" t="s">
        <v>1022</v>
      </c>
      <c r="BK46" t="s">
        <v>100</v>
      </c>
      <c r="BL46" t="s">
        <v>1023</v>
      </c>
      <c r="BM46" t="s">
        <v>1024</v>
      </c>
      <c r="BN46" t="s">
        <v>74</v>
      </c>
      <c r="BO46" t="s">
        <v>1051</v>
      </c>
      <c r="BP46" t="s">
        <v>74</v>
      </c>
      <c r="BQ46" t="s">
        <v>74</v>
      </c>
      <c r="BR46" t="s">
        <v>103</v>
      </c>
      <c r="BS46" t="s">
        <v>1052</v>
      </c>
      <c r="BT46" t="str">
        <f>HYPERLINK("https%3A%2F%2Fwww.webofscience.com%2Fwos%2Fwoscc%2Ffull-record%2FWOS:000294318500003","View Full Record in Web of Science")</f>
        <v>View Full Record in Web of Science</v>
      </c>
    </row>
    <row r="47" spans="1:72" x14ac:dyDescent="0.15">
      <c r="A47" t="s">
        <v>72</v>
      </c>
      <c r="B47" t="s">
        <v>1053</v>
      </c>
      <c r="C47" t="s">
        <v>74</v>
      </c>
      <c r="D47" t="s">
        <v>74</v>
      </c>
      <c r="E47" t="s">
        <v>74</v>
      </c>
      <c r="F47" t="s">
        <v>1054</v>
      </c>
      <c r="G47" t="s">
        <v>74</v>
      </c>
      <c r="H47" t="s">
        <v>74</v>
      </c>
      <c r="I47" t="s">
        <v>1055</v>
      </c>
      <c r="J47" t="s">
        <v>1004</v>
      </c>
      <c r="K47" t="s">
        <v>74</v>
      </c>
      <c r="L47" t="s">
        <v>74</v>
      </c>
      <c r="M47" t="s">
        <v>78</v>
      </c>
      <c r="N47" t="s">
        <v>79</v>
      </c>
      <c r="O47" t="s">
        <v>74</v>
      </c>
      <c r="P47" t="s">
        <v>74</v>
      </c>
      <c r="Q47" t="s">
        <v>74</v>
      </c>
      <c r="R47" t="s">
        <v>74</v>
      </c>
      <c r="S47" t="s">
        <v>74</v>
      </c>
      <c r="T47" t="s">
        <v>74</v>
      </c>
      <c r="U47" t="s">
        <v>1056</v>
      </c>
      <c r="V47" t="s">
        <v>1057</v>
      </c>
      <c r="W47" t="s">
        <v>1058</v>
      </c>
      <c r="X47" t="s">
        <v>1059</v>
      </c>
      <c r="Y47" t="s">
        <v>1060</v>
      </c>
      <c r="Z47" t="s">
        <v>1061</v>
      </c>
      <c r="AA47" t="s">
        <v>1062</v>
      </c>
      <c r="AB47" t="s">
        <v>1063</v>
      </c>
      <c r="AC47" t="s">
        <v>1064</v>
      </c>
      <c r="AD47" t="s">
        <v>1065</v>
      </c>
      <c r="AE47" t="s">
        <v>1066</v>
      </c>
      <c r="AF47" t="s">
        <v>74</v>
      </c>
      <c r="AG47">
        <v>62</v>
      </c>
      <c r="AH47">
        <v>23</v>
      </c>
      <c r="AI47">
        <v>28</v>
      </c>
      <c r="AJ47">
        <v>0</v>
      </c>
      <c r="AK47">
        <v>19</v>
      </c>
      <c r="AL47" t="s">
        <v>1035</v>
      </c>
      <c r="AM47" t="s">
        <v>1036</v>
      </c>
      <c r="AN47" t="s">
        <v>1037</v>
      </c>
      <c r="AO47" t="s">
        <v>1017</v>
      </c>
      <c r="AP47" t="s">
        <v>74</v>
      </c>
      <c r="AQ47" t="s">
        <v>74</v>
      </c>
      <c r="AR47" t="s">
        <v>1019</v>
      </c>
      <c r="AS47" t="s">
        <v>1020</v>
      </c>
      <c r="AT47" t="s">
        <v>629</v>
      </c>
      <c r="AU47">
        <v>2011</v>
      </c>
      <c r="AV47">
        <v>43</v>
      </c>
      <c r="AW47">
        <v>3</v>
      </c>
      <c r="AX47" t="s">
        <v>74</v>
      </c>
      <c r="AY47" t="s">
        <v>74</v>
      </c>
      <c r="AZ47" t="s">
        <v>74</v>
      </c>
      <c r="BA47" t="s">
        <v>74</v>
      </c>
      <c r="BB47">
        <v>364</v>
      </c>
      <c r="BC47">
        <v>379</v>
      </c>
      <c r="BD47" t="s">
        <v>74</v>
      </c>
      <c r="BE47" t="s">
        <v>1067</v>
      </c>
      <c r="BF47" t="str">
        <f>HYPERLINK("http://dx.doi.org/10.1657/1938-4246-43.3.364","http://dx.doi.org/10.1657/1938-4246-43.3.364")</f>
        <v>http://dx.doi.org/10.1657/1938-4246-43.3.364</v>
      </c>
      <c r="BG47" t="s">
        <v>74</v>
      </c>
      <c r="BH47" t="s">
        <v>74</v>
      </c>
      <c r="BI47">
        <v>16</v>
      </c>
      <c r="BJ47" t="s">
        <v>1022</v>
      </c>
      <c r="BK47" t="s">
        <v>100</v>
      </c>
      <c r="BL47" t="s">
        <v>1023</v>
      </c>
      <c r="BM47" t="s">
        <v>1024</v>
      </c>
      <c r="BN47" t="s">
        <v>74</v>
      </c>
      <c r="BO47" t="s">
        <v>1025</v>
      </c>
      <c r="BP47" t="s">
        <v>74</v>
      </c>
      <c r="BQ47" t="s">
        <v>74</v>
      </c>
      <c r="BR47" t="s">
        <v>103</v>
      </c>
      <c r="BS47" t="s">
        <v>1068</v>
      </c>
      <c r="BT47" t="str">
        <f>HYPERLINK("https%3A%2F%2Fwww.webofscience.com%2Fwos%2Fwoscc%2Ffull-record%2FWOS:000294318500005","View Full Record in Web of Science")</f>
        <v>View Full Record in Web of Science</v>
      </c>
    </row>
    <row r="48" spans="1:72" x14ac:dyDescent="0.15">
      <c r="A48" t="s">
        <v>72</v>
      </c>
      <c r="B48" t="s">
        <v>1069</v>
      </c>
      <c r="C48" t="s">
        <v>74</v>
      </c>
      <c r="D48" t="s">
        <v>74</v>
      </c>
      <c r="E48" t="s">
        <v>74</v>
      </c>
      <c r="F48" t="s">
        <v>1070</v>
      </c>
      <c r="G48" t="s">
        <v>74</v>
      </c>
      <c r="H48" t="s">
        <v>74</v>
      </c>
      <c r="I48" t="s">
        <v>1071</v>
      </c>
      <c r="J48" t="s">
        <v>1004</v>
      </c>
      <c r="K48" t="s">
        <v>74</v>
      </c>
      <c r="L48" t="s">
        <v>74</v>
      </c>
      <c r="M48" t="s">
        <v>78</v>
      </c>
      <c r="N48" t="s">
        <v>79</v>
      </c>
      <c r="O48" t="s">
        <v>74</v>
      </c>
      <c r="P48" t="s">
        <v>74</v>
      </c>
      <c r="Q48" t="s">
        <v>74</v>
      </c>
      <c r="R48" t="s">
        <v>74</v>
      </c>
      <c r="S48" t="s">
        <v>74</v>
      </c>
      <c r="T48" t="s">
        <v>74</v>
      </c>
      <c r="U48" t="s">
        <v>1072</v>
      </c>
      <c r="V48" t="s">
        <v>1073</v>
      </c>
      <c r="W48" t="s">
        <v>1074</v>
      </c>
      <c r="X48" t="s">
        <v>1075</v>
      </c>
      <c r="Y48" t="s">
        <v>1076</v>
      </c>
      <c r="Z48" t="s">
        <v>1077</v>
      </c>
      <c r="AA48" t="s">
        <v>1078</v>
      </c>
      <c r="AB48" t="s">
        <v>1079</v>
      </c>
      <c r="AC48" t="s">
        <v>1080</v>
      </c>
      <c r="AD48" t="s">
        <v>1081</v>
      </c>
      <c r="AE48" t="s">
        <v>1082</v>
      </c>
      <c r="AF48" t="s">
        <v>74</v>
      </c>
      <c r="AG48">
        <v>45</v>
      </c>
      <c r="AH48">
        <v>4</v>
      </c>
      <c r="AI48">
        <v>4</v>
      </c>
      <c r="AJ48">
        <v>4</v>
      </c>
      <c r="AK48">
        <v>42</v>
      </c>
      <c r="AL48" t="s">
        <v>1014</v>
      </c>
      <c r="AM48" t="s">
        <v>1015</v>
      </c>
      <c r="AN48" t="s">
        <v>1016</v>
      </c>
      <c r="AO48" t="s">
        <v>1017</v>
      </c>
      <c r="AP48" t="s">
        <v>1018</v>
      </c>
      <c r="AQ48" t="s">
        <v>74</v>
      </c>
      <c r="AR48" t="s">
        <v>1019</v>
      </c>
      <c r="AS48" t="s">
        <v>1020</v>
      </c>
      <c r="AT48" t="s">
        <v>629</v>
      </c>
      <c r="AU48">
        <v>2011</v>
      </c>
      <c r="AV48">
        <v>43</v>
      </c>
      <c r="AW48">
        <v>3</v>
      </c>
      <c r="AX48" t="s">
        <v>74</v>
      </c>
      <c r="AY48" t="s">
        <v>74</v>
      </c>
      <c r="AZ48" t="s">
        <v>74</v>
      </c>
      <c r="BA48" t="s">
        <v>74</v>
      </c>
      <c r="BB48">
        <v>380</v>
      </c>
      <c r="BC48">
        <v>388</v>
      </c>
      <c r="BD48" t="s">
        <v>74</v>
      </c>
      <c r="BE48" t="s">
        <v>1083</v>
      </c>
      <c r="BF48" t="str">
        <f>HYPERLINK("http://dx.doi.org/10.1657/1938-4246-43.3.380","http://dx.doi.org/10.1657/1938-4246-43.3.380")</f>
        <v>http://dx.doi.org/10.1657/1938-4246-43.3.380</v>
      </c>
      <c r="BG48" t="s">
        <v>74</v>
      </c>
      <c r="BH48" t="s">
        <v>74</v>
      </c>
      <c r="BI48">
        <v>9</v>
      </c>
      <c r="BJ48" t="s">
        <v>1022</v>
      </c>
      <c r="BK48" t="s">
        <v>100</v>
      </c>
      <c r="BL48" t="s">
        <v>1023</v>
      </c>
      <c r="BM48" t="s">
        <v>1024</v>
      </c>
      <c r="BN48" t="s">
        <v>74</v>
      </c>
      <c r="BO48" t="s">
        <v>1039</v>
      </c>
      <c r="BP48" t="s">
        <v>74</v>
      </c>
      <c r="BQ48" t="s">
        <v>74</v>
      </c>
      <c r="BR48" t="s">
        <v>103</v>
      </c>
      <c r="BS48" t="s">
        <v>1084</v>
      </c>
      <c r="BT48" t="str">
        <f>HYPERLINK("https%3A%2F%2Fwww.webofscience.com%2Fwos%2Fwoscc%2Ffull-record%2FWOS:000294318500006","View Full Record in Web of Science")</f>
        <v>View Full Record in Web of Science</v>
      </c>
    </row>
    <row r="49" spans="1:72" x14ac:dyDescent="0.15">
      <c r="A49" t="s">
        <v>72</v>
      </c>
      <c r="B49" t="s">
        <v>1085</v>
      </c>
      <c r="C49" t="s">
        <v>74</v>
      </c>
      <c r="D49" t="s">
        <v>74</v>
      </c>
      <c r="E49" t="s">
        <v>74</v>
      </c>
      <c r="F49" t="s">
        <v>1086</v>
      </c>
      <c r="G49" t="s">
        <v>74</v>
      </c>
      <c r="H49" t="s">
        <v>74</v>
      </c>
      <c r="I49" t="s">
        <v>1087</v>
      </c>
      <c r="J49" t="s">
        <v>1004</v>
      </c>
      <c r="K49" t="s">
        <v>74</v>
      </c>
      <c r="L49" t="s">
        <v>74</v>
      </c>
      <c r="M49" t="s">
        <v>78</v>
      </c>
      <c r="N49" t="s">
        <v>79</v>
      </c>
      <c r="O49" t="s">
        <v>74</v>
      </c>
      <c r="P49" t="s">
        <v>74</v>
      </c>
      <c r="Q49" t="s">
        <v>74</v>
      </c>
      <c r="R49" t="s">
        <v>74</v>
      </c>
      <c r="S49" t="s">
        <v>74</v>
      </c>
      <c r="T49" t="s">
        <v>74</v>
      </c>
      <c r="U49" t="s">
        <v>1088</v>
      </c>
      <c r="V49" t="s">
        <v>1089</v>
      </c>
      <c r="W49" t="s">
        <v>1090</v>
      </c>
      <c r="X49" t="s">
        <v>1091</v>
      </c>
      <c r="Y49" t="s">
        <v>1092</v>
      </c>
      <c r="Z49" t="s">
        <v>1093</v>
      </c>
      <c r="AA49" t="s">
        <v>1094</v>
      </c>
      <c r="AB49" t="s">
        <v>1095</v>
      </c>
      <c r="AC49" t="s">
        <v>1096</v>
      </c>
      <c r="AD49" t="s">
        <v>1097</v>
      </c>
      <c r="AE49" t="s">
        <v>1098</v>
      </c>
      <c r="AF49" t="s">
        <v>74</v>
      </c>
      <c r="AG49">
        <v>29</v>
      </c>
      <c r="AH49">
        <v>4</v>
      </c>
      <c r="AI49">
        <v>4</v>
      </c>
      <c r="AJ49">
        <v>2</v>
      </c>
      <c r="AK49">
        <v>35</v>
      </c>
      <c r="AL49" t="s">
        <v>1035</v>
      </c>
      <c r="AM49" t="s">
        <v>1036</v>
      </c>
      <c r="AN49" t="s">
        <v>1037</v>
      </c>
      <c r="AO49" t="s">
        <v>1017</v>
      </c>
      <c r="AP49" t="s">
        <v>74</v>
      </c>
      <c r="AQ49" t="s">
        <v>74</v>
      </c>
      <c r="AR49" t="s">
        <v>1019</v>
      </c>
      <c r="AS49" t="s">
        <v>1020</v>
      </c>
      <c r="AT49" t="s">
        <v>629</v>
      </c>
      <c r="AU49">
        <v>2011</v>
      </c>
      <c r="AV49">
        <v>43</v>
      </c>
      <c r="AW49">
        <v>3</v>
      </c>
      <c r="AX49" t="s">
        <v>74</v>
      </c>
      <c r="AY49" t="s">
        <v>74</v>
      </c>
      <c r="AZ49" t="s">
        <v>74</v>
      </c>
      <c r="BA49" t="s">
        <v>74</v>
      </c>
      <c r="BB49">
        <v>389</v>
      </c>
      <c r="BC49">
        <v>396</v>
      </c>
      <c r="BD49" t="s">
        <v>74</v>
      </c>
      <c r="BE49" t="s">
        <v>1099</v>
      </c>
      <c r="BF49" t="str">
        <f>HYPERLINK("http://dx.doi.org/10.1657/1938-4246-43.3.389","http://dx.doi.org/10.1657/1938-4246-43.3.389")</f>
        <v>http://dx.doi.org/10.1657/1938-4246-43.3.389</v>
      </c>
      <c r="BG49" t="s">
        <v>74</v>
      </c>
      <c r="BH49" t="s">
        <v>74</v>
      </c>
      <c r="BI49">
        <v>8</v>
      </c>
      <c r="BJ49" t="s">
        <v>1022</v>
      </c>
      <c r="BK49" t="s">
        <v>100</v>
      </c>
      <c r="BL49" t="s">
        <v>1023</v>
      </c>
      <c r="BM49" t="s">
        <v>1024</v>
      </c>
      <c r="BN49" t="s">
        <v>74</v>
      </c>
      <c r="BO49" t="s">
        <v>1039</v>
      </c>
      <c r="BP49" t="s">
        <v>74</v>
      </c>
      <c r="BQ49" t="s">
        <v>74</v>
      </c>
      <c r="BR49" t="s">
        <v>103</v>
      </c>
      <c r="BS49" t="s">
        <v>1100</v>
      </c>
      <c r="BT49" t="str">
        <f>HYPERLINK("https%3A%2F%2Fwww.webofscience.com%2Fwos%2Fwoscc%2Ffull-record%2FWOS:000294318500007","View Full Record in Web of Science")</f>
        <v>View Full Record in Web of Science</v>
      </c>
    </row>
    <row r="50" spans="1:72" x14ac:dyDescent="0.15">
      <c r="A50" t="s">
        <v>72</v>
      </c>
      <c r="B50" t="s">
        <v>1101</v>
      </c>
      <c r="C50" t="s">
        <v>74</v>
      </c>
      <c r="D50" t="s">
        <v>74</v>
      </c>
      <c r="E50" t="s">
        <v>74</v>
      </c>
      <c r="F50" t="s">
        <v>1102</v>
      </c>
      <c r="G50" t="s">
        <v>74</v>
      </c>
      <c r="H50" t="s">
        <v>74</v>
      </c>
      <c r="I50" t="s">
        <v>1103</v>
      </c>
      <c r="J50" t="s">
        <v>1004</v>
      </c>
      <c r="K50" t="s">
        <v>74</v>
      </c>
      <c r="L50" t="s">
        <v>74</v>
      </c>
      <c r="M50" t="s">
        <v>78</v>
      </c>
      <c r="N50" t="s">
        <v>79</v>
      </c>
      <c r="O50" t="s">
        <v>74</v>
      </c>
      <c r="P50" t="s">
        <v>74</v>
      </c>
      <c r="Q50" t="s">
        <v>74</v>
      </c>
      <c r="R50" t="s">
        <v>74</v>
      </c>
      <c r="S50" t="s">
        <v>74</v>
      </c>
      <c r="T50" t="s">
        <v>74</v>
      </c>
      <c r="U50" t="s">
        <v>1104</v>
      </c>
      <c r="V50" t="s">
        <v>1105</v>
      </c>
      <c r="W50" t="s">
        <v>1106</v>
      </c>
      <c r="X50" t="s">
        <v>1107</v>
      </c>
      <c r="Y50" t="s">
        <v>1108</v>
      </c>
      <c r="Z50" t="s">
        <v>1109</v>
      </c>
      <c r="AA50" t="s">
        <v>74</v>
      </c>
      <c r="AB50" t="s">
        <v>74</v>
      </c>
      <c r="AC50" t="s">
        <v>74</v>
      </c>
      <c r="AD50" t="s">
        <v>74</v>
      </c>
      <c r="AE50" t="s">
        <v>74</v>
      </c>
      <c r="AF50" t="s">
        <v>74</v>
      </c>
      <c r="AG50">
        <v>47</v>
      </c>
      <c r="AH50">
        <v>18</v>
      </c>
      <c r="AI50">
        <v>19</v>
      </c>
      <c r="AJ50">
        <v>0</v>
      </c>
      <c r="AK50">
        <v>18</v>
      </c>
      <c r="AL50" t="s">
        <v>1035</v>
      </c>
      <c r="AM50" t="s">
        <v>1036</v>
      </c>
      <c r="AN50" t="s">
        <v>1037</v>
      </c>
      <c r="AO50" t="s">
        <v>1017</v>
      </c>
      <c r="AP50" t="s">
        <v>74</v>
      </c>
      <c r="AQ50" t="s">
        <v>74</v>
      </c>
      <c r="AR50" t="s">
        <v>1019</v>
      </c>
      <c r="AS50" t="s">
        <v>1020</v>
      </c>
      <c r="AT50" t="s">
        <v>629</v>
      </c>
      <c r="AU50">
        <v>2011</v>
      </c>
      <c r="AV50">
        <v>43</v>
      </c>
      <c r="AW50">
        <v>3</v>
      </c>
      <c r="AX50" t="s">
        <v>74</v>
      </c>
      <c r="AY50" t="s">
        <v>74</v>
      </c>
      <c r="AZ50" t="s">
        <v>74</v>
      </c>
      <c r="BA50" t="s">
        <v>74</v>
      </c>
      <c r="BB50">
        <v>397</v>
      </c>
      <c r="BC50">
        <v>403</v>
      </c>
      <c r="BD50" t="s">
        <v>74</v>
      </c>
      <c r="BE50" t="s">
        <v>1110</v>
      </c>
      <c r="BF50" t="str">
        <f>HYPERLINK("http://dx.doi.org/10.1657/1938-4246-43.3.397","http://dx.doi.org/10.1657/1938-4246-43.3.397")</f>
        <v>http://dx.doi.org/10.1657/1938-4246-43.3.397</v>
      </c>
      <c r="BG50" t="s">
        <v>74</v>
      </c>
      <c r="BH50" t="s">
        <v>74</v>
      </c>
      <c r="BI50">
        <v>7</v>
      </c>
      <c r="BJ50" t="s">
        <v>1022</v>
      </c>
      <c r="BK50" t="s">
        <v>100</v>
      </c>
      <c r="BL50" t="s">
        <v>1023</v>
      </c>
      <c r="BM50" t="s">
        <v>1024</v>
      </c>
      <c r="BN50" t="s">
        <v>74</v>
      </c>
      <c r="BO50" t="s">
        <v>1025</v>
      </c>
      <c r="BP50" t="s">
        <v>74</v>
      </c>
      <c r="BQ50" t="s">
        <v>74</v>
      </c>
      <c r="BR50" t="s">
        <v>103</v>
      </c>
      <c r="BS50" t="s">
        <v>1111</v>
      </c>
      <c r="BT50" t="str">
        <f>HYPERLINK("https%3A%2F%2Fwww.webofscience.com%2Fwos%2Fwoscc%2Ffull-record%2FWOS:000294318500008","View Full Record in Web of Science")</f>
        <v>View Full Record in Web of Science</v>
      </c>
    </row>
    <row r="51" spans="1:72" x14ac:dyDescent="0.15">
      <c r="A51" t="s">
        <v>72</v>
      </c>
      <c r="B51" t="s">
        <v>1112</v>
      </c>
      <c r="C51" t="s">
        <v>74</v>
      </c>
      <c r="D51" t="s">
        <v>74</v>
      </c>
      <c r="E51" t="s">
        <v>74</v>
      </c>
      <c r="F51" t="s">
        <v>1113</v>
      </c>
      <c r="G51" t="s">
        <v>74</v>
      </c>
      <c r="H51" t="s">
        <v>74</v>
      </c>
      <c r="I51" t="s">
        <v>1114</v>
      </c>
      <c r="J51" t="s">
        <v>1004</v>
      </c>
      <c r="K51" t="s">
        <v>74</v>
      </c>
      <c r="L51" t="s">
        <v>74</v>
      </c>
      <c r="M51" t="s">
        <v>78</v>
      </c>
      <c r="N51" t="s">
        <v>79</v>
      </c>
      <c r="O51" t="s">
        <v>74</v>
      </c>
      <c r="P51" t="s">
        <v>74</v>
      </c>
      <c r="Q51" t="s">
        <v>74</v>
      </c>
      <c r="R51" t="s">
        <v>74</v>
      </c>
      <c r="S51" t="s">
        <v>74</v>
      </c>
      <c r="T51" t="s">
        <v>74</v>
      </c>
      <c r="U51" t="s">
        <v>1115</v>
      </c>
      <c r="V51" t="s">
        <v>1116</v>
      </c>
      <c r="W51" t="s">
        <v>1117</v>
      </c>
      <c r="X51" t="s">
        <v>1118</v>
      </c>
      <c r="Y51" t="s">
        <v>1119</v>
      </c>
      <c r="Z51" t="s">
        <v>1120</v>
      </c>
      <c r="AA51" t="s">
        <v>1121</v>
      </c>
      <c r="AB51" t="s">
        <v>1122</v>
      </c>
      <c r="AC51" t="s">
        <v>1123</v>
      </c>
      <c r="AD51" t="s">
        <v>1124</v>
      </c>
      <c r="AE51" t="s">
        <v>1125</v>
      </c>
      <c r="AF51" t="s">
        <v>74</v>
      </c>
      <c r="AG51">
        <v>46</v>
      </c>
      <c r="AH51">
        <v>13</v>
      </c>
      <c r="AI51">
        <v>16</v>
      </c>
      <c r="AJ51">
        <v>2</v>
      </c>
      <c r="AK51">
        <v>70</v>
      </c>
      <c r="AL51" t="s">
        <v>1014</v>
      </c>
      <c r="AM51" t="s">
        <v>1015</v>
      </c>
      <c r="AN51" t="s">
        <v>1016</v>
      </c>
      <c r="AO51" t="s">
        <v>1017</v>
      </c>
      <c r="AP51" t="s">
        <v>1018</v>
      </c>
      <c r="AQ51" t="s">
        <v>74</v>
      </c>
      <c r="AR51" t="s">
        <v>1019</v>
      </c>
      <c r="AS51" t="s">
        <v>1020</v>
      </c>
      <c r="AT51" t="s">
        <v>629</v>
      </c>
      <c r="AU51">
        <v>2011</v>
      </c>
      <c r="AV51">
        <v>43</v>
      </c>
      <c r="AW51">
        <v>3</v>
      </c>
      <c r="AX51" t="s">
        <v>74</v>
      </c>
      <c r="AY51" t="s">
        <v>74</v>
      </c>
      <c r="AZ51" t="s">
        <v>74</v>
      </c>
      <c r="BA51" t="s">
        <v>74</v>
      </c>
      <c r="BB51">
        <v>410</v>
      </c>
      <c r="BC51">
        <v>416</v>
      </c>
      <c r="BD51" t="s">
        <v>74</v>
      </c>
      <c r="BE51" t="s">
        <v>1126</v>
      </c>
      <c r="BF51" t="str">
        <f>HYPERLINK("http://dx.doi.org/10.1657/1938-4246-43.3.410","http://dx.doi.org/10.1657/1938-4246-43.3.410")</f>
        <v>http://dx.doi.org/10.1657/1938-4246-43.3.410</v>
      </c>
      <c r="BG51" t="s">
        <v>74</v>
      </c>
      <c r="BH51" t="s">
        <v>74</v>
      </c>
      <c r="BI51">
        <v>7</v>
      </c>
      <c r="BJ51" t="s">
        <v>1022</v>
      </c>
      <c r="BK51" t="s">
        <v>100</v>
      </c>
      <c r="BL51" t="s">
        <v>1023</v>
      </c>
      <c r="BM51" t="s">
        <v>1024</v>
      </c>
      <c r="BN51" t="s">
        <v>74</v>
      </c>
      <c r="BO51" t="s">
        <v>152</v>
      </c>
      <c r="BP51" t="s">
        <v>74</v>
      </c>
      <c r="BQ51" t="s">
        <v>74</v>
      </c>
      <c r="BR51" t="s">
        <v>103</v>
      </c>
      <c r="BS51" t="s">
        <v>1127</v>
      </c>
      <c r="BT51" t="str">
        <f>HYPERLINK("https%3A%2F%2Fwww.webofscience.com%2Fwos%2Fwoscc%2Ffull-record%2FWOS:000294318500010","View Full Record in Web of Science")</f>
        <v>View Full Record in Web of Science</v>
      </c>
    </row>
    <row r="52" spans="1:72" x14ac:dyDescent="0.15">
      <c r="A52" t="s">
        <v>72</v>
      </c>
      <c r="B52" t="s">
        <v>1128</v>
      </c>
      <c r="C52" t="s">
        <v>74</v>
      </c>
      <c r="D52" t="s">
        <v>74</v>
      </c>
      <c r="E52" t="s">
        <v>74</v>
      </c>
      <c r="F52" t="s">
        <v>1129</v>
      </c>
      <c r="G52" t="s">
        <v>74</v>
      </c>
      <c r="H52" t="s">
        <v>74</v>
      </c>
      <c r="I52" t="s">
        <v>1130</v>
      </c>
      <c r="J52" t="s">
        <v>1004</v>
      </c>
      <c r="K52" t="s">
        <v>74</v>
      </c>
      <c r="L52" t="s">
        <v>74</v>
      </c>
      <c r="M52" t="s">
        <v>78</v>
      </c>
      <c r="N52" t="s">
        <v>79</v>
      </c>
      <c r="O52" t="s">
        <v>74</v>
      </c>
      <c r="P52" t="s">
        <v>74</v>
      </c>
      <c r="Q52" t="s">
        <v>74</v>
      </c>
      <c r="R52" t="s">
        <v>74</v>
      </c>
      <c r="S52" t="s">
        <v>74</v>
      </c>
      <c r="T52" t="s">
        <v>74</v>
      </c>
      <c r="U52" t="s">
        <v>1131</v>
      </c>
      <c r="V52" t="s">
        <v>1132</v>
      </c>
      <c r="W52" t="s">
        <v>1133</v>
      </c>
      <c r="X52" t="s">
        <v>1134</v>
      </c>
      <c r="Y52" t="s">
        <v>1135</v>
      </c>
      <c r="Z52" t="s">
        <v>1136</v>
      </c>
      <c r="AA52" t="s">
        <v>74</v>
      </c>
      <c r="AB52" t="s">
        <v>1137</v>
      </c>
      <c r="AC52" t="s">
        <v>74</v>
      </c>
      <c r="AD52" t="s">
        <v>74</v>
      </c>
      <c r="AE52" t="s">
        <v>74</v>
      </c>
      <c r="AF52" t="s">
        <v>74</v>
      </c>
      <c r="AG52">
        <v>36</v>
      </c>
      <c r="AH52">
        <v>5</v>
      </c>
      <c r="AI52">
        <v>8</v>
      </c>
      <c r="AJ52">
        <v>1</v>
      </c>
      <c r="AK52">
        <v>43</v>
      </c>
      <c r="AL52" t="s">
        <v>1035</v>
      </c>
      <c r="AM52" t="s">
        <v>1036</v>
      </c>
      <c r="AN52" t="s">
        <v>1037</v>
      </c>
      <c r="AO52" t="s">
        <v>1017</v>
      </c>
      <c r="AP52" t="s">
        <v>74</v>
      </c>
      <c r="AQ52" t="s">
        <v>74</v>
      </c>
      <c r="AR52" t="s">
        <v>1019</v>
      </c>
      <c r="AS52" t="s">
        <v>1020</v>
      </c>
      <c r="AT52" t="s">
        <v>629</v>
      </c>
      <c r="AU52">
        <v>2011</v>
      </c>
      <c r="AV52">
        <v>43</v>
      </c>
      <c r="AW52">
        <v>3</v>
      </c>
      <c r="AX52" t="s">
        <v>74</v>
      </c>
      <c r="AY52" t="s">
        <v>74</v>
      </c>
      <c r="AZ52" t="s">
        <v>74</v>
      </c>
      <c r="BA52" t="s">
        <v>74</v>
      </c>
      <c r="BB52">
        <v>417</v>
      </c>
      <c r="BC52">
        <v>428</v>
      </c>
      <c r="BD52" t="s">
        <v>74</v>
      </c>
      <c r="BE52" t="s">
        <v>1138</v>
      </c>
      <c r="BF52" t="str">
        <f>HYPERLINK("http://dx.doi.org/10.1657/1938-4246-43.3.417","http://dx.doi.org/10.1657/1938-4246-43.3.417")</f>
        <v>http://dx.doi.org/10.1657/1938-4246-43.3.417</v>
      </c>
      <c r="BG52" t="s">
        <v>74</v>
      </c>
      <c r="BH52" t="s">
        <v>74</v>
      </c>
      <c r="BI52">
        <v>12</v>
      </c>
      <c r="BJ52" t="s">
        <v>1022</v>
      </c>
      <c r="BK52" t="s">
        <v>100</v>
      </c>
      <c r="BL52" t="s">
        <v>1023</v>
      </c>
      <c r="BM52" t="s">
        <v>1024</v>
      </c>
      <c r="BN52" t="s">
        <v>74</v>
      </c>
      <c r="BO52" t="s">
        <v>1025</v>
      </c>
      <c r="BP52" t="s">
        <v>74</v>
      </c>
      <c r="BQ52" t="s">
        <v>74</v>
      </c>
      <c r="BR52" t="s">
        <v>103</v>
      </c>
      <c r="BS52" t="s">
        <v>1139</v>
      </c>
      <c r="BT52" t="str">
        <f>HYPERLINK("https%3A%2F%2Fwww.webofscience.com%2Fwos%2Fwoscc%2Ffull-record%2FWOS:000294318500011","View Full Record in Web of Science")</f>
        <v>View Full Record in Web of Science</v>
      </c>
    </row>
    <row r="53" spans="1:72" x14ac:dyDescent="0.15">
      <c r="A53" t="s">
        <v>72</v>
      </c>
      <c r="B53" t="s">
        <v>1140</v>
      </c>
      <c r="C53" t="s">
        <v>74</v>
      </c>
      <c r="D53" t="s">
        <v>74</v>
      </c>
      <c r="E53" t="s">
        <v>74</v>
      </c>
      <c r="F53" t="s">
        <v>1141</v>
      </c>
      <c r="G53" t="s">
        <v>74</v>
      </c>
      <c r="H53" t="s">
        <v>74</v>
      </c>
      <c r="I53" t="s">
        <v>1142</v>
      </c>
      <c r="J53" t="s">
        <v>1004</v>
      </c>
      <c r="K53" t="s">
        <v>74</v>
      </c>
      <c r="L53" t="s">
        <v>74</v>
      </c>
      <c r="M53" t="s">
        <v>78</v>
      </c>
      <c r="N53" t="s">
        <v>79</v>
      </c>
      <c r="O53" t="s">
        <v>74</v>
      </c>
      <c r="P53" t="s">
        <v>74</v>
      </c>
      <c r="Q53" t="s">
        <v>74</v>
      </c>
      <c r="R53" t="s">
        <v>74</v>
      </c>
      <c r="S53" t="s">
        <v>74</v>
      </c>
      <c r="T53" t="s">
        <v>74</v>
      </c>
      <c r="U53" t="s">
        <v>1143</v>
      </c>
      <c r="V53" t="s">
        <v>1144</v>
      </c>
      <c r="W53" t="s">
        <v>1145</v>
      </c>
      <c r="X53" t="s">
        <v>1146</v>
      </c>
      <c r="Y53" t="s">
        <v>1147</v>
      </c>
      <c r="Z53" t="s">
        <v>1148</v>
      </c>
      <c r="AA53" t="s">
        <v>1149</v>
      </c>
      <c r="AB53" t="s">
        <v>1150</v>
      </c>
      <c r="AC53" t="s">
        <v>1151</v>
      </c>
      <c r="AD53" t="s">
        <v>1152</v>
      </c>
      <c r="AE53" t="s">
        <v>1153</v>
      </c>
      <c r="AF53" t="s">
        <v>74</v>
      </c>
      <c r="AG53">
        <v>39</v>
      </c>
      <c r="AH53">
        <v>28</v>
      </c>
      <c r="AI53">
        <v>32</v>
      </c>
      <c r="AJ53">
        <v>4</v>
      </c>
      <c r="AK53">
        <v>67</v>
      </c>
      <c r="AL53" t="s">
        <v>1035</v>
      </c>
      <c r="AM53" t="s">
        <v>1036</v>
      </c>
      <c r="AN53" t="s">
        <v>1037</v>
      </c>
      <c r="AO53" t="s">
        <v>1017</v>
      </c>
      <c r="AP53" t="s">
        <v>74</v>
      </c>
      <c r="AQ53" t="s">
        <v>74</v>
      </c>
      <c r="AR53" t="s">
        <v>1019</v>
      </c>
      <c r="AS53" t="s">
        <v>1020</v>
      </c>
      <c r="AT53" t="s">
        <v>629</v>
      </c>
      <c r="AU53">
        <v>2011</v>
      </c>
      <c r="AV53">
        <v>43</v>
      </c>
      <c r="AW53">
        <v>3</v>
      </c>
      <c r="AX53" t="s">
        <v>74</v>
      </c>
      <c r="AY53" t="s">
        <v>74</v>
      </c>
      <c r="AZ53" t="s">
        <v>74</v>
      </c>
      <c r="BA53" t="s">
        <v>74</v>
      </c>
      <c r="BB53">
        <v>429</v>
      </c>
      <c r="BC53">
        <v>441</v>
      </c>
      <c r="BD53" t="s">
        <v>74</v>
      </c>
      <c r="BE53" t="s">
        <v>1154</v>
      </c>
      <c r="BF53" t="str">
        <f>HYPERLINK("http://dx.doi.org/10.1657/1938-4246-43.3.429","http://dx.doi.org/10.1657/1938-4246-43.3.429")</f>
        <v>http://dx.doi.org/10.1657/1938-4246-43.3.429</v>
      </c>
      <c r="BG53" t="s">
        <v>74</v>
      </c>
      <c r="BH53" t="s">
        <v>74</v>
      </c>
      <c r="BI53">
        <v>13</v>
      </c>
      <c r="BJ53" t="s">
        <v>1022</v>
      </c>
      <c r="BK53" t="s">
        <v>100</v>
      </c>
      <c r="BL53" t="s">
        <v>1023</v>
      </c>
      <c r="BM53" t="s">
        <v>1024</v>
      </c>
      <c r="BN53" t="s">
        <v>74</v>
      </c>
      <c r="BO53" t="s">
        <v>1051</v>
      </c>
      <c r="BP53" t="s">
        <v>74</v>
      </c>
      <c r="BQ53" t="s">
        <v>74</v>
      </c>
      <c r="BR53" t="s">
        <v>103</v>
      </c>
      <c r="BS53" t="s">
        <v>1155</v>
      </c>
      <c r="BT53" t="str">
        <f>HYPERLINK("https%3A%2F%2Fwww.webofscience.com%2Fwos%2Fwoscc%2Ffull-record%2FWOS:000294318500012","View Full Record in Web of Science")</f>
        <v>View Full Record in Web of Science</v>
      </c>
    </row>
    <row r="54" spans="1:72" x14ac:dyDescent="0.15">
      <c r="A54" t="s">
        <v>72</v>
      </c>
      <c r="B54" t="s">
        <v>1156</v>
      </c>
      <c r="C54" t="s">
        <v>74</v>
      </c>
      <c r="D54" t="s">
        <v>74</v>
      </c>
      <c r="E54" t="s">
        <v>74</v>
      </c>
      <c r="F54" t="s">
        <v>1157</v>
      </c>
      <c r="G54" t="s">
        <v>74</v>
      </c>
      <c r="H54" t="s">
        <v>74</v>
      </c>
      <c r="I54" t="s">
        <v>1158</v>
      </c>
      <c r="J54" t="s">
        <v>1004</v>
      </c>
      <c r="K54" t="s">
        <v>74</v>
      </c>
      <c r="L54" t="s">
        <v>74</v>
      </c>
      <c r="M54" t="s">
        <v>78</v>
      </c>
      <c r="N54" t="s">
        <v>79</v>
      </c>
      <c r="O54" t="s">
        <v>74</v>
      </c>
      <c r="P54" t="s">
        <v>74</v>
      </c>
      <c r="Q54" t="s">
        <v>74</v>
      </c>
      <c r="R54" t="s">
        <v>74</v>
      </c>
      <c r="S54" t="s">
        <v>74</v>
      </c>
      <c r="T54" t="s">
        <v>74</v>
      </c>
      <c r="U54" t="s">
        <v>1159</v>
      </c>
      <c r="V54" t="s">
        <v>1160</v>
      </c>
      <c r="W54" t="s">
        <v>1161</v>
      </c>
      <c r="X54" t="s">
        <v>1162</v>
      </c>
      <c r="Y54" t="s">
        <v>1163</v>
      </c>
      <c r="Z54" t="s">
        <v>1164</v>
      </c>
      <c r="AA54" t="s">
        <v>1165</v>
      </c>
      <c r="AB54" t="s">
        <v>1166</v>
      </c>
      <c r="AC54" t="s">
        <v>1167</v>
      </c>
      <c r="AD54" t="s">
        <v>1168</v>
      </c>
      <c r="AE54" t="s">
        <v>1169</v>
      </c>
      <c r="AF54" t="s">
        <v>74</v>
      </c>
      <c r="AG54">
        <v>65</v>
      </c>
      <c r="AH54">
        <v>20</v>
      </c>
      <c r="AI54">
        <v>26</v>
      </c>
      <c r="AJ54">
        <v>4</v>
      </c>
      <c r="AK54">
        <v>83</v>
      </c>
      <c r="AL54" t="s">
        <v>1014</v>
      </c>
      <c r="AM54" t="s">
        <v>1015</v>
      </c>
      <c r="AN54" t="s">
        <v>1016</v>
      </c>
      <c r="AO54" t="s">
        <v>1017</v>
      </c>
      <c r="AP54" t="s">
        <v>1018</v>
      </c>
      <c r="AQ54" t="s">
        <v>74</v>
      </c>
      <c r="AR54" t="s">
        <v>1019</v>
      </c>
      <c r="AS54" t="s">
        <v>1020</v>
      </c>
      <c r="AT54" t="s">
        <v>629</v>
      </c>
      <c r="AU54">
        <v>2011</v>
      </c>
      <c r="AV54">
        <v>43</v>
      </c>
      <c r="AW54">
        <v>3</v>
      </c>
      <c r="AX54" t="s">
        <v>74</v>
      </c>
      <c r="AY54" t="s">
        <v>74</v>
      </c>
      <c r="AZ54" t="s">
        <v>74</v>
      </c>
      <c r="BA54" t="s">
        <v>74</v>
      </c>
      <c r="BB54">
        <v>442</v>
      </c>
      <c r="BC54">
        <v>456</v>
      </c>
      <c r="BD54" t="s">
        <v>74</v>
      </c>
      <c r="BE54" t="s">
        <v>1170</v>
      </c>
      <c r="BF54" t="str">
        <f>HYPERLINK("http://dx.doi.org/10.1657/1938-4246-43.3.442","http://dx.doi.org/10.1657/1938-4246-43.3.442")</f>
        <v>http://dx.doi.org/10.1657/1938-4246-43.3.442</v>
      </c>
      <c r="BG54" t="s">
        <v>74</v>
      </c>
      <c r="BH54" t="s">
        <v>74</v>
      </c>
      <c r="BI54">
        <v>15</v>
      </c>
      <c r="BJ54" t="s">
        <v>1022</v>
      </c>
      <c r="BK54" t="s">
        <v>100</v>
      </c>
      <c r="BL54" t="s">
        <v>1023</v>
      </c>
      <c r="BM54" t="s">
        <v>1024</v>
      </c>
      <c r="BN54" t="s">
        <v>74</v>
      </c>
      <c r="BO54" t="s">
        <v>1051</v>
      </c>
      <c r="BP54" t="s">
        <v>74</v>
      </c>
      <c r="BQ54" t="s">
        <v>74</v>
      </c>
      <c r="BR54" t="s">
        <v>103</v>
      </c>
      <c r="BS54" t="s">
        <v>1171</v>
      </c>
      <c r="BT54" t="str">
        <f>HYPERLINK("https%3A%2F%2Fwww.webofscience.com%2Fwos%2Fwoscc%2Ffull-record%2FWOS:000294318500013","View Full Record in Web of Science")</f>
        <v>View Full Record in Web of Science</v>
      </c>
    </row>
    <row r="55" spans="1:72" x14ac:dyDescent="0.15">
      <c r="A55" t="s">
        <v>72</v>
      </c>
      <c r="B55" t="s">
        <v>1172</v>
      </c>
      <c r="C55" t="s">
        <v>74</v>
      </c>
      <c r="D55" t="s">
        <v>74</v>
      </c>
      <c r="E55" t="s">
        <v>74</v>
      </c>
      <c r="F55" t="s">
        <v>1173</v>
      </c>
      <c r="G55" t="s">
        <v>74</v>
      </c>
      <c r="H55" t="s">
        <v>74</v>
      </c>
      <c r="I55" t="s">
        <v>1174</v>
      </c>
      <c r="J55" t="s">
        <v>1004</v>
      </c>
      <c r="K55" t="s">
        <v>74</v>
      </c>
      <c r="L55" t="s">
        <v>74</v>
      </c>
      <c r="M55" t="s">
        <v>78</v>
      </c>
      <c r="N55" t="s">
        <v>79</v>
      </c>
      <c r="O55" t="s">
        <v>74</v>
      </c>
      <c r="P55" t="s">
        <v>74</v>
      </c>
      <c r="Q55" t="s">
        <v>74</v>
      </c>
      <c r="R55" t="s">
        <v>74</v>
      </c>
      <c r="S55" t="s">
        <v>74</v>
      </c>
      <c r="T55" t="s">
        <v>74</v>
      </c>
      <c r="U55" t="s">
        <v>1175</v>
      </c>
      <c r="V55" t="s">
        <v>1176</v>
      </c>
      <c r="W55" t="s">
        <v>1177</v>
      </c>
      <c r="X55" t="s">
        <v>1178</v>
      </c>
      <c r="Y55" t="s">
        <v>1179</v>
      </c>
      <c r="Z55" t="s">
        <v>1180</v>
      </c>
      <c r="AA55" t="s">
        <v>1181</v>
      </c>
      <c r="AB55" t="s">
        <v>1182</v>
      </c>
      <c r="AC55" t="s">
        <v>1183</v>
      </c>
      <c r="AD55" t="s">
        <v>1183</v>
      </c>
      <c r="AE55" t="s">
        <v>1184</v>
      </c>
      <c r="AF55" t="s">
        <v>74</v>
      </c>
      <c r="AG55">
        <v>41</v>
      </c>
      <c r="AH55">
        <v>53</v>
      </c>
      <c r="AI55">
        <v>62</v>
      </c>
      <c r="AJ55">
        <v>5</v>
      </c>
      <c r="AK55">
        <v>38</v>
      </c>
      <c r="AL55" t="s">
        <v>1035</v>
      </c>
      <c r="AM55" t="s">
        <v>1036</v>
      </c>
      <c r="AN55" t="s">
        <v>1037</v>
      </c>
      <c r="AO55" t="s">
        <v>1017</v>
      </c>
      <c r="AP55" t="s">
        <v>74</v>
      </c>
      <c r="AQ55" t="s">
        <v>74</v>
      </c>
      <c r="AR55" t="s">
        <v>1019</v>
      </c>
      <c r="AS55" t="s">
        <v>1020</v>
      </c>
      <c r="AT55" t="s">
        <v>629</v>
      </c>
      <c r="AU55">
        <v>2011</v>
      </c>
      <c r="AV55">
        <v>43</v>
      </c>
      <c r="AW55">
        <v>3</v>
      </c>
      <c r="AX55" t="s">
        <v>74</v>
      </c>
      <c r="AY55" t="s">
        <v>74</v>
      </c>
      <c r="AZ55" t="s">
        <v>74</v>
      </c>
      <c r="BA55" t="s">
        <v>74</v>
      </c>
      <c r="BB55">
        <v>457</v>
      </c>
      <c r="BC55">
        <v>464</v>
      </c>
      <c r="BD55" t="s">
        <v>74</v>
      </c>
      <c r="BE55" t="s">
        <v>1185</v>
      </c>
      <c r="BF55" t="str">
        <f>HYPERLINK("http://dx.doi.org/10.1657/1938-4246-43.3.457","http://dx.doi.org/10.1657/1938-4246-43.3.457")</f>
        <v>http://dx.doi.org/10.1657/1938-4246-43.3.457</v>
      </c>
      <c r="BG55" t="s">
        <v>74</v>
      </c>
      <c r="BH55" t="s">
        <v>74</v>
      </c>
      <c r="BI55">
        <v>8</v>
      </c>
      <c r="BJ55" t="s">
        <v>1022</v>
      </c>
      <c r="BK55" t="s">
        <v>100</v>
      </c>
      <c r="BL55" t="s">
        <v>1023</v>
      </c>
      <c r="BM55" t="s">
        <v>1024</v>
      </c>
      <c r="BN55" t="s">
        <v>74</v>
      </c>
      <c r="BO55" t="s">
        <v>1186</v>
      </c>
      <c r="BP55" t="s">
        <v>74</v>
      </c>
      <c r="BQ55" t="s">
        <v>74</v>
      </c>
      <c r="BR55" t="s">
        <v>103</v>
      </c>
      <c r="BS55" t="s">
        <v>1187</v>
      </c>
      <c r="BT55" t="str">
        <f>HYPERLINK("https%3A%2F%2Fwww.webofscience.com%2Fwos%2Fwoscc%2Ffull-record%2FWOS:000294318500014","View Full Record in Web of Science")</f>
        <v>View Full Record in Web of Science</v>
      </c>
    </row>
    <row r="56" spans="1:72" x14ac:dyDescent="0.15">
      <c r="A56" t="s">
        <v>72</v>
      </c>
      <c r="B56" t="s">
        <v>1188</v>
      </c>
      <c r="C56" t="s">
        <v>74</v>
      </c>
      <c r="D56" t="s">
        <v>74</v>
      </c>
      <c r="E56" t="s">
        <v>74</v>
      </c>
      <c r="F56" t="s">
        <v>1189</v>
      </c>
      <c r="G56" t="s">
        <v>74</v>
      </c>
      <c r="H56" t="s">
        <v>74</v>
      </c>
      <c r="I56" t="s">
        <v>1190</v>
      </c>
      <c r="J56" t="s">
        <v>1004</v>
      </c>
      <c r="K56" t="s">
        <v>74</v>
      </c>
      <c r="L56" t="s">
        <v>74</v>
      </c>
      <c r="M56" t="s">
        <v>78</v>
      </c>
      <c r="N56" t="s">
        <v>79</v>
      </c>
      <c r="O56" t="s">
        <v>74</v>
      </c>
      <c r="P56" t="s">
        <v>74</v>
      </c>
      <c r="Q56" t="s">
        <v>74</v>
      </c>
      <c r="R56" t="s">
        <v>74</v>
      </c>
      <c r="S56" t="s">
        <v>74</v>
      </c>
      <c r="T56" t="s">
        <v>74</v>
      </c>
      <c r="U56" t="s">
        <v>1191</v>
      </c>
      <c r="V56" t="s">
        <v>1192</v>
      </c>
      <c r="W56" t="s">
        <v>1193</v>
      </c>
      <c r="X56" t="s">
        <v>1194</v>
      </c>
      <c r="Y56" t="s">
        <v>1195</v>
      </c>
      <c r="Z56" t="s">
        <v>1196</v>
      </c>
      <c r="AA56" t="s">
        <v>74</v>
      </c>
      <c r="AB56" t="s">
        <v>74</v>
      </c>
      <c r="AC56" t="s">
        <v>74</v>
      </c>
      <c r="AD56" t="s">
        <v>74</v>
      </c>
      <c r="AE56" t="s">
        <v>74</v>
      </c>
      <c r="AF56" t="s">
        <v>74</v>
      </c>
      <c r="AG56">
        <v>37</v>
      </c>
      <c r="AH56">
        <v>6</v>
      </c>
      <c r="AI56">
        <v>6</v>
      </c>
      <c r="AJ56">
        <v>2</v>
      </c>
      <c r="AK56">
        <v>26</v>
      </c>
      <c r="AL56" t="s">
        <v>1035</v>
      </c>
      <c r="AM56" t="s">
        <v>1036</v>
      </c>
      <c r="AN56" t="s">
        <v>1037</v>
      </c>
      <c r="AO56" t="s">
        <v>1017</v>
      </c>
      <c r="AP56" t="s">
        <v>74</v>
      </c>
      <c r="AQ56" t="s">
        <v>74</v>
      </c>
      <c r="AR56" t="s">
        <v>1019</v>
      </c>
      <c r="AS56" t="s">
        <v>1020</v>
      </c>
      <c r="AT56" t="s">
        <v>629</v>
      </c>
      <c r="AU56">
        <v>2011</v>
      </c>
      <c r="AV56">
        <v>43</v>
      </c>
      <c r="AW56">
        <v>3</v>
      </c>
      <c r="AX56" t="s">
        <v>74</v>
      </c>
      <c r="AY56" t="s">
        <v>74</v>
      </c>
      <c r="AZ56" t="s">
        <v>74</v>
      </c>
      <c r="BA56" t="s">
        <v>74</v>
      </c>
      <c r="BB56">
        <v>465</v>
      </c>
      <c r="BC56">
        <v>473</v>
      </c>
      <c r="BD56" t="s">
        <v>74</v>
      </c>
      <c r="BE56" t="s">
        <v>1197</v>
      </c>
      <c r="BF56" t="str">
        <f>HYPERLINK("http://dx.doi.org/10.1657/1938-4246-43.3.465","http://dx.doi.org/10.1657/1938-4246-43.3.465")</f>
        <v>http://dx.doi.org/10.1657/1938-4246-43.3.465</v>
      </c>
      <c r="BG56" t="s">
        <v>74</v>
      </c>
      <c r="BH56" t="s">
        <v>74</v>
      </c>
      <c r="BI56">
        <v>9</v>
      </c>
      <c r="BJ56" t="s">
        <v>1022</v>
      </c>
      <c r="BK56" t="s">
        <v>100</v>
      </c>
      <c r="BL56" t="s">
        <v>1023</v>
      </c>
      <c r="BM56" t="s">
        <v>1024</v>
      </c>
      <c r="BN56" t="s">
        <v>74</v>
      </c>
      <c r="BO56" t="s">
        <v>1039</v>
      </c>
      <c r="BP56" t="s">
        <v>74</v>
      </c>
      <c r="BQ56" t="s">
        <v>74</v>
      </c>
      <c r="BR56" t="s">
        <v>103</v>
      </c>
      <c r="BS56" t="s">
        <v>1198</v>
      </c>
      <c r="BT56" t="str">
        <f>HYPERLINK("https%3A%2F%2Fwww.webofscience.com%2Fwos%2Fwoscc%2Ffull-record%2FWOS:000294318500015","View Full Record in Web of Science")</f>
        <v>View Full Record in Web of Science</v>
      </c>
    </row>
    <row r="57" spans="1:72" x14ac:dyDescent="0.15">
      <c r="A57" t="s">
        <v>72</v>
      </c>
      <c r="B57" t="s">
        <v>1199</v>
      </c>
      <c r="C57" t="s">
        <v>74</v>
      </c>
      <c r="D57" t="s">
        <v>74</v>
      </c>
      <c r="E57" t="s">
        <v>74</v>
      </c>
      <c r="F57" t="s">
        <v>1200</v>
      </c>
      <c r="G57" t="s">
        <v>74</v>
      </c>
      <c r="H57" t="s">
        <v>74</v>
      </c>
      <c r="I57" t="s">
        <v>1201</v>
      </c>
      <c r="J57" t="s">
        <v>1004</v>
      </c>
      <c r="K57" t="s">
        <v>74</v>
      </c>
      <c r="L57" t="s">
        <v>74</v>
      </c>
      <c r="M57" t="s">
        <v>78</v>
      </c>
      <c r="N57" t="s">
        <v>79</v>
      </c>
      <c r="O57" t="s">
        <v>74</v>
      </c>
      <c r="P57" t="s">
        <v>74</v>
      </c>
      <c r="Q57" t="s">
        <v>74</v>
      </c>
      <c r="R57" t="s">
        <v>74</v>
      </c>
      <c r="S57" t="s">
        <v>74</v>
      </c>
      <c r="T57" t="s">
        <v>74</v>
      </c>
      <c r="U57" t="s">
        <v>1202</v>
      </c>
      <c r="V57" t="s">
        <v>1203</v>
      </c>
      <c r="W57" t="s">
        <v>1204</v>
      </c>
      <c r="X57" t="s">
        <v>1205</v>
      </c>
      <c r="Y57" t="s">
        <v>1206</v>
      </c>
      <c r="Z57" t="s">
        <v>1207</v>
      </c>
      <c r="AA57" t="s">
        <v>74</v>
      </c>
      <c r="AB57" t="s">
        <v>1208</v>
      </c>
      <c r="AC57" t="s">
        <v>1209</v>
      </c>
      <c r="AD57" t="s">
        <v>1210</v>
      </c>
      <c r="AE57" t="s">
        <v>1211</v>
      </c>
      <c r="AF57" t="s">
        <v>74</v>
      </c>
      <c r="AG57">
        <v>28</v>
      </c>
      <c r="AH57">
        <v>42</v>
      </c>
      <c r="AI57">
        <v>49</v>
      </c>
      <c r="AJ57">
        <v>0</v>
      </c>
      <c r="AK57">
        <v>28</v>
      </c>
      <c r="AL57" t="s">
        <v>1035</v>
      </c>
      <c r="AM57" t="s">
        <v>1036</v>
      </c>
      <c r="AN57" t="s">
        <v>1037</v>
      </c>
      <c r="AO57" t="s">
        <v>1017</v>
      </c>
      <c r="AP57" t="s">
        <v>74</v>
      </c>
      <c r="AQ57" t="s">
        <v>74</v>
      </c>
      <c r="AR57" t="s">
        <v>1019</v>
      </c>
      <c r="AS57" t="s">
        <v>1020</v>
      </c>
      <c r="AT57" t="s">
        <v>629</v>
      </c>
      <c r="AU57">
        <v>2011</v>
      </c>
      <c r="AV57">
        <v>43</v>
      </c>
      <c r="AW57">
        <v>3</v>
      </c>
      <c r="AX57" t="s">
        <v>74</v>
      </c>
      <c r="AY57" t="s">
        <v>74</v>
      </c>
      <c r="AZ57" t="s">
        <v>74</v>
      </c>
      <c r="BA57" t="s">
        <v>74</v>
      </c>
      <c r="BB57">
        <v>474</v>
      </c>
      <c r="BC57">
        <v>484</v>
      </c>
      <c r="BD57" t="s">
        <v>74</v>
      </c>
      <c r="BE57" t="s">
        <v>1212</v>
      </c>
      <c r="BF57" t="str">
        <f>HYPERLINK("http://dx.doi.org/10.1657/1938-4246-43.3.474","http://dx.doi.org/10.1657/1938-4246-43.3.474")</f>
        <v>http://dx.doi.org/10.1657/1938-4246-43.3.474</v>
      </c>
      <c r="BG57" t="s">
        <v>74</v>
      </c>
      <c r="BH57" t="s">
        <v>74</v>
      </c>
      <c r="BI57">
        <v>11</v>
      </c>
      <c r="BJ57" t="s">
        <v>1022</v>
      </c>
      <c r="BK57" t="s">
        <v>100</v>
      </c>
      <c r="BL57" t="s">
        <v>1023</v>
      </c>
      <c r="BM57" t="s">
        <v>1024</v>
      </c>
      <c r="BN57" t="s">
        <v>74</v>
      </c>
      <c r="BO57" t="s">
        <v>1025</v>
      </c>
      <c r="BP57" t="s">
        <v>74</v>
      </c>
      <c r="BQ57" t="s">
        <v>74</v>
      </c>
      <c r="BR57" t="s">
        <v>103</v>
      </c>
      <c r="BS57" t="s">
        <v>1213</v>
      </c>
      <c r="BT57" t="str">
        <f>HYPERLINK("https%3A%2F%2Fwww.webofscience.com%2Fwos%2Fwoscc%2Ffull-record%2FWOS:000294318500016","View Full Record in Web of Science")</f>
        <v>View Full Record in Web of Science</v>
      </c>
    </row>
    <row r="58" spans="1:72" x14ac:dyDescent="0.15">
      <c r="A58" t="s">
        <v>72</v>
      </c>
      <c r="B58" t="s">
        <v>1214</v>
      </c>
      <c r="C58" t="s">
        <v>74</v>
      </c>
      <c r="D58" t="s">
        <v>74</v>
      </c>
      <c r="E58" t="s">
        <v>74</v>
      </c>
      <c r="F58" t="s">
        <v>1215</v>
      </c>
      <c r="G58" t="s">
        <v>74</v>
      </c>
      <c r="H58" t="s">
        <v>74</v>
      </c>
      <c r="I58" t="s">
        <v>1216</v>
      </c>
      <c r="J58" t="s">
        <v>1004</v>
      </c>
      <c r="K58" t="s">
        <v>74</v>
      </c>
      <c r="L58" t="s">
        <v>74</v>
      </c>
      <c r="M58" t="s">
        <v>78</v>
      </c>
      <c r="N58" t="s">
        <v>1217</v>
      </c>
      <c r="O58" t="s">
        <v>74</v>
      </c>
      <c r="P58" t="s">
        <v>74</v>
      </c>
      <c r="Q58" t="s">
        <v>74</v>
      </c>
      <c r="R58" t="s">
        <v>74</v>
      </c>
      <c r="S58" t="s">
        <v>74</v>
      </c>
      <c r="T58" t="s">
        <v>74</v>
      </c>
      <c r="U58" t="s">
        <v>74</v>
      </c>
      <c r="V58" t="s">
        <v>74</v>
      </c>
      <c r="W58" t="s">
        <v>1218</v>
      </c>
      <c r="X58" t="s">
        <v>1219</v>
      </c>
      <c r="Y58" t="s">
        <v>1220</v>
      </c>
      <c r="Z58" t="s">
        <v>74</v>
      </c>
      <c r="AA58" t="s">
        <v>74</v>
      </c>
      <c r="AB58" t="s">
        <v>74</v>
      </c>
      <c r="AC58" t="s">
        <v>74</v>
      </c>
      <c r="AD58" t="s">
        <v>74</v>
      </c>
      <c r="AE58" t="s">
        <v>74</v>
      </c>
      <c r="AF58" t="s">
        <v>74</v>
      </c>
      <c r="AG58">
        <v>1</v>
      </c>
      <c r="AH58">
        <v>0</v>
      </c>
      <c r="AI58">
        <v>0</v>
      </c>
      <c r="AJ58">
        <v>0</v>
      </c>
      <c r="AK58">
        <v>3</v>
      </c>
      <c r="AL58" t="s">
        <v>1035</v>
      </c>
      <c r="AM58" t="s">
        <v>1036</v>
      </c>
      <c r="AN58" t="s">
        <v>1037</v>
      </c>
      <c r="AO58" t="s">
        <v>1017</v>
      </c>
      <c r="AP58" t="s">
        <v>74</v>
      </c>
      <c r="AQ58" t="s">
        <v>74</v>
      </c>
      <c r="AR58" t="s">
        <v>1019</v>
      </c>
      <c r="AS58" t="s">
        <v>1020</v>
      </c>
      <c r="AT58" t="s">
        <v>629</v>
      </c>
      <c r="AU58">
        <v>2011</v>
      </c>
      <c r="AV58">
        <v>43</v>
      </c>
      <c r="AW58">
        <v>3</v>
      </c>
      <c r="AX58" t="s">
        <v>74</v>
      </c>
      <c r="AY58" t="s">
        <v>74</v>
      </c>
      <c r="AZ58" t="s">
        <v>74</v>
      </c>
      <c r="BA58" t="s">
        <v>74</v>
      </c>
      <c r="BB58">
        <v>485</v>
      </c>
      <c r="BC58">
        <v>489</v>
      </c>
      <c r="BD58" t="s">
        <v>74</v>
      </c>
      <c r="BE58" t="s">
        <v>1221</v>
      </c>
      <c r="BF58" t="str">
        <f>HYPERLINK("http://dx.doi.org/10.1657/1938-4246-43-3.485","http://dx.doi.org/10.1657/1938-4246-43-3.485")</f>
        <v>http://dx.doi.org/10.1657/1938-4246-43-3.485</v>
      </c>
      <c r="BG58" t="s">
        <v>74</v>
      </c>
      <c r="BH58" t="s">
        <v>74</v>
      </c>
      <c r="BI58">
        <v>5</v>
      </c>
      <c r="BJ58" t="s">
        <v>1022</v>
      </c>
      <c r="BK58" t="s">
        <v>100</v>
      </c>
      <c r="BL58" t="s">
        <v>1023</v>
      </c>
      <c r="BM58" t="s">
        <v>1024</v>
      </c>
      <c r="BN58" t="s">
        <v>74</v>
      </c>
      <c r="BO58" t="s">
        <v>152</v>
      </c>
      <c r="BP58" t="s">
        <v>74</v>
      </c>
      <c r="BQ58" t="s">
        <v>74</v>
      </c>
      <c r="BR58" t="s">
        <v>103</v>
      </c>
      <c r="BS58" t="s">
        <v>1222</v>
      </c>
      <c r="BT58" t="str">
        <f>HYPERLINK("https%3A%2F%2Fwww.webofscience.com%2Fwos%2Fwoscc%2Ffull-record%2FWOS:000294318500017","View Full Record in Web of Science")</f>
        <v>View Full Record in Web of Science</v>
      </c>
    </row>
    <row r="59" spans="1:72" x14ac:dyDescent="0.15">
      <c r="A59" t="s">
        <v>72</v>
      </c>
      <c r="B59" t="s">
        <v>1223</v>
      </c>
      <c r="C59" t="s">
        <v>74</v>
      </c>
      <c r="D59" t="s">
        <v>74</v>
      </c>
      <c r="E59" t="s">
        <v>74</v>
      </c>
      <c r="F59" t="s">
        <v>1224</v>
      </c>
      <c r="G59" t="s">
        <v>74</v>
      </c>
      <c r="H59" t="s">
        <v>74</v>
      </c>
      <c r="I59" t="s">
        <v>1225</v>
      </c>
      <c r="J59" t="s">
        <v>1226</v>
      </c>
      <c r="K59" t="s">
        <v>74</v>
      </c>
      <c r="L59" t="s">
        <v>74</v>
      </c>
      <c r="M59" t="s">
        <v>1227</v>
      </c>
      <c r="N59" t="s">
        <v>79</v>
      </c>
      <c r="O59" t="s">
        <v>74</v>
      </c>
      <c r="P59" t="s">
        <v>74</v>
      </c>
      <c r="Q59" t="s">
        <v>74</v>
      </c>
      <c r="R59" t="s">
        <v>74</v>
      </c>
      <c r="S59" t="s">
        <v>74</v>
      </c>
      <c r="T59" t="s">
        <v>1228</v>
      </c>
      <c r="U59" t="s">
        <v>1229</v>
      </c>
      <c r="V59" t="s">
        <v>1230</v>
      </c>
      <c r="W59" t="s">
        <v>1231</v>
      </c>
      <c r="X59" t="s">
        <v>1232</v>
      </c>
      <c r="Y59" t="s">
        <v>1233</v>
      </c>
      <c r="Z59" t="s">
        <v>1234</v>
      </c>
      <c r="AA59" t="s">
        <v>1235</v>
      </c>
      <c r="AB59" t="s">
        <v>1236</v>
      </c>
      <c r="AC59" t="s">
        <v>74</v>
      </c>
      <c r="AD59" t="s">
        <v>74</v>
      </c>
      <c r="AE59" t="s">
        <v>74</v>
      </c>
      <c r="AF59" t="s">
        <v>74</v>
      </c>
      <c r="AG59">
        <v>30</v>
      </c>
      <c r="AH59">
        <v>1</v>
      </c>
      <c r="AI59">
        <v>4</v>
      </c>
      <c r="AJ59">
        <v>0</v>
      </c>
      <c r="AK59">
        <v>10</v>
      </c>
      <c r="AL59" t="s">
        <v>1237</v>
      </c>
      <c r="AM59" t="s">
        <v>1238</v>
      </c>
      <c r="AN59" t="s">
        <v>1239</v>
      </c>
      <c r="AO59" t="s">
        <v>1240</v>
      </c>
      <c r="AP59" t="s">
        <v>74</v>
      </c>
      <c r="AQ59" t="s">
        <v>74</v>
      </c>
      <c r="AR59" t="s">
        <v>1241</v>
      </c>
      <c r="AS59" t="s">
        <v>1242</v>
      </c>
      <c r="AT59" t="s">
        <v>629</v>
      </c>
      <c r="AU59">
        <v>2011</v>
      </c>
      <c r="AV59">
        <v>54</v>
      </c>
      <c r="AW59">
        <v>8</v>
      </c>
      <c r="AX59" t="s">
        <v>74</v>
      </c>
      <c r="AY59" t="s">
        <v>74</v>
      </c>
      <c r="AZ59" t="s">
        <v>74</v>
      </c>
      <c r="BA59" t="s">
        <v>74</v>
      </c>
      <c r="BB59">
        <v>1960</v>
      </c>
      <c r="BC59">
        <v>1971</v>
      </c>
      <c r="BD59" t="s">
        <v>74</v>
      </c>
      <c r="BE59" t="s">
        <v>1243</v>
      </c>
      <c r="BF59" t="str">
        <f>HYPERLINK("http://dx.doi.org/10.3969/j.issn.0001-5733.2011.08.003","http://dx.doi.org/10.3969/j.issn.0001-5733.2011.08.003")</f>
        <v>http://dx.doi.org/10.3969/j.issn.0001-5733.2011.08.003</v>
      </c>
      <c r="BG59" t="s">
        <v>74</v>
      </c>
      <c r="BH59" t="s">
        <v>74</v>
      </c>
      <c r="BI59">
        <v>12</v>
      </c>
      <c r="BJ59" t="s">
        <v>488</v>
      </c>
      <c r="BK59" t="s">
        <v>100</v>
      </c>
      <c r="BL59" t="s">
        <v>488</v>
      </c>
      <c r="BM59" t="s">
        <v>1244</v>
      </c>
      <c r="BN59" t="s">
        <v>74</v>
      </c>
      <c r="BO59" t="s">
        <v>74</v>
      </c>
      <c r="BP59" t="s">
        <v>74</v>
      </c>
      <c r="BQ59" t="s">
        <v>74</v>
      </c>
      <c r="BR59" t="s">
        <v>103</v>
      </c>
      <c r="BS59" t="s">
        <v>1245</v>
      </c>
      <c r="BT59" t="str">
        <f>HYPERLINK("https%3A%2F%2Fwww.webofscience.com%2Fwos%2Fwoscc%2Ffull-record%2FWOS:000294516600003","View Full Record in Web of Science")</f>
        <v>View Full Record in Web of Science</v>
      </c>
    </row>
    <row r="60" spans="1:72" x14ac:dyDescent="0.15">
      <c r="A60" t="s">
        <v>72</v>
      </c>
      <c r="B60" t="s">
        <v>1246</v>
      </c>
      <c r="C60" t="s">
        <v>74</v>
      </c>
      <c r="D60" t="s">
        <v>74</v>
      </c>
      <c r="E60" t="s">
        <v>74</v>
      </c>
      <c r="F60" t="s">
        <v>1247</v>
      </c>
      <c r="G60" t="s">
        <v>74</v>
      </c>
      <c r="H60" t="s">
        <v>74</v>
      </c>
      <c r="I60" t="s">
        <v>1248</v>
      </c>
      <c r="J60" t="s">
        <v>1226</v>
      </c>
      <c r="K60" t="s">
        <v>74</v>
      </c>
      <c r="L60" t="s">
        <v>74</v>
      </c>
      <c r="M60" t="s">
        <v>1227</v>
      </c>
      <c r="N60" t="s">
        <v>79</v>
      </c>
      <c r="O60" t="s">
        <v>74</v>
      </c>
      <c r="P60" t="s">
        <v>74</v>
      </c>
      <c r="Q60" t="s">
        <v>74</v>
      </c>
      <c r="R60" t="s">
        <v>74</v>
      </c>
      <c r="S60" t="s">
        <v>74</v>
      </c>
      <c r="T60" t="s">
        <v>1249</v>
      </c>
      <c r="U60" t="s">
        <v>1250</v>
      </c>
      <c r="V60" t="s">
        <v>1251</v>
      </c>
      <c r="W60" t="s">
        <v>1252</v>
      </c>
      <c r="X60" t="s">
        <v>1253</v>
      </c>
      <c r="Y60" t="s">
        <v>1254</v>
      </c>
      <c r="Z60" t="s">
        <v>1255</v>
      </c>
      <c r="AA60" t="s">
        <v>1256</v>
      </c>
      <c r="AB60" t="s">
        <v>1257</v>
      </c>
      <c r="AC60" t="s">
        <v>74</v>
      </c>
      <c r="AD60" t="s">
        <v>74</v>
      </c>
      <c r="AE60" t="s">
        <v>74</v>
      </c>
      <c r="AF60" t="s">
        <v>74</v>
      </c>
      <c r="AG60">
        <v>31</v>
      </c>
      <c r="AH60">
        <v>3</v>
      </c>
      <c r="AI60">
        <v>10</v>
      </c>
      <c r="AJ60">
        <v>1</v>
      </c>
      <c r="AK60">
        <v>11</v>
      </c>
      <c r="AL60" t="s">
        <v>1237</v>
      </c>
      <c r="AM60" t="s">
        <v>1238</v>
      </c>
      <c r="AN60" t="s">
        <v>1239</v>
      </c>
      <c r="AO60" t="s">
        <v>1240</v>
      </c>
      <c r="AP60" t="s">
        <v>74</v>
      </c>
      <c r="AQ60" t="s">
        <v>74</v>
      </c>
      <c r="AR60" t="s">
        <v>1241</v>
      </c>
      <c r="AS60" t="s">
        <v>1242</v>
      </c>
      <c r="AT60" t="s">
        <v>629</v>
      </c>
      <c r="AU60">
        <v>2011</v>
      </c>
      <c r="AV60">
        <v>54</v>
      </c>
      <c r="AW60">
        <v>8</v>
      </c>
      <c r="AX60" t="s">
        <v>74</v>
      </c>
      <c r="AY60" t="s">
        <v>74</v>
      </c>
      <c r="AZ60" t="s">
        <v>74</v>
      </c>
      <c r="BA60" t="s">
        <v>74</v>
      </c>
      <c r="BB60">
        <v>1983</v>
      </c>
      <c r="BC60">
        <v>1989</v>
      </c>
      <c r="BD60" t="s">
        <v>74</v>
      </c>
      <c r="BE60" t="s">
        <v>1258</v>
      </c>
      <c r="BF60" t="str">
        <f>HYPERLINK("http://dx.doi.org/10.3969/j.issn.0001-5733.2011.08.005","http://dx.doi.org/10.3969/j.issn.0001-5733.2011.08.005")</f>
        <v>http://dx.doi.org/10.3969/j.issn.0001-5733.2011.08.005</v>
      </c>
      <c r="BG60" t="s">
        <v>74</v>
      </c>
      <c r="BH60" t="s">
        <v>74</v>
      </c>
      <c r="BI60">
        <v>7</v>
      </c>
      <c r="BJ60" t="s">
        <v>488</v>
      </c>
      <c r="BK60" t="s">
        <v>100</v>
      </c>
      <c r="BL60" t="s">
        <v>488</v>
      </c>
      <c r="BM60" t="s">
        <v>1244</v>
      </c>
      <c r="BN60" t="s">
        <v>74</v>
      </c>
      <c r="BO60" t="s">
        <v>74</v>
      </c>
      <c r="BP60" t="s">
        <v>74</v>
      </c>
      <c r="BQ60" t="s">
        <v>74</v>
      </c>
      <c r="BR60" t="s">
        <v>103</v>
      </c>
      <c r="BS60" t="s">
        <v>1259</v>
      </c>
      <c r="BT60" t="str">
        <f>HYPERLINK("https%3A%2F%2Fwww.webofscience.com%2Fwos%2Fwoscc%2Ffull-record%2FWOS:000294516600005","View Full Record in Web of Science")</f>
        <v>View Full Record in Web of Science</v>
      </c>
    </row>
    <row r="61" spans="1:72" x14ac:dyDescent="0.15">
      <c r="A61" t="s">
        <v>72</v>
      </c>
      <c r="B61" t="s">
        <v>1260</v>
      </c>
      <c r="C61" t="s">
        <v>74</v>
      </c>
      <c r="D61" t="s">
        <v>74</v>
      </c>
      <c r="E61" t="s">
        <v>74</v>
      </c>
      <c r="F61" t="s">
        <v>1261</v>
      </c>
      <c r="G61" t="s">
        <v>74</v>
      </c>
      <c r="H61" t="s">
        <v>74</v>
      </c>
      <c r="I61" t="s">
        <v>1262</v>
      </c>
      <c r="J61" t="s">
        <v>1263</v>
      </c>
      <c r="K61" t="s">
        <v>74</v>
      </c>
      <c r="L61" t="s">
        <v>74</v>
      </c>
      <c r="M61" t="s">
        <v>78</v>
      </c>
      <c r="N61" t="s">
        <v>79</v>
      </c>
      <c r="O61" t="s">
        <v>74</v>
      </c>
      <c r="P61" t="s">
        <v>74</v>
      </c>
      <c r="Q61" t="s">
        <v>74</v>
      </c>
      <c r="R61" t="s">
        <v>74</v>
      </c>
      <c r="S61" t="s">
        <v>74</v>
      </c>
      <c r="T61" t="s">
        <v>74</v>
      </c>
      <c r="U61" t="s">
        <v>1264</v>
      </c>
      <c r="V61" t="s">
        <v>1265</v>
      </c>
      <c r="W61" t="s">
        <v>1266</v>
      </c>
      <c r="X61" t="s">
        <v>1267</v>
      </c>
      <c r="Y61" t="s">
        <v>1268</v>
      </c>
      <c r="Z61" t="s">
        <v>1269</v>
      </c>
      <c r="AA61" t="s">
        <v>1270</v>
      </c>
      <c r="AB61" t="s">
        <v>1271</v>
      </c>
      <c r="AC61" t="s">
        <v>1272</v>
      </c>
      <c r="AD61" t="s">
        <v>1273</v>
      </c>
      <c r="AE61" t="s">
        <v>1274</v>
      </c>
      <c r="AF61" t="s">
        <v>74</v>
      </c>
      <c r="AG61">
        <v>38</v>
      </c>
      <c r="AH61">
        <v>17</v>
      </c>
      <c r="AI61">
        <v>20</v>
      </c>
      <c r="AJ61">
        <v>3</v>
      </c>
      <c r="AK61">
        <v>33</v>
      </c>
      <c r="AL61" t="s">
        <v>1275</v>
      </c>
      <c r="AM61" t="s">
        <v>1276</v>
      </c>
      <c r="AN61" t="s">
        <v>1277</v>
      </c>
      <c r="AO61" t="s">
        <v>1278</v>
      </c>
      <c r="AP61" t="s">
        <v>1279</v>
      </c>
      <c r="AQ61" t="s">
        <v>74</v>
      </c>
      <c r="AR61" t="s">
        <v>1280</v>
      </c>
      <c r="AS61" t="s">
        <v>1281</v>
      </c>
      <c r="AT61" t="s">
        <v>629</v>
      </c>
      <c r="AU61">
        <v>2011</v>
      </c>
      <c r="AV61">
        <v>24</v>
      </c>
      <c r="AW61">
        <v>16</v>
      </c>
      <c r="AX61" t="s">
        <v>74</v>
      </c>
      <c r="AY61" t="s">
        <v>74</v>
      </c>
      <c r="AZ61" t="s">
        <v>74</v>
      </c>
      <c r="BA61" t="s">
        <v>74</v>
      </c>
      <c r="BB61">
        <v>4508</v>
      </c>
      <c r="BC61">
        <v>4518</v>
      </c>
      <c r="BD61" t="s">
        <v>74</v>
      </c>
      <c r="BE61" t="s">
        <v>1282</v>
      </c>
      <c r="BF61" t="str">
        <f>HYPERLINK("http://dx.doi.org/10.1175/2011JCLI3965.1","http://dx.doi.org/10.1175/2011JCLI3965.1")</f>
        <v>http://dx.doi.org/10.1175/2011JCLI3965.1</v>
      </c>
      <c r="BG61" t="s">
        <v>74</v>
      </c>
      <c r="BH61" t="s">
        <v>74</v>
      </c>
      <c r="BI61">
        <v>11</v>
      </c>
      <c r="BJ61" t="s">
        <v>248</v>
      </c>
      <c r="BK61" t="s">
        <v>100</v>
      </c>
      <c r="BL61" t="s">
        <v>248</v>
      </c>
      <c r="BM61" t="s">
        <v>1283</v>
      </c>
      <c r="BN61" t="s">
        <v>74</v>
      </c>
      <c r="BO61" t="s">
        <v>1284</v>
      </c>
      <c r="BP61" t="s">
        <v>74</v>
      </c>
      <c r="BQ61" t="s">
        <v>74</v>
      </c>
      <c r="BR61" t="s">
        <v>103</v>
      </c>
      <c r="BS61" t="s">
        <v>1285</v>
      </c>
      <c r="BT61" t="str">
        <f>HYPERLINK("https%3A%2F%2Fwww.webofscience.com%2Fwos%2Fwoscc%2Ffull-record%2FWOS:000294490600019","View Full Record in Web of Science")</f>
        <v>View Full Record in Web of Science</v>
      </c>
    </row>
    <row r="62" spans="1:72" x14ac:dyDescent="0.15">
      <c r="A62" t="s">
        <v>72</v>
      </c>
      <c r="B62" t="s">
        <v>1286</v>
      </c>
      <c r="C62" t="s">
        <v>74</v>
      </c>
      <c r="D62" t="s">
        <v>74</v>
      </c>
      <c r="E62" t="s">
        <v>74</v>
      </c>
      <c r="F62" t="s">
        <v>1287</v>
      </c>
      <c r="G62" t="s">
        <v>74</v>
      </c>
      <c r="H62" t="s">
        <v>74</v>
      </c>
      <c r="I62" t="s">
        <v>1288</v>
      </c>
      <c r="J62" t="s">
        <v>1289</v>
      </c>
      <c r="K62" t="s">
        <v>74</v>
      </c>
      <c r="L62" t="s">
        <v>74</v>
      </c>
      <c r="M62" t="s">
        <v>78</v>
      </c>
      <c r="N62" t="s">
        <v>79</v>
      </c>
      <c r="O62" t="s">
        <v>74</v>
      </c>
      <c r="P62" t="s">
        <v>74</v>
      </c>
      <c r="Q62" t="s">
        <v>74</v>
      </c>
      <c r="R62" t="s">
        <v>74</v>
      </c>
      <c r="S62" t="s">
        <v>74</v>
      </c>
      <c r="T62" t="s">
        <v>74</v>
      </c>
      <c r="U62" t="s">
        <v>1290</v>
      </c>
      <c r="V62" t="s">
        <v>1291</v>
      </c>
      <c r="W62" t="s">
        <v>1292</v>
      </c>
      <c r="X62" t="s">
        <v>1293</v>
      </c>
      <c r="Y62" t="s">
        <v>1294</v>
      </c>
      <c r="Z62" t="s">
        <v>1295</v>
      </c>
      <c r="AA62" t="s">
        <v>1296</v>
      </c>
      <c r="AB62" t="s">
        <v>1297</v>
      </c>
      <c r="AC62" t="s">
        <v>1298</v>
      </c>
      <c r="AD62" t="s">
        <v>1299</v>
      </c>
      <c r="AE62" t="s">
        <v>1300</v>
      </c>
      <c r="AF62" t="s">
        <v>74</v>
      </c>
      <c r="AG62">
        <v>48</v>
      </c>
      <c r="AH62">
        <v>29</v>
      </c>
      <c r="AI62">
        <v>32</v>
      </c>
      <c r="AJ62">
        <v>1</v>
      </c>
      <c r="AK62">
        <v>7</v>
      </c>
      <c r="AL62" t="s">
        <v>1275</v>
      </c>
      <c r="AM62" t="s">
        <v>1276</v>
      </c>
      <c r="AN62" t="s">
        <v>1277</v>
      </c>
      <c r="AO62" t="s">
        <v>1301</v>
      </c>
      <c r="AP62" t="s">
        <v>1302</v>
      </c>
      <c r="AQ62" t="s">
        <v>74</v>
      </c>
      <c r="AR62" t="s">
        <v>1303</v>
      </c>
      <c r="AS62" t="s">
        <v>1304</v>
      </c>
      <c r="AT62" t="s">
        <v>629</v>
      </c>
      <c r="AU62">
        <v>2011</v>
      </c>
      <c r="AV62">
        <v>41</v>
      </c>
      <c r="AW62">
        <v>8</v>
      </c>
      <c r="AX62" t="s">
        <v>74</v>
      </c>
      <c r="AY62" t="s">
        <v>74</v>
      </c>
      <c r="AZ62" t="s">
        <v>74</v>
      </c>
      <c r="BA62" t="s">
        <v>74</v>
      </c>
      <c r="BB62">
        <v>1498</v>
      </c>
      <c r="BC62">
        <v>1511</v>
      </c>
      <c r="BD62" t="s">
        <v>74</v>
      </c>
      <c r="BE62" t="s">
        <v>1305</v>
      </c>
      <c r="BF62" t="str">
        <f>HYPERLINK("http://dx.doi.org/10.1175/2011JPO4549.1","http://dx.doi.org/10.1175/2011JPO4549.1")</f>
        <v>http://dx.doi.org/10.1175/2011JPO4549.1</v>
      </c>
      <c r="BG62" t="s">
        <v>74</v>
      </c>
      <c r="BH62" t="s">
        <v>74</v>
      </c>
      <c r="BI62">
        <v>14</v>
      </c>
      <c r="BJ62" t="s">
        <v>271</v>
      </c>
      <c r="BK62" t="s">
        <v>100</v>
      </c>
      <c r="BL62" t="s">
        <v>271</v>
      </c>
      <c r="BM62" t="s">
        <v>1306</v>
      </c>
      <c r="BN62" t="s">
        <v>74</v>
      </c>
      <c r="BO62" t="s">
        <v>1284</v>
      </c>
      <c r="BP62" t="s">
        <v>74</v>
      </c>
      <c r="BQ62" t="s">
        <v>74</v>
      </c>
      <c r="BR62" t="s">
        <v>103</v>
      </c>
      <c r="BS62" t="s">
        <v>1307</v>
      </c>
      <c r="BT62" t="str">
        <f>HYPERLINK("https%3A%2F%2Fwww.webofscience.com%2Fwos%2Fwoscc%2Ffull-record%2FWOS:000294411600005","View Full Record in Web of Science")</f>
        <v>View Full Record in Web of Science</v>
      </c>
    </row>
    <row r="63" spans="1:72" x14ac:dyDescent="0.15">
      <c r="A63" t="s">
        <v>72</v>
      </c>
      <c r="B63" t="s">
        <v>1308</v>
      </c>
      <c r="C63" t="s">
        <v>74</v>
      </c>
      <c r="D63" t="s">
        <v>74</v>
      </c>
      <c r="E63" t="s">
        <v>74</v>
      </c>
      <c r="F63" t="s">
        <v>1309</v>
      </c>
      <c r="G63" t="s">
        <v>74</v>
      </c>
      <c r="H63" t="s">
        <v>74</v>
      </c>
      <c r="I63" t="s">
        <v>1310</v>
      </c>
      <c r="J63" t="s">
        <v>1311</v>
      </c>
      <c r="K63" t="s">
        <v>74</v>
      </c>
      <c r="L63" t="s">
        <v>74</v>
      </c>
      <c r="M63" t="s">
        <v>78</v>
      </c>
      <c r="N63" t="s">
        <v>278</v>
      </c>
      <c r="O63" t="s">
        <v>74</v>
      </c>
      <c r="P63" t="s">
        <v>74</v>
      </c>
      <c r="Q63" t="s">
        <v>74</v>
      </c>
      <c r="R63" t="s">
        <v>74</v>
      </c>
      <c r="S63" t="s">
        <v>74</v>
      </c>
      <c r="T63" t="s">
        <v>74</v>
      </c>
      <c r="U63" t="s">
        <v>1312</v>
      </c>
      <c r="V63" t="s">
        <v>1313</v>
      </c>
      <c r="W63" t="s">
        <v>1314</v>
      </c>
      <c r="X63" t="s">
        <v>1315</v>
      </c>
      <c r="Y63" t="s">
        <v>1316</v>
      </c>
      <c r="Z63" t="s">
        <v>1317</v>
      </c>
      <c r="AA63" t="s">
        <v>1318</v>
      </c>
      <c r="AB63" t="s">
        <v>1319</v>
      </c>
      <c r="AC63" t="s">
        <v>1320</v>
      </c>
      <c r="AD63" t="s">
        <v>1321</v>
      </c>
      <c r="AE63" t="s">
        <v>1322</v>
      </c>
      <c r="AF63" t="s">
        <v>74</v>
      </c>
      <c r="AG63">
        <v>264</v>
      </c>
      <c r="AH63">
        <v>17</v>
      </c>
      <c r="AI63">
        <v>20</v>
      </c>
      <c r="AJ63">
        <v>1</v>
      </c>
      <c r="AK63">
        <v>53</v>
      </c>
      <c r="AL63" t="s">
        <v>1323</v>
      </c>
      <c r="AM63" t="s">
        <v>1324</v>
      </c>
      <c r="AN63" t="s">
        <v>1325</v>
      </c>
      <c r="AO63" t="s">
        <v>1326</v>
      </c>
      <c r="AP63" t="s">
        <v>1327</v>
      </c>
      <c r="AQ63" t="s">
        <v>74</v>
      </c>
      <c r="AR63" t="s">
        <v>1328</v>
      </c>
      <c r="AS63" t="s">
        <v>1329</v>
      </c>
      <c r="AT63" t="s">
        <v>629</v>
      </c>
      <c r="AU63">
        <v>2011</v>
      </c>
      <c r="AV63">
        <v>13</v>
      </c>
      <c r="AW63">
        <v>8</v>
      </c>
      <c r="AX63" t="s">
        <v>74</v>
      </c>
      <c r="AY63" t="s">
        <v>74</v>
      </c>
      <c r="AZ63" t="s">
        <v>74</v>
      </c>
      <c r="BA63" t="s">
        <v>74</v>
      </c>
      <c r="BB63">
        <v>1934</v>
      </c>
      <c r="BC63">
        <v>1955</v>
      </c>
      <c r="BD63" t="s">
        <v>74</v>
      </c>
      <c r="BE63" t="s">
        <v>1330</v>
      </c>
      <c r="BF63" t="str">
        <f>HYPERLINK("http://dx.doi.org/10.1111/j.1462-2920.2011.02484.x","http://dx.doi.org/10.1111/j.1462-2920.2011.02484.x")</f>
        <v>http://dx.doi.org/10.1111/j.1462-2920.2011.02484.x</v>
      </c>
      <c r="BG63" t="s">
        <v>74</v>
      </c>
      <c r="BH63" t="s">
        <v>74</v>
      </c>
      <c r="BI63">
        <v>22</v>
      </c>
      <c r="BJ63" t="s">
        <v>892</v>
      </c>
      <c r="BK63" t="s">
        <v>100</v>
      </c>
      <c r="BL63" t="s">
        <v>892</v>
      </c>
      <c r="BM63" t="s">
        <v>1331</v>
      </c>
      <c r="BN63">
        <v>21518215</v>
      </c>
      <c r="BO63" t="s">
        <v>74</v>
      </c>
      <c r="BP63" t="s">
        <v>74</v>
      </c>
      <c r="BQ63" t="s">
        <v>74</v>
      </c>
      <c r="BR63" t="s">
        <v>103</v>
      </c>
      <c r="BS63" t="s">
        <v>1332</v>
      </c>
      <c r="BT63" t="str">
        <f>HYPERLINK("https%3A%2F%2Fwww.webofscience.com%2Fwos%2Fwoscc%2Ffull-record%2FWOS:000294075600004","View Full Record in Web of Science")</f>
        <v>View Full Record in Web of Science</v>
      </c>
    </row>
    <row r="64" spans="1:72" x14ac:dyDescent="0.15">
      <c r="A64" t="s">
        <v>72</v>
      </c>
      <c r="B64" t="s">
        <v>1333</v>
      </c>
      <c r="C64" t="s">
        <v>74</v>
      </c>
      <c r="D64" t="s">
        <v>74</v>
      </c>
      <c r="E64" t="s">
        <v>74</v>
      </c>
      <c r="F64" t="s">
        <v>1334</v>
      </c>
      <c r="G64" t="s">
        <v>74</v>
      </c>
      <c r="H64" t="s">
        <v>74</v>
      </c>
      <c r="I64" t="s">
        <v>1335</v>
      </c>
      <c r="J64" t="s">
        <v>1311</v>
      </c>
      <c r="K64" t="s">
        <v>74</v>
      </c>
      <c r="L64" t="s">
        <v>74</v>
      </c>
      <c r="M64" t="s">
        <v>78</v>
      </c>
      <c r="N64" t="s">
        <v>79</v>
      </c>
      <c r="O64" t="s">
        <v>74</v>
      </c>
      <c r="P64" t="s">
        <v>74</v>
      </c>
      <c r="Q64" t="s">
        <v>74</v>
      </c>
      <c r="R64" t="s">
        <v>74</v>
      </c>
      <c r="S64" t="s">
        <v>74</v>
      </c>
      <c r="T64" t="s">
        <v>74</v>
      </c>
      <c r="U64" t="s">
        <v>1336</v>
      </c>
      <c r="V64" t="s">
        <v>1337</v>
      </c>
      <c r="W64" t="s">
        <v>1338</v>
      </c>
      <c r="X64" t="s">
        <v>1339</v>
      </c>
      <c r="Y64" t="s">
        <v>1316</v>
      </c>
      <c r="Z64" t="s">
        <v>1317</v>
      </c>
      <c r="AA64" t="s">
        <v>1340</v>
      </c>
      <c r="AB64" t="s">
        <v>1341</v>
      </c>
      <c r="AC64" t="s">
        <v>1320</v>
      </c>
      <c r="AD64" t="s">
        <v>1321</v>
      </c>
      <c r="AE64" t="s">
        <v>1342</v>
      </c>
      <c r="AF64" t="s">
        <v>74</v>
      </c>
      <c r="AG64">
        <v>72</v>
      </c>
      <c r="AH64">
        <v>43</v>
      </c>
      <c r="AI64">
        <v>47</v>
      </c>
      <c r="AJ64">
        <v>0</v>
      </c>
      <c r="AK64">
        <v>24</v>
      </c>
      <c r="AL64" t="s">
        <v>1323</v>
      </c>
      <c r="AM64" t="s">
        <v>1324</v>
      </c>
      <c r="AN64" t="s">
        <v>1325</v>
      </c>
      <c r="AO64" t="s">
        <v>1326</v>
      </c>
      <c r="AP64" t="s">
        <v>1327</v>
      </c>
      <c r="AQ64" t="s">
        <v>74</v>
      </c>
      <c r="AR64" t="s">
        <v>1328</v>
      </c>
      <c r="AS64" t="s">
        <v>1329</v>
      </c>
      <c r="AT64" t="s">
        <v>629</v>
      </c>
      <c r="AU64">
        <v>2011</v>
      </c>
      <c r="AV64">
        <v>13</v>
      </c>
      <c r="AW64">
        <v>8</v>
      </c>
      <c r="AX64" t="s">
        <v>74</v>
      </c>
      <c r="AY64" t="s">
        <v>74</v>
      </c>
      <c r="AZ64" t="s">
        <v>74</v>
      </c>
      <c r="BA64" t="s">
        <v>74</v>
      </c>
      <c r="BB64">
        <v>2018</v>
      </c>
      <c r="BC64">
        <v>2038</v>
      </c>
      <c r="BD64" t="s">
        <v>74</v>
      </c>
      <c r="BE64" t="s">
        <v>1343</v>
      </c>
      <c r="BF64" t="str">
        <f>HYPERLINK("http://dx.doi.org/10.1111/j.1462-2920.2010.02367.x","http://dx.doi.org/10.1111/j.1462-2920.2010.02367.x")</f>
        <v>http://dx.doi.org/10.1111/j.1462-2920.2010.02367.x</v>
      </c>
      <c r="BG64" t="s">
        <v>74</v>
      </c>
      <c r="BH64" t="s">
        <v>74</v>
      </c>
      <c r="BI64">
        <v>21</v>
      </c>
      <c r="BJ64" t="s">
        <v>892</v>
      </c>
      <c r="BK64" t="s">
        <v>100</v>
      </c>
      <c r="BL64" t="s">
        <v>892</v>
      </c>
      <c r="BM64" t="s">
        <v>1331</v>
      </c>
      <c r="BN64">
        <v>21059163</v>
      </c>
      <c r="BO64" t="s">
        <v>74</v>
      </c>
      <c r="BP64" t="s">
        <v>74</v>
      </c>
      <c r="BQ64" t="s">
        <v>74</v>
      </c>
      <c r="BR64" t="s">
        <v>103</v>
      </c>
      <c r="BS64" t="s">
        <v>1344</v>
      </c>
      <c r="BT64" t="str">
        <f>HYPERLINK("https%3A%2F%2Fwww.webofscience.com%2Fwos%2Fwoscc%2Ffull-record%2FWOS:000294075600009","View Full Record in Web of Science")</f>
        <v>View Full Record in Web of Science</v>
      </c>
    </row>
    <row r="65" spans="1:72" x14ac:dyDescent="0.15">
      <c r="A65" t="s">
        <v>72</v>
      </c>
      <c r="B65" t="s">
        <v>1345</v>
      </c>
      <c r="C65" t="s">
        <v>74</v>
      </c>
      <c r="D65" t="s">
        <v>74</v>
      </c>
      <c r="E65" t="s">
        <v>74</v>
      </c>
      <c r="F65" t="s">
        <v>1346</v>
      </c>
      <c r="G65" t="s">
        <v>74</v>
      </c>
      <c r="H65" t="s">
        <v>74</v>
      </c>
      <c r="I65" t="s">
        <v>1347</v>
      </c>
      <c r="J65" t="s">
        <v>1311</v>
      </c>
      <c r="K65" t="s">
        <v>74</v>
      </c>
      <c r="L65" t="s">
        <v>74</v>
      </c>
      <c r="M65" t="s">
        <v>78</v>
      </c>
      <c r="N65" t="s">
        <v>79</v>
      </c>
      <c r="O65" t="s">
        <v>74</v>
      </c>
      <c r="P65" t="s">
        <v>74</v>
      </c>
      <c r="Q65" t="s">
        <v>74</v>
      </c>
      <c r="R65" t="s">
        <v>74</v>
      </c>
      <c r="S65" t="s">
        <v>74</v>
      </c>
      <c r="T65" t="s">
        <v>74</v>
      </c>
      <c r="U65" t="s">
        <v>1348</v>
      </c>
      <c r="V65" t="s">
        <v>1349</v>
      </c>
      <c r="W65" t="s">
        <v>1350</v>
      </c>
      <c r="X65" t="s">
        <v>1351</v>
      </c>
      <c r="Y65" t="s">
        <v>1316</v>
      </c>
      <c r="Z65" t="s">
        <v>1317</v>
      </c>
      <c r="AA65" t="s">
        <v>1352</v>
      </c>
      <c r="AB65" t="s">
        <v>1353</v>
      </c>
      <c r="AC65" t="s">
        <v>1320</v>
      </c>
      <c r="AD65" t="s">
        <v>1321</v>
      </c>
      <c r="AE65" t="s">
        <v>1354</v>
      </c>
      <c r="AF65" t="s">
        <v>74</v>
      </c>
      <c r="AG65">
        <v>56</v>
      </c>
      <c r="AH65">
        <v>4</v>
      </c>
      <c r="AI65">
        <v>4</v>
      </c>
      <c r="AJ65">
        <v>0</v>
      </c>
      <c r="AK65">
        <v>6</v>
      </c>
      <c r="AL65" t="s">
        <v>1323</v>
      </c>
      <c r="AM65" t="s">
        <v>1324</v>
      </c>
      <c r="AN65" t="s">
        <v>1325</v>
      </c>
      <c r="AO65" t="s">
        <v>1326</v>
      </c>
      <c r="AP65" t="s">
        <v>1327</v>
      </c>
      <c r="AQ65" t="s">
        <v>74</v>
      </c>
      <c r="AR65" t="s">
        <v>1328</v>
      </c>
      <c r="AS65" t="s">
        <v>1329</v>
      </c>
      <c r="AT65" t="s">
        <v>629</v>
      </c>
      <c r="AU65">
        <v>2011</v>
      </c>
      <c r="AV65">
        <v>13</v>
      </c>
      <c r="AW65">
        <v>8</v>
      </c>
      <c r="AX65" t="s">
        <v>74</v>
      </c>
      <c r="AY65" t="s">
        <v>74</v>
      </c>
      <c r="AZ65" t="s">
        <v>74</v>
      </c>
      <c r="BA65" t="s">
        <v>74</v>
      </c>
      <c r="BB65">
        <v>2039</v>
      </c>
      <c r="BC65">
        <v>2055</v>
      </c>
      <c r="BD65" t="s">
        <v>74</v>
      </c>
      <c r="BE65" t="s">
        <v>1355</v>
      </c>
      <c r="BF65" t="str">
        <f>HYPERLINK("http://dx.doi.org/10.1111/j.1462-2920.2010.02385.x","http://dx.doi.org/10.1111/j.1462-2920.2010.02385.x")</f>
        <v>http://dx.doi.org/10.1111/j.1462-2920.2010.02385.x</v>
      </c>
      <c r="BG65" t="s">
        <v>74</v>
      </c>
      <c r="BH65" t="s">
        <v>74</v>
      </c>
      <c r="BI65">
        <v>17</v>
      </c>
      <c r="BJ65" t="s">
        <v>892</v>
      </c>
      <c r="BK65" t="s">
        <v>100</v>
      </c>
      <c r="BL65" t="s">
        <v>892</v>
      </c>
      <c r="BM65" t="s">
        <v>1331</v>
      </c>
      <c r="BN65">
        <v>21108724</v>
      </c>
      <c r="BO65" t="s">
        <v>74</v>
      </c>
      <c r="BP65" t="s">
        <v>74</v>
      </c>
      <c r="BQ65" t="s">
        <v>74</v>
      </c>
      <c r="BR65" t="s">
        <v>103</v>
      </c>
      <c r="BS65" t="s">
        <v>1356</v>
      </c>
      <c r="BT65" t="str">
        <f>HYPERLINK("https%3A%2F%2Fwww.webofscience.com%2Fwos%2Fwoscc%2Ffull-record%2FWOS:000294075600010","View Full Record in Web of Science")</f>
        <v>View Full Record in Web of Science</v>
      </c>
    </row>
    <row r="66" spans="1:72" x14ac:dyDescent="0.15">
      <c r="A66" t="s">
        <v>72</v>
      </c>
      <c r="B66" t="s">
        <v>1357</v>
      </c>
      <c r="C66" t="s">
        <v>74</v>
      </c>
      <c r="D66" t="s">
        <v>74</v>
      </c>
      <c r="E66" t="s">
        <v>74</v>
      </c>
      <c r="F66" t="s">
        <v>1358</v>
      </c>
      <c r="G66" t="s">
        <v>74</v>
      </c>
      <c r="H66" t="s">
        <v>74</v>
      </c>
      <c r="I66" t="s">
        <v>1359</v>
      </c>
      <c r="J66" t="s">
        <v>1311</v>
      </c>
      <c r="K66" t="s">
        <v>74</v>
      </c>
      <c r="L66" t="s">
        <v>74</v>
      </c>
      <c r="M66" t="s">
        <v>78</v>
      </c>
      <c r="N66" t="s">
        <v>79</v>
      </c>
      <c r="O66" t="s">
        <v>74</v>
      </c>
      <c r="P66" t="s">
        <v>74</v>
      </c>
      <c r="Q66" t="s">
        <v>74</v>
      </c>
      <c r="R66" t="s">
        <v>74</v>
      </c>
      <c r="S66" t="s">
        <v>74</v>
      </c>
      <c r="T66" t="s">
        <v>74</v>
      </c>
      <c r="U66" t="s">
        <v>1360</v>
      </c>
      <c r="V66" t="s">
        <v>1361</v>
      </c>
      <c r="W66" t="s">
        <v>1362</v>
      </c>
      <c r="X66" t="s">
        <v>1363</v>
      </c>
      <c r="Y66" t="s">
        <v>1316</v>
      </c>
      <c r="Z66" t="s">
        <v>1317</v>
      </c>
      <c r="AA66" t="s">
        <v>1364</v>
      </c>
      <c r="AB66" t="s">
        <v>1365</v>
      </c>
      <c r="AC66" t="s">
        <v>1366</v>
      </c>
      <c r="AD66" t="s">
        <v>1367</v>
      </c>
      <c r="AE66" t="s">
        <v>1368</v>
      </c>
      <c r="AF66" t="s">
        <v>74</v>
      </c>
      <c r="AG66">
        <v>63</v>
      </c>
      <c r="AH66">
        <v>51</v>
      </c>
      <c r="AI66">
        <v>55</v>
      </c>
      <c r="AJ66">
        <v>5</v>
      </c>
      <c r="AK66">
        <v>49</v>
      </c>
      <c r="AL66" t="s">
        <v>1323</v>
      </c>
      <c r="AM66" t="s">
        <v>1324</v>
      </c>
      <c r="AN66" t="s">
        <v>1325</v>
      </c>
      <c r="AO66" t="s">
        <v>1326</v>
      </c>
      <c r="AP66" t="s">
        <v>1327</v>
      </c>
      <c r="AQ66" t="s">
        <v>74</v>
      </c>
      <c r="AR66" t="s">
        <v>1328</v>
      </c>
      <c r="AS66" t="s">
        <v>1329</v>
      </c>
      <c r="AT66" t="s">
        <v>629</v>
      </c>
      <c r="AU66">
        <v>2011</v>
      </c>
      <c r="AV66">
        <v>13</v>
      </c>
      <c r="AW66">
        <v>8</v>
      </c>
      <c r="AX66" t="s">
        <v>74</v>
      </c>
      <c r="AY66" t="s">
        <v>74</v>
      </c>
      <c r="AZ66" t="s">
        <v>74</v>
      </c>
      <c r="BA66" t="s">
        <v>74</v>
      </c>
      <c r="BB66">
        <v>2186</v>
      </c>
      <c r="BC66">
        <v>2203</v>
      </c>
      <c r="BD66" t="s">
        <v>74</v>
      </c>
      <c r="BE66" t="s">
        <v>1369</v>
      </c>
      <c r="BF66" t="str">
        <f>HYPERLINK("http://dx.doi.org/10.1111/j.1462-2920.2011.02467.x","http://dx.doi.org/10.1111/j.1462-2920.2011.02467.x")</f>
        <v>http://dx.doi.org/10.1111/j.1462-2920.2011.02467.x</v>
      </c>
      <c r="BG66" t="s">
        <v>74</v>
      </c>
      <c r="BH66" t="s">
        <v>74</v>
      </c>
      <c r="BI66">
        <v>18</v>
      </c>
      <c r="BJ66" t="s">
        <v>892</v>
      </c>
      <c r="BK66" t="s">
        <v>100</v>
      </c>
      <c r="BL66" t="s">
        <v>892</v>
      </c>
      <c r="BM66" t="s">
        <v>1331</v>
      </c>
      <c r="BN66">
        <v>21443741</v>
      </c>
      <c r="BO66" t="s">
        <v>74</v>
      </c>
      <c r="BP66" t="s">
        <v>74</v>
      </c>
      <c r="BQ66" t="s">
        <v>74</v>
      </c>
      <c r="BR66" t="s">
        <v>103</v>
      </c>
      <c r="BS66" t="s">
        <v>1370</v>
      </c>
      <c r="BT66" t="str">
        <f>HYPERLINK("https%3A%2F%2Fwww.webofscience.com%2Fwos%2Fwoscc%2Ffull-record%2FWOS:000294075600020","View Full Record in Web of Science")</f>
        <v>View Full Record in Web of Science</v>
      </c>
    </row>
    <row r="67" spans="1:72" x14ac:dyDescent="0.15">
      <c r="A67" t="s">
        <v>72</v>
      </c>
      <c r="B67" t="s">
        <v>1371</v>
      </c>
      <c r="C67" t="s">
        <v>74</v>
      </c>
      <c r="D67" t="s">
        <v>74</v>
      </c>
      <c r="E67" t="s">
        <v>74</v>
      </c>
      <c r="F67" t="s">
        <v>1372</v>
      </c>
      <c r="G67" t="s">
        <v>74</v>
      </c>
      <c r="H67" t="s">
        <v>74</v>
      </c>
      <c r="I67" t="s">
        <v>1373</v>
      </c>
      <c r="J67" t="s">
        <v>1311</v>
      </c>
      <c r="K67" t="s">
        <v>74</v>
      </c>
      <c r="L67" t="s">
        <v>74</v>
      </c>
      <c r="M67" t="s">
        <v>78</v>
      </c>
      <c r="N67" t="s">
        <v>79</v>
      </c>
      <c r="O67" t="s">
        <v>74</v>
      </c>
      <c r="P67" t="s">
        <v>74</v>
      </c>
      <c r="Q67" t="s">
        <v>74</v>
      </c>
      <c r="R67" t="s">
        <v>74</v>
      </c>
      <c r="S67" t="s">
        <v>74</v>
      </c>
      <c r="T67" t="s">
        <v>74</v>
      </c>
      <c r="U67" t="s">
        <v>1374</v>
      </c>
      <c r="V67" t="s">
        <v>1375</v>
      </c>
      <c r="W67" t="s">
        <v>1376</v>
      </c>
      <c r="X67" t="s">
        <v>1377</v>
      </c>
      <c r="Y67" t="s">
        <v>1316</v>
      </c>
      <c r="Z67" t="s">
        <v>1378</v>
      </c>
      <c r="AA67" t="s">
        <v>1379</v>
      </c>
      <c r="AB67" t="s">
        <v>1380</v>
      </c>
      <c r="AC67" t="s">
        <v>1381</v>
      </c>
      <c r="AD67" t="s">
        <v>1382</v>
      </c>
      <c r="AE67" t="s">
        <v>1383</v>
      </c>
      <c r="AF67" t="s">
        <v>74</v>
      </c>
      <c r="AG67">
        <v>64</v>
      </c>
      <c r="AH67">
        <v>7</v>
      </c>
      <c r="AI67">
        <v>9</v>
      </c>
      <c r="AJ67">
        <v>1</v>
      </c>
      <c r="AK67">
        <v>9</v>
      </c>
      <c r="AL67" t="s">
        <v>1323</v>
      </c>
      <c r="AM67" t="s">
        <v>1324</v>
      </c>
      <c r="AN67" t="s">
        <v>1325</v>
      </c>
      <c r="AO67" t="s">
        <v>1326</v>
      </c>
      <c r="AP67" t="s">
        <v>1327</v>
      </c>
      <c r="AQ67" t="s">
        <v>74</v>
      </c>
      <c r="AR67" t="s">
        <v>1328</v>
      </c>
      <c r="AS67" t="s">
        <v>1329</v>
      </c>
      <c r="AT67" t="s">
        <v>629</v>
      </c>
      <c r="AU67">
        <v>2011</v>
      </c>
      <c r="AV67">
        <v>13</v>
      </c>
      <c r="AW67">
        <v>8</v>
      </c>
      <c r="AX67" t="s">
        <v>74</v>
      </c>
      <c r="AY67" t="s">
        <v>74</v>
      </c>
      <c r="AZ67" t="s">
        <v>74</v>
      </c>
      <c r="BA67" t="s">
        <v>74</v>
      </c>
      <c r="BB67">
        <v>2232</v>
      </c>
      <c r="BC67">
        <v>2249</v>
      </c>
      <c r="BD67" t="s">
        <v>74</v>
      </c>
      <c r="BE67" t="s">
        <v>1384</v>
      </c>
      <c r="BF67" t="str">
        <f>HYPERLINK("http://dx.doi.org/10.1111/j.1462-2920.2011.02477.x","http://dx.doi.org/10.1111/j.1462-2920.2011.02477.x")</f>
        <v>http://dx.doi.org/10.1111/j.1462-2920.2011.02477.x</v>
      </c>
      <c r="BG67" t="s">
        <v>74</v>
      </c>
      <c r="BH67" t="s">
        <v>74</v>
      </c>
      <c r="BI67">
        <v>18</v>
      </c>
      <c r="BJ67" t="s">
        <v>892</v>
      </c>
      <c r="BK67" t="s">
        <v>100</v>
      </c>
      <c r="BL67" t="s">
        <v>892</v>
      </c>
      <c r="BM67" t="s">
        <v>1331</v>
      </c>
      <c r="BN67">
        <v>21477108</v>
      </c>
      <c r="BO67" t="s">
        <v>74</v>
      </c>
      <c r="BP67" t="s">
        <v>74</v>
      </c>
      <c r="BQ67" t="s">
        <v>74</v>
      </c>
      <c r="BR67" t="s">
        <v>103</v>
      </c>
      <c r="BS67" t="s">
        <v>1385</v>
      </c>
      <c r="BT67" t="str">
        <f>HYPERLINK("https%3A%2F%2Fwww.webofscience.com%2Fwos%2Fwoscc%2Ffull-record%2FWOS:000294075600023","View Full Record in Web of Science")</f>
        <v>View Full Record in Web of Science</v>
      </c>
    </row>
    <row r="68" spans="1:72" x14ac:dyDescent="0.15">
      <c r="A68" t="s">
        <v>72</v>
      </c>
      <c r="B68" t="s">
        <v>1386</v>
      </c>
      <c r="C68" t="s">
        <v>74</v>
      </c>
      <c r="D68" t="s">
        <v>74</v>
      </c>
      <c r="E68" t="s">
        <v>74</v>
      </c>
      <c r="F68" t="s">
        <v>1387</v>
      </c>
      <c r="G68" t="s">
        <v>74</v>
      </c>
      <c r="H68" t="s">
        <v>74</v>
      </c>
      <c r="I68" t="s">
        <v>1388</v>
      </c>
      <c r="J68" t="s">
        <v>1311</v>
      </c>
      <c r="K68" t="s">
        <v>74</v>
      </c>
      <c r="L68" t="s">
        <v>74</v>
      </c>
      <c r="M68" t="s">
        <v>78</v>
      </c>
      <c r="N68" t="s">
        <v>79</v>
      </c>
      <c r="O68" t="s">
        <v>74</v>
      </c>
      <c r="P68" t="s">
        <v>74</v>
      </c>
      <c r="Q68" t="s">
        <v>74</v>
      </c>
      <c r="R68" t="s">
        <v>74</v>
      </c>
      <c r="S68" t="s">
        <v>74</v>
      </c>
      <c r="T68" t="s">
        <v>74</v>
      </c>
      <c r="U68" t="s">
        <v>1389</v>
      </c>
      <c r="V68" t="s">
        <v>1390</v>
      </c>
      <c r="W68" t="s">
        <v>1391</v>
      </c>
      <c r="X68" t="s">
        <v>1392</v>
      </c>
      <c r="Y68" t="s">
        <v>1393</v>
      </c>
      <c r="Z68" t="s">
        <v>1394</v>
      </c>
      <c r="AA68" t="s">
        <v>1395</v>
      </c>
      <c r="AB68" t="s">
        <v>1396</v>
      </c>
      <c r="AC68" t="s">
        <v>1397</v>
      </c>
      <c r="AD68" t="s">
        <v>1398</v>
      </c>
      <c r="AE68" t="s">
        <v>1399</v>
      </c>
      <c r="AF68" t="s">
        <v>74</v>
      </c>
      <c r="AG68">
        <v>50</v>
      </c>
      <c r="AH68">
        <v>32</v>
      </c>
      <c r="AI68">
        <v>40</v>
      </c>
      <c r="AJ68">
        <v>2</v>
      </c>
      <c r="AK68">
        <v>40</v>
      </c>
      <c r="AL68" t="s">
        <v>1323</v>
      </c>
      <c r="AM68" t="s">
        <v>1324</v>
      </c>
      <c r="AN68" t="s">
        <v>1325</v>
      </c>
      <c r="AO68" t="s">
        <v>1326</v>
      </c>
      <c r="AP68" t="s">
        <v>1327</v>
      </c>
      <c r="AQ68" t="s">
        <v>74</v>
      </c>
      <c r="AR68" t="s">
        <v>1328</v>
      </c>
      <c r="AS68" t="s">
        <v>1329</v>
      </c>
      <c r="AT68" t="s">
        <v>629</v>
      </c>
      <c r="AU68">
        <v>2011</v>
      </c>
      <c r="AV68">
        <v>13</v>
      </c>
      <c r="AW68">
        <v>8</v>
      </c>
      <c r="AX68" t="s">
        <v>74</v>
      </c>
      <c r="AY68" t="s">
        <v>74</v>
      </c>
      <c r="AZ68" t="s">
        <v>74</v>
      </c>
      <c r="BA68" t="s">
        <v>74</v>
      </c>
      <c r="BB68">
        <v>2269</v>
      </c>
      <c r="BC68">
        <v>2278</v>
      </c>
      <c r="BD68" t="s">
        <v>74</v>
      </c>
      <c r="BE68" t="s">
        <v>1400</v>
      </c>
      <c r="BF68" t="str">
        <f>HYPERLINK("http://dx.doi.org/10.1111/j.1462-2920.2011.02485.x","http://dx.doi.org/10.1111/j.1462-2920.2011.02485.x")</f>
        <v>http://dx.doi.org/10.1111/j.1462-2920.2011.02485.x</v>
      </c>
      <c r="BG68" t="s">
        <v>74</v>
      </c>
      <c r="BH68" t="s">
        <v>74</v>
      </c>
      <c r="BI68">
        <v>10</v>
      </c>
      <c r="BJ68" t="s">
        <v>892</v>
      </c>
      <c r="BK68" t="s">
        <v>100</v>
      </c>
      <c r="BL68" t="s">
        <v>892</v>
      </c>
      <c r="BM68" t="s">
        <v>1331</v>
      </c>
      <c r="BN68">
        <v>21535342</v>
      </c>
      <c r="BO68" t="s">
        <v>74</v>
      </c>
      <c r="BP68" t="s">
        <v>74</v>
      </c>
      <c r="BQ68" t="s">
        <v>74</v>
      </c>
      <c r="BR68" t="s">
        <v>103</v>
      </c>
      <c r="BS68" t="s">
        <v>1401</v>
      </c>
      <c r="BT68" t="str">
        <f>HYPERLINK("https%3A%2F%2Fwww.webofscience.com%2Fwos%2Fwoscc%2Ffull-record%2FWOS:000294075600025","View Full Record in Web of Science")</f>
        <v>View Full Record in Web of Science</v>
      </c>
    </row>
    <row r="69" spans="1:72" x14ac:dyDescent="0.15">
      <c r="A69" t="s">
        <v>72</v>
      </c>
      <c r="B69" t="s">
        <v>1402</v>
      </c>
      <c r="C69" t="s">
        <v>74</v>
      </c>
      <c r="D69" t="s">
        <v>74</v>
      </c>
      <c r="E69" t="s">
        <v>74</v>
      </c>
      <c r="F69" t="s">
        <v>1403</v>
      </c>
      <c r="G69" t="s">
        <v>74</v>
      </c>
      <c r="H69" t="s">
        <v>74</v>
      </c>
      <c r="I69" t="s">
        <v>1404</v>
      </c>
      <c r="J69" t="s">
        <v>1405</v>
      </c>
      <c r="K69" t="s">
        <v>74</v>
      </c>
      <c r="L69" t="s">
        <v>74</v>
      </c>
      <c r="M69" t="s">
        <v>78</v>
      </c>
      <c r="N69" t="s">
        <v>79</v>
      </c>
      <c r="O69" t="s">
        <v>74</v>
      </c>
      <c r="P69" t="s">
        <v>74</v>
      </c>
      <c r="Q69" t="s">
        <v>74</v>
      </c>
      <c r="R69" t="s">
        <v>74</v>
      </c>
      <c r="S69" t="s">
        <v>74</v>
      </c>
      <c r="T69" t="s">
        <v>74</v>
      </c>
      <c r="U69" t="s">
        <v>1406</v>
      </c>
      <c r="V69" t="s">
        <v>1407</v>
      </c>
      <c r="W69" t="s">
        <v>1408</v>
      </c>
      <c r="X69" t="s">
        <v>1409</v>
      </c>
      <c r="Y69" t="s">
        <v>1410</v>
      </c>
      <c r="Z69" t="s">
        <v>1411</v>
      </c>
      <c r="AA69" t="s">
        <v>1412</v>
      </c>
      <c r="AB69" t="s">
        <v>1413</v>
      </c>
      <c r="AC69" t="s">
        <v>1414</v>
      </c>
      <c r="AD69" t="s">
        <v>1415</v>
      </c>
      <c r="AE69" t="s">
        <v>1416</v>
      </c>
      <c r="AF69" t="s">
        <v>74</v>
      </c>
      <c r="AG69">
        <v>30</v>
      </c>
      <c r="AH69">
        <v>39</v>
      </c>
      <c r="AI69">
        <v>40</v>
      </c>
      <c r="AJ69">
        <v>0</v>
      </c>
      <c r="AK69">
        <v>13</v>
      </c>
      <c r="AL69" t="s">
        <v>1275</v>
      </c>
      <c r="AM69" t="s">
        <v>1276</v>
      </c>
      <c r="AN69" t="s">
        <v>1417</v>
      </c>
      <c r="AO69" t="s">
        <v>1418</v>
      </c>
      <c r="AP69" t="s">
        <v>1419</v>
      </c>
      <c r="AQ69" t="s">
        <v>74</v>
      </c>
      <c r="AR69" t="s">
        <v>1420</v>
      </c>
      <c r="AS69" t="s">
        <v>1421</v>
      </c>
      <c r="AT69" t="s">
        <v>629</v>
      </c>
      <c r="AU69">
        <v>2011</v>
      </c>
      <c r="AV69">
        <v>28</v>
      </c>
      <c r="AW69">
        <v>8</v>
      </c>
      <c r="AX69" t="s">
        <v>74</v>
      </c>
      <c r="AY69" t="s">
        <v>74</v>
      </c>
      <c r="AZ69" t="s">
        <v>74</v>
      </c>
      <c r="BA69" t="s">
        <v>74</v>
      </c>
      <c r="BB69">
        <v>1036</v>
      </c>
      <c r="BC69">
        <v>1049</v>
      </c>
      <c r="BD69" t="s">
        <v>74</v>
      </c>
      <c r="BE69" t="s">
        <v>1422</v>
      </c>
      <c r="BF69" t="str">
        <f>HYPERLINK("http://dx.doi.org/10.1175/2011JTECHO831.1","http://dx.doi.org/10.1175/2011JTECHO831.1")</f>
        <v>http://dx.doi.org/10.1175/2011JTECHO831.1</v>
      </c>
      <c r="BG69" t="s">
        <v>74</v>
      </c>
      <c r="BH69" t="s">
        <v>74</v>
      </c>
      <c r="BI69">
        <v>14</v>
      </c>
      <c r="BJ69" t="s">
        <v>1423</v>
      </c>
      <c r="BK69" t="s">
        <v>100</v>
      </c>
      <c r="BL69" t="s">
        <v>1424</v>
      </c>
      <c r="BM69" t="s">
        <v>1425</v>
      </c>
      <c r="BN69" t="s">
        <v>74</v>
      </c>
      <c r="BO69" t="s">
        <v>393</v>
      </c>
      <c r="BP69" t="s">
        <v>74</v>
      </c>
      <c r="BQ69" t="s">
        <v>74</v>
      </c>
      <c r="BR69" t="s">
        <v>103</v>
      </c>
      <c r="BS69" t="s">
        <v>1426</v>
      </c>
      <c r="BT69" t="str">
        <f>HYPERLINK("https%3A%2F%2Fwww.webofscience.com%2Fwos%2Fwoscc%2Ffull-record%2FWOS:000294326600006","View Full Record in Web of Science")</f>
        <v>View Full Record in Web of Science</v>
      </c>
    </row>
    <row r="70" spans="1:72" x14ac:dyDescent="0.15">
      <c r="A70" t="s">
        <v>72</v>
      </c>
      <c r="B70" t="s">
        <v>1427</v>
      </c>
      <c r="C70" t="s">
        <v>74</v>
      </c>
      <c r="D70" t="s">
        <v>74</v>
      </c>
      <c r="E70" t="s">
        <v>74</v>
      </c>
      <c r="F70" t="s">
        <v>1428</v>
      </c>
      <c r="G70" t="s">
        <v>74</v>
      </c>
      <c r="H70" t="s">
        <v>74</v>
      </c>
      <c r="I70" t="s">
        <v>1429</v>
      </c>
      <c r="J70" t="s">
        <v>1430</v>
      </c>
      <c r="K70" t="s">
        <v>74</v>
      </c>
      <c r="L70" t="s">
        <v>74</v>
      </c>
      <c r="M70" t="s">
        <v>78</v>
      </c>
      <c r="N70" t="s">
        <v>79</v>
      </c>
      <c r="O70" t="s">
        <v>74</v>
      </c>
      <c r="P70" t="s">
        <v>74</v>
      </c>
      <c r="Q70" t="s">
        <v>74</v>
      </c>
      <c r="R70" t="s">
        <v>74</v>
      </c>
      <c r="S70" t="s">
        <v>74</v>
      </c>
      <c r="T70" t="s">
        <v>1431</v>
      </c>
      <c r="U70" t="s">
        <v>1432</v>
      </c>
      <c r="V70" t="s">
        <v>1433</v>
      </c>
      <c r="W70" t="s">
        <v>1434</v>
      </c>
      <c r="X70" t="s">
        <v>1435</v>
      </c>
      <c r="Y70" t="s">
        <v>1436</v>
      </c>
      <c r="Z70" t="s">
        <v>1437</v>
      </c>
      <c r="AA70" t="s">
        <v>74</v>
      </c>
      <c r="AB70" t="s">
        <v>74</v>
      </c>
      <c r="AC70" t="s">
        <v>1438</v>
      </c>
      <c r="AD70" t="s">
        <v>1439</v>
      </c>
      <c r="AE70" t="s">
        <v>1440</v>
      </c>
      <c r="AF70" t="s">
        <v>74</v>
      </c>
      <c r="AG70">
        <v>104</v>
      </c>
      <c r="AH70">
        <v>41</v>
      </c>
      <c r="AI70">
        <v>42</v>
      </c>
      <c r="AJ70">
        <v>0</v>
      </c>
      <c r="AK70">
        <v>15</v>
      </c>
      <c r="AL70" t="s">
        <v>1441</v>
      </c>
      <c r="AM70" t="s">
        <v>1442</v>
      </c>
      <c r="AN70" t="s">
        <v>1443</v>
      </c>
      <c r="AO70" t="s">
        <v>1444</v>
      </c>
      <c r="AP70" t="s">
        <v>1445</v>
      </c>
      <c r="AQ70" t="s">
        <v>74</v>
      </c>
      <c r="AR70" t="s">
        <v>1446</v>
      </c>
      <c r="AS70" t="s">
        <v>1447</v>
      </c>
      <c r="AT70" t="s">
        <v>629</v>
      </c>
      <c r="AU70">
        <v>2011</v>
      </c>
      <c r="AV70">
        <v>67</v>
      </c>
      <c r="AW70">
        <v>4</v>
      </c>
      <c r="AX70" t="s">
        <v>74</v>
      </c>
      <c r="AY70" t="s">
        <v>74</v>
      </c>
      <c r="AZ70" t="s">
        <v>74</v>
      </c>
      <c r="BA70" t="s">
        <v>74</v>
      </c>
      <c r="BB70">
        <v>449</v>
      </c>
      <c r="BC70">
        <v>479</v>
      </c>
      <c r="BD70" t="s">
        <v>74</v>
      </c>
      <c r="BE70" t="s">
        <v>1448</v>
      </c>
      <c r="BF70" t="str">
        <f>HYPERLINK("http://dx.doi.org/10.1007/s10872-011-0050-3","http://dx.doi.org/10.1007/s10872-011-0050-3")</f>
        <v>http://dx.doi.org/10.1007/s10872-011-0050-3</v>
      </c>
      <c r="BG70" t="s">
        <v>74</v>
      </c>
      <c r="BH70" t="s">
        <v>74</v>
      </c>
      <c r="BI70">
        <v>31</v>
      </c>
      <c r="BJ70" t="s">
        <v>271</v>
      </c>
      <c r="BK70" t="s">
        <v>100</v>
      </c>
      <c r="BL70" t="s">
        <v>271</v>
      </c>
      <c r="BM70" t="s">
        <v>1449</v>
      </c>
      <c r="BN70" t="s">
        <v>74</v>
      </c>
      <c r="BO70" t="s">
        <v>74</v>
      </c>
      <c r="BP70" t="s">
        <v>74</v>
      </c>
      <c r="BQ70" t="s">
        <v>74</v>
      </c>
      <c r="BR70" t="s">
        <v>103</v>
      </c>
      <c r="BS70" t="s">
        <v>1450</v>
      </c>
      <c r="BT70" t="str">
        <f>HYPERLINK("https%3A%2F%2Fwww.webofscience.com%2Fwos%2Fwoscc%2Ffull-record%2FWOS:000294181200011","View Full Record in Web of Science")</f>
        <v>View Full Record in Web of Science</v>
      </c>
    </row>
    <row r="71" spans="1:72" x14ac:dyDescent="0.15">
      <c r="A71" t="s">
        <v>72</v>
      </c>
      <c r="B71" t="s">
        <v>1451</v>
      </c>
      <c r="C71" t="s">
        <v>74</v>
      </c>
      <c r="D71" t="s">
        <v>74</v>
      </c>
      <c r="E71" t="s">
        <v>74</v>
      </c>
      <c r="F71" t="s">
        <v>1452</v>
      </c>
      <c r="G71" t="s">
        <v>74</v>
      </c>
      <c r="H71" t="s">
        <v>74</v>
      </c>
      <c r="I71" t="s">
        <v>1453</v>
      </c>
      <c r="J71" t="s">
        <v>1454</v>
      </c>
      <c r="K71" t="s">
        <v>74</v>
      </c>
      <c r="L71" t="s">
        <v>74</v>
      </c>
      <c r="M71" t="s">
        <v>78</v>
      </c>
      <c r="N71" t="s">
        <v>79</v>
      </c>
      <c r="O71" t="s">
        <v>74</v>
      </c>
      <c r="P71" t="s">
        <v>74</v>
      </c>
      <c r="Q71" t="s">
        <v>74</v>
      </c>
      <c r="R71" t="s">
        <v>74</v>
      </c>
      <c r="S71" t="s">
        <v>74</v>
      </c>
      <c r="T71" t="s">
        <v>74</v>
      </c>
      <c r="U71" t="s">
        <v>1455</v>
      </c>
      <c r="V71" t="s">
        <v>1456</v>
      </c>
      <c r="W71" t="s">
        <v>1457</v>
      </c>
      <c r="X71" t="s">
        <v>1458</v>
      </c>
      <c r="Y71" t="s">
        <v>1459</v>
      </c>
      <c r="Z71" t="s">
        <v>1460</v>
      </c>
      <c r="AA71" t="s">
        <v>1461</v>
      </c>
      <c r="AB71" t="s">
        <v>1462</v>
      </c>
      <c r="AC71" t="s">
        <v>1463</v>
      </c>
      <c r="AD71" t="s">
        <v>1464</v>
      </c>
      <c r="AE71" t="s">
        <v>1465</v>
      </c>
      <c r="AF71" t="s">
        <v>74</v>
      </c>
      <c r="AG71">
        <v>78</v>
      </c>
      <c r="AH71">
        <v>30</v>
      </c>
      <c r="AI71">
        <v>31</v>
      </c>
      <c r="AJ71">
        <v>0</v>
      </c>
      <c r="AK71">
        <v>19</v>
      </c>
      <c r="AL71" t="s">
        <v>1323</v>
      </c>
      <c r="AM71" t="s">
        <v>1324</v>
      </c>
      <c r="AN71" t="s">
        <v>1325</v>
      </c>
      <c r="AO71" t="s">
        <v>1466</v>
      </c>
      <c r="AP71" t="s">
        <v>1467</v>
      </c>
      <c r="AQ71" t="s">
        <v>74</v>
      </c>
      <c r="AR71" t="s">
        <v>1468</v>
      </c>
      <c r="AS71" t="s">
        <v>1469</v>
      </c>
      <c r="AT71" t="s">
        <v>629</v>
      </c>
      <c r="AU71">
        <v>2011</v>
      </c>
      <c r="AV71">
        <v>46</v>
      </c>
      <c r="AW71">
        <v>8</v>
      </c>
      <c r="AX71" t="s">
        <v>74</v>
      </c>
      <c r="AY71" t="s">
        <v>74</v>
      </c>
      <c r="AZ71" t="s">
        <v>74</v>
      </c>
      <c r="BA71" t="s">
        <v>74</v>
      </c>
      <c r="BB71">
        <v>1110</v>
      </c>
      <c r="BC71">
        <v>1132</v>
      </c>
      <c r="BD71" t="s">
        <v>74</v>
      </c>
      <c r="BE71" t="s">
        <v>1470</v>
      </c>
      <c r="BF71" t="str">
        <f>HYPERLINK("http://dx.doi.org/10.1111/j.1945-5100.2011.01218.x","http://dx.doi.org/10.1111/j.1945-5100.2011.01218.x")</f>
        <v>http://dx.doi.org/10.1111/j.1945-5100.2011.01218.x</v>
      </c>
      <c r="BG71" t="s">
        <v>74</v>
      </c>
      <c r="BH71" t="s">
        <v>74</v>
      </c>
      <c r="BI71">
        <v>23</v>
      </c>
      <c r="BJ71" t="s">
        <v>488</v>
      </c>
      <c r="BK71" t="s">
        <v>100</v>
      </c>
      <c r="BL71" t="s">
        <v>488</v>
      </c>
      <c r="BM71" t="s">
        <v>1471</v>
      </c>
      <c r="BN71" t="s">
        <v>74</v>
      </c>
      <c r="BO71" t="s">
        <v>152</v>
      </c>
      <c r="BP71" t="s">
        <v>74</v>
      </c>
      <c r="BQ71" t="s">
        <v>74</v>
      </c>
      <c r="BR71" t="s">
        <v>103</v>
      </c>
      <c r="BS71" t="s">
        <v>1472</v>
      </c>
      <c r="BT71" t="str">
        <f>HYPERLINK("https%3A%2F%2Fwww.webofscience.com%2Fwos%2Fwoscc%2Ffull-record%2FWOS:000294171100004","View Full Record in Web of Science")</f>
        <v>View Full Record in Web of Science</v>
      </c>
    </row>
    <row r="72" spans="1:72" x14ac:dyDescent="0.15">
      <c r="A72" t="s">
        <v>72</v>
      </c>
      <c r="B72" t="s">
        <v>1473</v>
      </c>
      <c r="C72" t="s">
        <v>74</v>
      </c>
      <c r="D72" t="s">
        <v>74</v>
      </c>
      <c r="E72" t="s">
        <v>74</v>
      </c>
      <c r="F72" t="s">
        <v>1474</v>
      </c>
      <c r="G72" t="s">
        <v>74</v>
      </c>
      <c r="H72" t="s">
        <v>74</v>
      </c>
      <c r="I72" t="s">
        <v>1475</v>
      </c>
      <c r="J72" t="s">
        <v>1476</v>
      </c>
      <c r="K72" t="s">
        <v>74</v>
      </c>
      <c r="L72" t="s">
        <v>74</v>
      </c>
      <c r="M72" t="s">
        <v>78</v>
      </c>
      <c r="N72" t="s">
        <v>79</v>
      </c>
      <c r="O72" t="s">
        <v>74</v>
      </c>
      <c r="P72" t="s">
        <v>74</v>
      </c>
      <c r="Q72" t="s">
        <v>74</v>
      </c>
      <c r="R72" t="s">
        <v>74</v>
      </c>
      <c r="S72" t="s">
        <v>74</v>
      </c>
      <c r="T72" t="s">
        <v>1477</v>
      </c>
      <c r="U72" t="s">
        <v>1478</v>
      </c>
      <c r="V72" t="s">
        <v>1479</v>
      </c>
      <c r="W72" t="s">
        <v>1480</v>
      </c>
      <c r="X72" t="s">
        <v>1481</v>
      </c>
      <c r="Y72" t="s">
        <v>1482</v>
      </c>
      <c r="Z72" t="s">
        <v>1483</v>
      </c>
      <c r="AA72" t="s">
        <v>1484</v>
      </c>
      <c r="AB72" t="s">
        <v>1485</v>
      </c>
      <c r="AC72" t="s">
        <v>1486</v>
      </c>
      <c r="AD72" t="s">
        <v>1487</v>
      </c>
      <c r="AE72" t="s">
        <v>1488</v>
      </c>
      <c r="AF72" t="s">
        <v>74</v>
      </c>
      <c r="AG72">
        <v>34</v>
      </c>
      <c r="AH72">
        <v>29</v>
      </c>
      <c r="AI72">
        <v>32</v>
      </c>
      <c r="AJ72">
        <v>1</v>
      </c>
      <c r="AK72">
        <v>79</v>
      </c>
      <c r="AL72" t="s">
        <v>1489</v>
      </c>
      <c r="AM72" t="s">
        <v>1490</v>
      </c>
      <c r="AN72" t="s">
        <v>1491</v>
      </c>
      <c r="AO72" t="s">
        <v>1492</v>
      </c>
      <c r="AP72" t="s">
        <v>1493</v>
      </c>
      <c r="AQ72" t="s">
        <v>74</v>
      </c>
      <c r="AR72" t="s">
        <v>1476</v>
      </c>
      <c r="AS72" t="s">
        <v>1494</v>
      </c>
      <c r="AT72" t="s">
        <v>629</v>
      </c>
      <c r="AU72">
        <v>2011</v>
      </c>
      <c r="AV72">
        <v>21</v>
      </c>
      <c r="AW72">
        <v>5</v>
      </c>
      <c r="AX72" t="s">
        <v>74</v>
      </c>
      <c r="AY72" t="s">
        <v>74</v>
      </c>
      <c r="AZ72" t="s">
        <v>864</v>
      </c>
      <c r="BA72" t="s">
        <v>74</v>
      </c>
      <c r="BB72">
        <v>715</v>
      </c>
      <c r="BC72">
        <v>722</v>
      </c>
      <c r="BD72" t="s">
        <v>74</v>
      </c>
      <c r="BE72" t="s">
        <v>1495</v>
      </c>
      <c r="BF72" t="str">
        <f>HYPERLINK("http://dx.doi.org/10.1177/0959683610386984","http://dx.doi.org/10.1177/0959683610386984")</f>
        <v>http://dx.doi.org/10.1177/0959683610386984</v>
      </c>
      <c r="BG72" t="s">
        <v>74</v>
      </c>
      <c r="BH72" t="s">
        <v>74</v>
      </c>
      <c r="BI72">
        <v>8</v>
      </c>
      <c r="BJ72" t="s">
        <v>1496</v>
      </c>
      <c r="BK72" t="s">
        <v>100</v>
      </c>
      <c r="BL72" t="s">
        <v>1497</v>
      </c>
      <c r="BM72" t="s">
        <v>1498</v>
      </c>
      <c r="BN72" t="s">
        <v>74</v>
      </c>
      <c r="BO72" t="s">
        <v>74</v>
      </c>
      <c r="BP72" t="s">
        <v>74</v>
      </c>
      <c r="BQ72" t="s">
        <v>74</v>
      </c>
      <c r="BR72" t="s">
        <v>103</v>
      </c>
      <c r="BS72" t="s">
        <v>1499</v>
      </c>
      <c r="BT72" t="str">
        <f>HYPERLINK("https%3A%2F%2Fwww.webofscience.com%2Fwos%2Fwoscc%2Ffull-record%2FWOS:000293265900002","View Full Record in Web of Science")</f>
        <v>View Full Record in Web of Science</v>
      </c>
    </row>
    <row r="73" spans="1:72" x14ac:dyDescent="0.15">
      <c r="A73" t="s">
        <v>72</v>
      </c>
      <c r="B73" t="s">
        <v>1500</v>
      </c>
      <c r="C73" t="s">
        <v>74</v>
      </c>
      <c r="D73" t="s">
        <v>74</v>
      </c>
      <c r="E73" t="s">
        <v>74</v>
      </c>
      <c r="F73" t="s">
        <v>1501</v>
      </c>
      <c r="G73" t="s">
        <v>74</v>
      </c>
      <c r="H73" t="s">
        <v>74</v>
      </c>
      <c r="I73" t="s">
        <v>1502</v>
      </c>
      <c r="J73" t="s">
        <v>1503</v>
      </c>
      <c r="K73" t="s">
        <v>74</v>
      </c>
      <c r="L73" t="s">
        <v>74</v>
      </c>
      <c r="M73" t="s">
        <v>78</v>
      </c>
      <c r="N73" t="s">
        <v>79</v>
      </c>
      <c r="O73" t="s">
        <v>74</v>
      </c>
      <c r="P73" t="s">
        <v>74</v>
      </c>
      <c r="Q73" t="s">
        <v>74</v>
      </c>
      <c r="R73" t="s">
        <v>74</v>
      </c>
      <c r="S73" t="s">
        <v>74</v>
      </c>
      <c r="T73" t="s">
        <v>74</v>
      </c>
      <c r="U73" t="s">
        <v>1504</v>
      </c>
      <c r="V73" t="s">
        <v>1505</v>
      </c>
      <c r="W73" t="s">
        <v>1506</v>
      </c>
      <c r="X73" t="s">
        <v>1507</v>
      </c>
      <c r="Y73" t="s">
        <v>1508</v>
      </c>
      <c r="Z73" t="s">
        <v>1509</v>
      </c>
      <c r="AA73" t="s">
        <v>1510</v>
      </c>
      <c r="AB73" t="s">
        <v>1511</v>
      </c>
      <c r="AC73" t="s">
        <v>74</v>
      </c>
      <c r="AD73" t="s">
        <v>74</v>
      </c>
      <c r="AE73" t="s">
        <v>74</v>
      </c>
      <c r="AF73" t="s">
        <v>74</v>
      </c>
      <c r="AG73">
        <v>16</v>
      </c>
      <c r="AH73">
        <v>8</v>
      </c>
      <c r="AI73">
        <v>9</v>
      </c>
      <c r="AJ73">
        <v>0</v>
      </c>
      <c r="AK73">
        <v>8</v>
      </c>
      <c r="AL73" t="s">
        <v>1275</v>
      </c>
      <c r="AM73" t="s">
        <v>1276</v>
      </c>
      <c r="AN73" t="s">
        <v>1277</v>
      </c>
      <c r="AO73" t="s">
        <v>1512</v>
      </c>
      <c r="AP73" t="s">
        <v>74</v>
      </c>
      <c r="AQ73" t="s">
        <v>74</v>
      </c>
      <c r="AR73" t="s">
        <v>1513</v>
      </c>
      <c r="AS73" t="s">
        <v>1514</v>
      </c>
      <c r="AT73" t="s">
        <v>629</v>
      </c>
      <c r="AU73">
        <v>2011</v>
      </c>
      <c r="AV73">
        <v>50</v>
      </c>
      <c r="AW73">
        <v>8</v>
      </c>
      <c r="AX73" t="s">
        <v>74</v>
      </c>
      <c r="AY73" t="s">
        <v>74</v>
      </c>
      <c r="AZ73" t="s">
        <v>74</v>
      </c>
      <c r="BA73" t="s">
        <v>74</v>
      </c>
      <c r="BB73">
        <v>1617</v>
      </c>
      <c r="BC73">
        <v>1626</v>
      </c>
      <c r="BD73" t="s">
        <v>74</v>
      </c>
      <c r="BE73" t="s">
        <v>1515</v>
      </c>
      <c r="BF73" t="str">
        <f>HYPERLINK("http://dx.doi.org/10.1175/JAMC-D-10-05001.1","http://dx.doi.org/10.1175/JAMC-D-10-05001.1")</f>
        <v>http://dx.doi.org/10.1175/JAMC-D-10-05001.1</v>
      </c>
      <c r="BG73" t="s">
        <v>74</v>
      </c>
      <c r="BH73" t="s">
        <v>74</v>
      </c>
      <c r="BI73">
        <v>10</v>
      </c>
      <c r="BJ73" t="s">
        <v>248</v>
      </c>
      <c r="BK73" t="s">
        <v>100</v>
      </c>
      <c r="BL73" t="s">
        <v>248</v>
      </c>
      <c r="BM73" t="s">
        <v>1516</v>
      </c>
      <c r="BN73" t="s">
        <v>74</v>
      </c>
      <c r="BO73" t="s">
        <v>1284</v>
      </c>
      <c r="BP73" t="s">
        <v>74</v>
      </c>
      <c r="BQ73" t="s">
        <v>74</v>
      </c>
      <c r="BR73" t="s">
        <v>103</v>
      </c>
      <c r="BS73" t="s">
        <v>1517</v>
      </c>
      <c r="BT73" t="str">
        <f>HYPERLINK("https%3A%2F%2Fwww.webofscience.com%2Fwos%2Fwoscc%2Ffull-record%2FWOS:000293896700001","View Full Record in Web of Science")</f>
        <v>View Full Record in Web of Science</v>
      </c>
    </row>
    <row r="74" spans="1:72" x14ac:dyDescent="0.15">
      <c r="A74" t="s">
        <v>72</v>
      </c>
      <c r="B74" t="s">
        <v>1518</v>
      </c>
      <c r="C74" t="s">
        <v>74</v>
      </c>
      <c r="D74" t="s">
        <v>74</v>
      </c>
      <c r="E74" t="s">
        <v>74</v>
      </c>
      <c r="F74" t="s">
        <v>1519</v>
      </c>
      <c r="G74" t="s">
        <v>74</v>
      </c>
      <c r="H74" t="s">
        <v>74</v>
      </c>
      <c r="I74" t="s">
        <v>1520</v>
      </c>
      <c r="J74" t="s">
        <v>1263</v>
      </c>
      <c r="K74" t="s">
        <v>74</v>
      </c>
      <c r="L74" t="s">
        <v>74</v>
      </c>
      <c r="M74" t="s">
        <v>78</v>
      </c>
      <c r="N74" t="s">
        <v>79</v>
      </c>
      <c r="O74" t="s">
        <v>74</v>
      </c>
      <c r="P74" t="s">
        <v>74</v>
      </c>
      <c r="Q74" t="s">
        <v>74</v>
      </c>
      <c r="R74" t="s">
        <v>74</v>
      </c>
      <c r="S74" t="s">
        <v>74</v>
      </c>
      <c r="T74" t="s">
        <v>74</v>
      </c>
      <c r="U74" t="s">
        <v>1521</v>
      </c>
      <c r="V74" t="s">
        <v>1522</v>
      </c>
      <c r="W74" t="s">
        <v>1523</v>
      </c>
      <c r="X74" t="s">
        <v>1524</v>
      </c>
      <c r="Y74" t="s">
        <v>1525</v>
      </c>
      <c r="Z74" t="s">
        <v>1526</v>
      </c>
      <c r="AA74" t="s">
        <v>1527</v>
      </c>
      <c r="AB74" t="s">
        <v>1528</v>
      </c>
      <c r="AC74" t="s">
        <v>1529</v>
      </c>
      <c r="AD74" t="s">
        <v>1530</v>
      </c>
      <c r="AE74" t="s">
        <v>1531</v>
      </c>
      <c r="AF74" t="s">
        <v>74</v>
      </c>
      <c r="AG74">
        <v>15</v>
      </c>
      <c r="AH74">
        <v>18</v>
      </c>
      <c r="AI74">
        <v>23</v>
      </c>
      <c r="AJ74">
        <v>1</v>
      </c>
      <c r="AK74">
        <v>26</v>
      </c>
      <c r="AL74" t="s">
        <v>1275</v>
      </c>
      <c r="AM74" t="s">
        <v>1276</v>
      </c>
      <c r="AN74" t="s">
        <v>1417</v>
      </c>
      <c r="AO74" t="s">
        <v>1278</v>
      </c>
      <c r="AP74" t="s">
        <v>1279</v>
      </c>
      <c r="AQ74" t="s">
        <v>74</v>
      </c>
      <c r="AR74" t="s">
        <v>1280</v>
      </c>
      <c r="AS74" t="s">
        <v>1281</v>
      </c>
      <c r="AT74" t="s">
        <v>629</v>
      </c>
      <c r="AU74">
        <v>2011</v>
      </c>
      <c r="AV74">
        <v>24</v>
      </c>
      <c r="AW74">
        <v>15</v>
      </c>
      <c r="AX74" t="s">
        <v>74</v>
      </c>
      <c r="AY74" t="s">
        <v>74</v>
      </c>
      <c r="AZ74" t="s">
        <v>74</v>
      </c>
      <c r="BA74" t="s">
        <v>74</v>
      </c>
      <c r="BB74">
        <v>3817</v>
      </c>
      <c r="BC74">
        <v>3821</v>
      </c>
      <c r="BD74" t="s">
        <v>74</v>
      </c>
      <c r="BE74" t="s">
        <v>1532</v>
      </c>
      <c r="BF74" t="str">
        <f>HYPERLINK("http://dx.doi.org/10.1175/JCLI-D-11-00129.1","http://dx.doi.org/10.1175/JCLI-D-11-00129.1")</f>
        <v>http://dx.doi.org/10.1175/JCLI-D-11-00129.1</v>
      </c>
      <c r="BG74" t="s">
        <v>74</v>
      </c>
      <c r="BH74" t="s">
        <v>74</v>
      </c>
      <c r="BI74">
        <v>5</v>
      </c>
      <c r="BJ74" t="s">
        <v>248</v>
      </c>
      <c r="BK74" t="s">
        <v>100</v>
      </c>
      <c r="BL74" t="s">
        <v>248</v>
      </c>
      <c r="BM74" t="s">
        <v>1533</v>
      </c>
      <c r="BN74" t="s">
        <v>74</v>
      </c>
      <c r="BO74" t="s">
        <v>1284</v>
      </c>
      <c r="BP74" t="s">
        <v>74</v>
      </c>
      <c r="BQ74" t="s">
        <v>74</v>
      </c>
      <c r="BR74" t="s">
        <v>103</v>
      </c>
      <c r="BS74" t="s">
        <v>1534</v>
      </c>
      <c r="BT74" t="str">
        <f>HYPERLINK("https%3A%2F%2Fwww.webofscience.com%2Fwos%2Fwoscc%2Ffull-record%2FWOS:000293823900002","View Full Record in Web of Science")</f>
        <v>View Full Record in Web of Science</v>
      </c>
    </row>
    <row r="75" spans="1:72" x14ac:dyDescent="0.15">
      <c r="A75" t="s">
        <v>72</v>
      </c>
      <c r="B75" t="s">
        <v>1535</v>
      </c>
      <c r="C75" t="s">
        <v>74</v>
      </c>
      <c r="D75" t="s">
        <v>74</v>
      </c>
      <c r="E75" t="s">
        <v>74</v>
      </c>
      <c r="F75" t="s">
        <v>1536</v>
      </c>
      <c r="G75" t="s">
        <v>74</v>
      </c>
      <c r="H75" t="s">
        <v>74</v>
      </c>
      <c r="I75" t="s">
        <v>1537</v>
      </c>
      <c r="J75" t="s">
        <v>1538</v>
      </c>
      <c r="K75" t="s">
        <v>74</v>
      </c>
      <c r="L75" t="s">
        <v>74</v>
      </c>
      <c r="M75" t="s">
        <v>78</v>
      </c>
      <c r="N75" t="s">
        <v>79</v>
      </c>
      <c r="O75" t="s">
        <v>74</v>
      </c>
      <c r="P75" t="s">
        <v>74</v>
      </c>
      <c r="Q75" t="s">
        <v>74</v>
      </c>
      <c r="R75" t="s">
        <v>74</v>
      </c>
      <c r="S75" t="s">
        <v>74</v>
      </c>
      <c r="T75" t="s">
        <v>1539</v>
      </c>
      <c r="U75" t="s">
        <v>1540</v>
      </c>
      <c r="V75" t="s">
        <v>1541</v>
      </c>
      <c r="W75" t="s">
        <v>1542</v>
      </c>
      <c r="X75" t="s">
        <v>1543</v>
      </c>
      <c r="Y75" t="s">
        <v>1544</v>
      </c>
      <c r="Z75" t="s">
        <v>1545</v>
      </c>
      <c r="AA75" t="s">
        <v>1546</v>
      </c>
      <c r="AB75" t="s">
        <v>1547</v>
      </c>
      <c r="AC75" t="s">
        <v>1548</v>
      </c>
      <c r="AD75" t="s">
        <v>1549</v>
      </c>
      <c r="AE75" t="s">
        <v>1550</v>
      </c>
      <c r="AF75" t="s">
        <v>74</v>
      </c>
      <c r="AG75">
        <v>38</v>
      </c>
      <c r="AH75">
        <v>8</v>
      </c>
      <c r="AI75">
        <v>12</v>
      </c>
      <c r="AJ75">
        <v>0</v>
      </c>
      <c r="AK75">
        <v>26</v>
      </c>
      <c r="AL75" t="s">
        <v>1237</v>
      </c>
      <c r="AM75" t="s">
        <v>1238</v>
      </c>
      <c r="AN75" t="s">
        <v>1239</v>
      </c>
      <c r="AO75" t="s">
        <v>1551</v>
      </c>
      <c r="AP75" t="s">
        <v>1552</v>
      </c>
      <c r="AQ75" t="s">
        <v>74</v>
      </c>
      <c r="AR75" t="s">
        <v>1553</v>
      </c>
      <c r="AS75" t="s">
        <v>1554</v>
      </c>
      <c r="AT75" t="s">
        <v>629</v>
      </c>
      <c r="AU75">
        <v>2011</v>
      </c>
      <c r="AV75">
        <v>56</v>
      </c>
      <c r="AW75">
        <v>24</v>
      </c>
      <c r="AX75" t="s">
        <v>74</v>
      </c>
      <c r="AY75" t="s">
        <v>74</v>
      </c>
      <c r="AZ75" t="s">
        <v>74</v>
      </c>
      <c r="BA75" t="s">
        <v>74</v>
      </c>
      <c r="BB75">
        <v>2628</v>
      </c>
      <c r="BC75">
        <v>2634</v>
      </c>
      <c r="BD75" t="s">
        <v>74</v>
      </c>
      <c r="BE75" t="s">
        <v>1555</v>
      </c>
      <c r="BF75" t="str">
        <f>HYPERLINK("http://dx.doi.org/10.1007/s11434-011-4590-0","http://dx.doi.org/10.1007/s11434-011-4590-0")</f>
        <v>http://dx.doi.org/10.1007/s11434-011-4590-0</v>
      </c>
      <c r="BG75" t="s">
        <v>74</v>
      </c>
      <c r="BH75" t="s">
        <v>74</v>
      </c>
      <c r="BI75">
        <v>7</v>
      </c>
      <c r="BJ75" t="s">
        <v>177</v>
      </c>
      <c r="BK75" t="s">
        <v>100</v>
      </c>
      <c r="BL75" t="s">
        <v>178</v>
      </c>
      <c r="BM75" t="s">
        <v>1556</v>
      </c>
      <c r="BN75" t="s">
        <v>74</v>
      </c>
      <c r="BO75" t="s">
        <v>1557</v>
      </c>
      <c r="BP75" t="s">
        <v>74</v>
      </c>
      <c r="BQ75" t="s">
        <v>74</v>
      </c>
      <c r="BR75" t="s">
        <v>103</v>
      </c>
      <c r="BS75" t="s">
        <v>1558</v>
      </c>
      <c r="BT75" t="str">
        <f>HYPERLINK("https%3A%2F%2Fwww.webofscience.com%2Fwos%2Fwoscc%2Ffull-record%2FWOS:000293635000018","View Full Record in Web of Science")</f>
        <v>View Full Record in Web of Science</v>
      </c>
    </row>
    <row r="76" spans="1:72" x14ac:dyDescent="0.15">
      <c r="A76" t="s">
        <v>72</v>
      </c>
      <c r="B76" t="s">
        <v>1559</v>
      </c>
      <c r="C76" t="s">
        <v>74</v>
      </c>
      <c r="D76" t="s">
        <v>74</v>
      </c>
      <c r="E76" t="s">
        <v>74</v>
      </c>
      <c r="F76" t="s">
        <v>1560</v>
      </c>
      <c r="G76" t="s">
        <v>74</v>
      </c>
      <c r="H76" t="s">
        <v>74</v>
      </c>
      <c r="I76" t="s">
        <v>1561</v>
      </c>
      <c r="J76" t="s">
        <v>1562</v>
      </c>
      <c r="K76" t="s">
        <v>74</v>
      </c>
      <c r="L76" t="s">
        <v>74</v>
      </c>
      <c r="M76" t="s">
        <v>78</v>
      </c>
      <c r="N76" t="s">
        <v>79</v>
      </c>
      <c r="O76" t="s">
        <v>74</v>
      </c>
      <c r="P76" t="s">
        <v>74</v>
      </c>
      <c r="Q76" t="s">
        <v>74</v>
      </c>
      <c r="R76" t="s">
        <v>74</v>
      </c>
      <c r="S76" t="s">
        <v>74</v>
      </c>
      <c r="T76" t="s">
        <v>74</v>
      </c>
      <c r="U76" t="s">
        <v>1563</v>
      </c>
      <c r="V76" t="s">
        <v>1564</v>
      </c>
      <c r="W76" t="s">
        <v>1565</v>
      </c>
      <c r="X76" t="s">
        <v>1566</v>
      </c>
      <c r="Y76" t="s">
        <v>1567</v>
      </c>
      <c r="Z76" t="s">
        <v>1568</v>
      </c>
      <c r="AA76" t="s">
        <v>1569</v>
      </c>
      <c r="AB76" t="s">
        <v>1570</v>
      </c>
      <c r="AC76" t="s">
        <v>74</v>
      </c>
      <c r="AD76" t="s">
        <v>74</v>
      </c>
      <c r="AE76" t="s">
        <v>74</v>
      </c>
      <c r="AF76" t="s">
        <v>74</v>
      </c>
      <c r="AG76">
        <v>62</v>
      </c>
      <c r="AH76">
        <v>4</v>
      </c>
      <c r="AI76">
        <v>5</v>
      </c>
      <c r="AJ76">
        <v>0</v>
      </c>
      <c r="AK76">
        <v>22</v>
      </c>
      <c r="AL76" t="s">
        <v>1571</v>
      </c>
      <c r="AM76" t="s">
        <v>1572</v>
      </c>
      <c r="AN76" t="s">
        <v>1573</v>
      </c>
      <c r="AO76" t="s">
        <v>1574</v>
      </c>
      <c r="AP76" t="s">
        <v>1575</v>
      </c>
      <c r="AQ76" t="s">
        <v>74</v>
      </c>
      <c r="AR76" t="s">
        <v>1576</v>
      </c>
      <c r="AS76" t="s">
        <v>1577</v>
      </c>
      <c r="AT76" t="s">
        <v>629</v>
      </c>
      <c r="AU76">
        <v>2011</v>
      </c>
      <c r="AV76">
        <v>158</v>
      </c>
      <c r="AW76">
        <v>8</v>
      </c>
      <c r="AX76" t="s">
        <v>74</v>
      </c>
      <c r="AY76" t="s">
        <v>74</v>
      </c>
      <c r="AZ76" t="s">
        <v>74</v>
      </c>
      <c r="BA76" t="s">
        <v>74</v>
      </c>
      <c r="BB76">
        <v>1743</v>
      </c>
      <c r="BC76">
        <v>1755</v>
      </c>
      <c r="BD76" t="s">
        <v>74</v>
      </c>
      <c r="BE76" t="s">
        <v>1578</v>
      </c>
      <c r="BF76" t="str">
        <f>HYPERLINK("http://dx.doi.org/10.1007/s00227-011-1688-5","http://dx.doi.org/10.1007/s00227-011-1688-5")</f>
        <v>http://dx.doi.org/10.1007/s00227-011-1688-5</v>
      </c>
      <c r="BG76" t="s">
        <v>74</v>
      </c>
      <c r="BH76" t="s">
        <v>74</v>
      </c>
      <c r="BI76">
        <v>13</v>
      </c>
      <c r="BJ76" t="s">
        <v>700</v>
      </c>
      <c r="BK76" t="s">
        <v>100</v>
      </c>
      <c r="BL76" t="s">
        <v>700</v>
      </c>
      <c r="BM76" t="s">
        <v>1579</v>
      </c>
      <c r="BN76" t="s">
        <v>74</v>
      </c>
      <c r="BO76" t="s">
        <v>74</v>
      </c>
      <c r="BP76" t="s">
        <v>74</v>
      </c>
      <c r="BQ76" t="s">
        <v>74</v>
      </c>
      <c r="BR76" t="s">
        <v>103</v>
      </c>
      <c r="BS76" t="s">
        <v>1580</v>
      </c>
      <c r="BT76" t="str">
        <f>HYPERLINK("https%3A%2F%2Fwww.webofscience.com%2Fwos%2Fwoscc%2Ffull-record%2FWOS:000293001400007","View Full Record in Web of Science")</f>
        <v>View Full Record in Web of Science</v>
      </c>
    </row>
    <row r="77" spans="1:72" x14ac:dyDescent="0.15">
      <c r="A77" t="s">
        <v>72</v>
      </c>
      <c r="B77" t="s">
        <v>1581</v>
      </c>
      <c r="C77" t="s">
        <v>74</v>
      </c>
      <c r="D77" t="s">
        <v>74</v>
      </c>
      <c r="E77" t="s">
        <v>74</v>
      </c>
      <c r="F77" t="s">
        <v>1582</v>
      </c>
      <c r="G77" t="s">
        <v>74</v>
      </c>
      <c r="H77" t="s">
        <v>74</v>
      </c>
      <c r="I77" t="s">
        <v>1583</v>
      </c>
      <c r="J77" t="s">
        <v>1562</v>
      </c>
      <c r="K77" t="s">
        <v>74</v>
      </c>
      <c r="L77" t="s">
        <v>74</v>
      </c>
      <c r="M77" t="s">
        <v>78</v>
      </c>
      <c r="N77" t="s">
        <v>79</v>
      </c>
      <c r="O77" t="s">
        <v>74</v>
      </c>
      <c r="P77" t="s">
        <v>74</v>
      </c>
      <c r="Q77" t="s">
        <v>74</v>
      </c>
      <c r="R77" t="s">
        <v>74</v>
      </c>
      <c r="S77" t="s">
        <v>74</v>
      </c>
      <c r="T77" t="s">
        <v>74</v>
      </c>
      <c r="U77" t="s">
        <v>1584</v>
      </c>
      <c r="V77" t="s">
        <v>1585</v>
      </c>
      <c r="W77" t="s">
        <v>1586</v>
      </c>
      <c r="X77" t="s">
        <v>1587</v>
      </c>
      <c r="Y77" t="s">
        <v>1588</v>
      </c>
      <c r="Z77" t="s">
        <v>1589</v>
      </c>
      <c r="AA77" t="s">
        <v>1590</v>
      </c>
      <c r="AB77" t="s">
        <v>1591</v>
      </c>
      <c r="AC77" t="s">
        <v>1592</v>
      </c>
      <c r="AD77" t="s">
        <v>1593</v>
      </c>
      <c r="AE77" t="s">
        <v>1594</v>
      </c>
      <c r="AF77" t="s">
        <v>74</v>
      </c>
      <c r="AG77">
        <v>41</v>
      </c>
      <c r="AH77">
        <v>20</v>
      </c>
      <c r="AI77">
        <v>23</v>
      </c>
      <c r="AJ77">
        <v>0</v>
      </c>
      <c r="AK77">
        <v>21</v>
      </c>
      <c r="AL77" t="s">
        <v>1441</v>
      </c>
      <c r="AM77" t="s">
        <v>91</v>
      </c>
      <c r="AN77" t="s">
        <v>1595</v>
      </c>
      <c r="AO77" t="s">
        <v>1574</v>
      </c>
      <c r="AP77" t="s">
        <v>74</v>
      </c>
      <c r="AQ77" t="s">
        <v>74</v>
      </c>
      <c r="AR77" t="s">
        <v>1576</v>
      </c>
      <c r="AS77" t="s">
        <v>1577</v>
      </c>
      <c r="AT77" t="s">
        <v>629</v>
      </c>
      <c r="AU77">
        <v>2011</v>
      </c>
      <c r="AV77">
        <v>158</v>
      </c>
      <c r="AW77">
        <v>8</v>
      </c>
      <c r="AX77" t="s">
        <v>74</v>
      </c>
      <c r="AY77" t="s">
        <v>74</v>
      </c>
      <c r="AZ77" t="s">
        <v>74</v>
      </c>
      <c r="BA77" t="s">
        <v>74</v>
      </c>
      <c r="BB77">
        <v>1879</v>
      </c>
      <c r="BC77">
        <v>1885</v>
      </c>
      <c r="BD77" t="s">
        <v>74</v>
      </c>
      <c r="BE77" t="s">
        <v>1596</v>
      </c>
      <c r="BF77" t="str">
        <f>HYPERLINK("http://dx.doi.org/10.1007/s00227-011-1700-0","http://dx.doi.org/10.1007/s00227-011-1700-0")</f>
        <v>http://dx.doi.org/10.1007/s00227-011-1700-0</v>
      </c>
      <c r="BG77" t="s">
        <v>74</v>
      </c>
      <c r="BH77" t="s">
        <v>74</v>
      </c>
      <c r="BI77">
        <v>7</v>
      </c>
      <c r="BJ77" t="s">
        <v>700</v>
      </c>
      <c r="BK77" t="s">
        <v>100</v>
      </c>
      <c r="BL77" t="s">
        <v>700</v>
      </c>
      <c r="BM77" t="s">
        <v>1579</v>
      </c>
      <c r="BN77" t="s">
        <v>74</v>
      </c>
      <c r="BO77" t="s">
        <v>74</v>
      </c>
      <c r="BP77" t="s">
        <v>74</v>
      </c>
      <c r="BQ77" t="s">
        <v>74</v>
      </c>
      <c r="BR77" t="s">
        <v>103</v>
      </c>
      <c r="BS77" t="s">
        <v>1597</v>
      </c>
      <c r="BT77" t="str">
        <f>HYPERLINK("https%3A%2F%2Fwww.webofscience.com%2Fwos%2Fwoscc%2Ffull-record%2FWOS:000293001400018","View Full Record in Web of Science")</f>
        <v>View Full Record in Web of Science</v>
      </c>
    </row>
    <row r="78" spans="1:72" x14ac:dyDescent="0.15">
      <c r="A78" t="s">
        <v>72</v>
      </c>
      <c r="B78" t="s">
        <v>1598</v>
      </c>
      <c r="C78" t="s">
        <v>74</v>
      </c>
      <c r="D78" t="s">
        <v>74</v>
      </c>
      <c r="E78" t="s">
        <v>74</v>
      </c>
      <c r="F78" t="s">
        <v>1599</v>
      </c>
      <c r="G78" t="s">
        <v>74</v>
      </c>
      <c r="H78" t="s">
        <v>74</v>
      </c>
      <c r="I78" t="s">
        <v>1600</v>
      </c>
      <c r="J78" t="s">
        <v>707</v>
      </c>
      <c r="K78" t="s">
        <v>74</v>
      </c>
      <c r="L78" t="s">
        <v>74</v>
      </c>
      <c r="M78" t="s">
        <v>78</v>
      </c>
      <c r="N78" t="s">
        <v>79</v>
      </c>
      <c r="O78" t="s">
        <v>74</v>
      </c>
      <c r="P78" t="s">
        <v>74</v>
      </c>
      <c r="Q78" t="s">
        <v>74</v>
      </c>
      <c r="R78" t="s">
        <v>74</v>
      </c>
      <c r="S78" t="s">
        <v>74</v>
      </c>
      <c r="T78" t="s">
        <v>1601</v>
      </c>
      <c r="U78" t="s">
        <v>1602</v>
      </c>
      <c r="V78" t="s">
        <v>1603</v>
      </c>
      <c r="W78" t="s">
        <v>1604</v>
      </c>
      <c r="X78" t="s">
        <v>1605</v>
      </c>
      <c r="Y78" t="s">
        <v>1606</v>
      </c>
      <c r="Z78" t="s">
        <v>1607</v>
      </c>
      <c r="AA78" t="s">
        <v>1608</v>
      </c>
      <c r="AB78" t="s">
        <v>1609</v>
      </c>
      <c r="AC78" t="s">
        <v>1610</v>
      </c>
      <c r="AD78" t="s">
        <v>1611</v>
      </c>
      <c r="AE78" t="s">
        <v>1612</v>
      </c>
      <c r="AF78" t="s">
        <v>74</v>
      </c>
      <c r="AG78">
        <v>34</v>
      </c>
      <c r="AH78">
        <v>19</v>
      </c>
      <c r="AI78">
        <v>19</v>
      </c>
      <c r="AJ78">
        <v>0</v>
      </c>
      <c r="AK78">
        <v>29</v>
      </c>
      <c r="AL78" t="s">
        <v>693</v>
      </c>
      <c r="AM78" t="s">
        <v>91</v>
      </c>
      <c r="AN78" t="s">
        <v>694</v>
      </c>
      <c r="AO78" t="s">
        <v>717</v>
      </c>
      <c r="AP78" t="s">
        <v>718</v>
      </c>
      <c r="AQ78" t="s">
        <v>74</v>
      </c>
      <c r="AR78" t="s">
        <v>719</v>
      </c>
      <c r="AS78" t="s">
        <v>720</v>
      </c>
      <c r="AT78" t="s">
        <v>629</v>
      </c>
      <c r="AU78">
        <v>2011</v>
      </c>
      <c r="AV78">
        <v>23</v>
      </c>
      <c r="AW78">
        <v>4</v>
      </c>
      <c r="AX78" t="s">
        <v>74</v>
      </c>
      <c r="AY78" t="s">
        <v>74</v>
      </c>
      <c r="AZ78" t="s">
        <v>74</v>
      </c>
      <c r="BA78" t="s">
        <v>74</v>
      </c>
      <c r="BB78">
        <v>349</v>
      </c>
      <c r="BC78">
        <v>357</v>
      </c>
      <c r="BD78" t="s">
        <v>74</v>
      </c>
      <c r="BE78" t="s">
        <v>1613</v>
      </c>
      <c r="BF78" t="str">
        <f>HYPERLINK("http://dx.doi.org/10.1017/S0954102011000174","http://dx.doi.org/10.1017/S0954102011000174")</f>
        <v>http://dx.doi.org/10.1017/S0954102011000174</v>
      </c>
      <c r="BG78" t="s">
        <v>74</v>
      </c>
      <c r="BH78" t="s">
        <v>74</v>
      </c>
      <c r="BI78">
        <v>9</v>
      </c>
      <c r="BJ78" t="s">
        <v>722</v>
      </c>
      <c r="BK78" t="s">
        <v>100</v>
      </c>
      <c r="BL78" t="s">
        <v>723</v>
      </c>
      <c r="BM78" t="s">
        <v>724</v>
      </c>
      <c r="BN78" t="s">
        <v>74</v>
      </c>
      <c r="BO78" t="s">
        <v>74</v>
      </c>
      <c r="BP78" t="s">
        <v>74</v>
      </c>
      <c r="BQ78" t="s">
        <v>74</v>
      </c>
      <c r="BR78" t="s">
        <v>103</v>
      </c>
      <c r="BS78" t="s">
        <v>1614</v>
      </c>
      <c r="BT78" t="str">
        <f>HYPERLINK("https%3A%2F%2Fwww.webofscience.com%2Fwos%2Fwoscc%2Ffull-record%2FWOS:000293337000006","View Full Record in Web of Science")</f>
        <v>View Full Record in Web of Science</v>
      </c>
    </row>
    <row r="79" spans="1:72" x14ac:dyDescent="0.15">
      <c r="A79" t="s">
        <v>72</v>
      </c>
      <c r="B79" t="s">
        <v>1615</v>
      </c>
      <c r="C79" t="s">
        <v>74</v>
      </c>
      <c r="D79" t="s">
        <v>74</v>
      </c>
      <c r="E79" t="s">
        <v>74</v>
      </c>
      <c r="F79" t="s">
        <v>1616</v>
      </c>
      <c r="G79" t="s">
        <v>74</v>
      </c>
      <c r="H79" t="s">
        <v>74</v>
      </c>
      <c r="I79" t="s">
        <v>1617</v>
      </c>
      <c r="J79" t="s">
        <v>707</v>
      </c>
      <c r="K79" t="s">
        <v>74</v>
      </c>
      <c r="L79" t="s">
        <v>74</v>
      </c>
      <c r="M79" t="s">
        <v>78</v>
      </c>
      <c r="N79" t="s">
        <v>79</v>
      </c>
      <c r="O79" t="s">
        <v>74</v>
      </c>
      <c r="P79" t="s">
        <v>74</v>
      </c>
      <c r="Q79" t="s">
        <v>74</v>
      </c>
      <c r="R79" t="s">
        <v>74</v>
      </c>
      <c r="S79" t="s">
        <v>74</v>
      </c>
      <c r="T79" t="s">
        <v>1618</v>
      </c>
      <c r="U79" t="s">
        <v>1619</v>
      </c>
      <c r="V79" t="s">
        <v>1620</v>
      </c>
      <c r="W79" t="s">
        <v>1621</v>
      </c>
      <c r="X79" t="s">
        <v>1622</v>
      </c>
      <c r="Y79" t="s">
        <v>1623</v>
      </c>
      <c r="Z79" t="s">
        <v>1624</v>
      </c>
      <c r="AA79" t="s">
        <v>1625</v>
      </c>
      <c r="AB79" t="s">
        <v>1626</v>
      </c>
      <c r="AC79" t="s">
        <v>1627</v>
      </c>
      <c r="AD79" t="s">
        <v>1628</v>
      </c>
      <c r="AE79" t="s">
        <v>1629</v>
      </c>
      <c r="AF79" t="s">
        <v>74</v>
      </c>
      <c r="AG79">
        <v>50</v>
      </c>
      <c r="AH79">
        <v>5</v>
      </c>
      <c r="AI79">
        <v>5</v>
      </c>
      <c r="AJ79">
        <v>0</v>
      </c>
      <c r="AK79">
        <v>21</v>
      </c>
      <c r="AL79" t="s">
        <v>693</v>
      </c>
      <c r="AM79" t="s">
        <v>91</v>
      </c>
      <c r="AN79" t="s">
        <v>694</v>
      </c>
      <c r="AO79" t="s">
        <v>717</v>
      </c>
      <c r="AP79" t="s">
        <v>74</v>
      </c>
      <c r="AQ79" t="s">
        <v>74</v>
      </c>
      <c r="AR79" t="s">
        <v>719</v>
      </c>
      <c r="AS79" t="s">
        <v>720</v>
      </c>
      <c r="AT79" t="s">
        <v>629</v>
      </c>
      <c r="AU79">
        <v>2011</v>
      </c>
      <c r="AV79">
        <v>23</v>
      </c>
      <c r="AW79">
        <v>4</v>
      </c>
      <c r="AX79" t="s">
        <v>74</v>
      </c>
      <c r="AY79" t="s">
        <v>74</v>
      </c>
      <c r="AZ79" t="s">
        <v>74</v>
      </c>
      <c r="BA79" t="s">
        <v>74</v>
      </c>
      <c r="BB79">
        <v>358</v>
      </c>
      <c r="BC79">
        <v>368</v>
      </c>
      <c r="BD79" t="s">
        <v>74</v>
      </c>
      <c r="BE79" t="s">
        <v>1630</v>
      </c>
      <c r="BF79" t="str">
        <f>HYPERLINK("http://dx.doi.org/10.1017/S0954102011000137","http://dx.doi.org/10.1017/S0954102011000137")</f>
        <v>http://dx.doi.org/10.1017/S0954102011000137</v>
      </c>
      <c r="BG79" t="s">
        <v>74</v>
      </c>
      <c r="BH79" t="s">
        <v>74</v>
      </c>
      <c r="BI79">
        <v>11</v>
      </c>
      <c r="BJ79" t="s">
        <v>722</v>
      </c>
      <c r="BK79" t="s">
        <v>100</v>
      </c>
      <c r="BL79" t="s">
        <v>723</v>
      </c>
      <c r="BM79" t="s">
        <v>724</v>
      </c>
      <c r="BN79" t="s">
        <v>74</v>
      </c>
      <c r="BO79" t="s">
        <v>74</v>
      </c>
      <c r="BP79" t="s">
        <v>74</v>
      </c>
      <c r="BQ79" t="s">
        <v>74</v>
      </c>
      <c r="BR79" t="s">
        <v>103</v>
      </c>
      <c r="BS79" t="s">
        <v>1631</v>
      </c>
      <c r="BT79" t="str">
        <f>HYPERLINK("https%3A%2F%2Fwww.webofscience.com%2Fwos%2Fwoscc%2Ffull-record%2FWOS:000293337000007","View Full Record in Web of Science")</f>
        <v>View Full Record in Web of Science</v>
      </c>
    </row>
    <row r="80" spans="1:72" x14ac:dyDescent="0.15">
      <c r="A80" t="s">
        <v>72</v>
      </c>
      <c r="B80" t="s">
        <v>1632</v>
      </c>
      <c r="C80" t="s">
        <v>74</v>
      </c>
      <c r="D80" t="s">
        <v>74</v>
      </c>
      <c r="E80" t="s">
        <v>74</v>
      </c>
      <c r="F80" t="s">
        <v>1633</v>
      </c>
      <c r="G80" t="s">
        <v>74</v>
      </c>
      <c r="H80" t="s">
        <v>74</v>
      </c>
      <c r="I80" t="s">
        <v>1634</v>
      </c>
      <c r="J80" t="s">
        <v>707</v>
      </c>
      <c r="K80" t="s">
        <v>74</v>
      </c>
      <c r="L80" t="s">
        <v>74</v>
      </c>
      <c r="M80" t="s">
        <v>78</v>
      </c>
      <c r="N80" t="s">
        <v>79</v>
      </c>
      <c r="O80" t="s">
        <v>74</v>
      </c>
      <c r="P80" t="s">
        <v>74</v>
      </c>
      <c r="Q80" t="s">
        <v>74</v>
      </c>
      <c r="R80" t="s">
        <v>74</v>
      </c>
      <c r="S80" t="s">
        <v>74</v>
      </c>
      <c r="T80" t="s">
        <v>1635</v>
      </c>
      <c r="U80" t="s">
        <v>1636</v>
      </c>
      <c r="V80" t="s">
        <v>1637</v>
      </c>
      <c r="W80" t="s">
        <v>1638</v>
      </c>
      <c r="X80" t="s">
        <v>1639</v>
      </c>
      <c r="Y80" t="s">
        <v>1640</v>
      </c>
      <c r="Z80" t="s">
        <v>1641</v>
      </c>
      <c r="AA80" t="s">
        <v>1642</v>
      </c>
      <c r="AB80" t="s">
        <v>1643</v>
      </c>
      <c r="AC80" t="s">
        <v>1644</v>
      </c>
      <c r="AD80" t="s">
        <v>1645</v>
      </c>
      <c r="AE80" t="s">
        <v>1646</v>
      </c>
      <c r="AF80" t="s">
        <v>74</v>
      </c>
      <c r="AG80">
        <v>40</v>
      </c>
      <c r="AH80">
        <v>10</v>
      </c>
      <c r="AI80">
        <v>11</v>
      </c>
      <c r="AJ80">
        <v>0</v>
      </c>
      <c r="AK80">
        <v>7</v>
      </c>
      <c r="AL80" t="s">
        <v>693</v>
      </c>
      <c r="AM80" t="s">
        <v>91</v>
      </c>
      <c r="AN80" t="s">
        <v>694</v>
      </c>
      <c r="AO80" t="s">
        <v>717</v>
      </c>
      <c r="AP80" t="s">
        <v>718</v>
      </c>
      <c r="AQ80" t="s">
        <v>74</v>
      </c>
      <c r="AR80" t="s">
        <v>719</v>
      </c>
      <c r="AS80" t="s">
        <v>720</v>
      </c>
      <c r="AT80" t="s">
        <v>629</v>
      </c>
      <c r="AU80">
        <v>2011</v>
      </c>
      <c r="AV80">
        <v>23</v>
      </c>
      <c r="AW80">
        <v>4</v>
      </c>
      <c r="AX80" t="s">
        <v>74</v>
      </c>
      <c r="AY80" t="s">
        <v>74</v>
      </c>
      <c r="AZ80" t="s">
        <v>74</v>
      </c>
      <c r="BA80" t="s">
        <v>74</v>
      </c>
      <c r="BB80">
        <v>369</v>
      </c>
      <c r="BC80">
        <v>378</v>
      </c>
      <c r="BD80" t="s">
        <v>74</v>
      </c>
      <c r="BE80" t="s">
        <v>1647</v>
      </c>
      <c r="BF80" t="str">
        <f>HYPERLINK("http://dx.doi.org/10.1017/S0954102011000216","http://dx.doi.org/10.1017/S0954102011000216")</f>
        <v>http://dx.doi.org/10.1017/S0954102011000216</v>
      </c>
      <c r="BG80" t="s">
        <v>74</v>
      </c>
      <c r="BH80" t="s">
        <v>74</v>
      </c>
      <c r="BI80">
        <v>10</v>
      </c>
      <c r="BJ80" t="s">
        <v>722</v>
      </c>
      <c r="BK80" t="s">
        <v>100</v>
      </c>
      <c r="BL80" t="s">
        <v>723</v>
      </c>
      <c r="BM80" t="s">
        <v>724</v>
      </c>
      <c r="BN80" t="s">
        <v>74</v>
      </c>
      <c r="BO80" t="s">
        <v>74</v>
      </c>
      <c r="BP80" t="s">
        <v>74</v>
      </c>
      <c r="BQ80" t="s">
        <v>74</v>
      </c>
      <c r="BR80" t="s">
        <v>103</v>
      </c>
      <c r="BS80" t="s">
        <v>1648</v>
      </c>
      <c r="BT80" t="str">
        <f>HYPERLINK("https%3A%2F%2Fwww.webofscience.com%2Fwos%2Fwoscc%2Ffull-record%2FWOS:000293337000008","View Full Record in Web of Science")</f>
        <v>View Full Record in Web of Science</v>
      </c>
    </row>
    <row r="81" spans="1:72" x14ac:dyDescent="0.15">
      <c r="A81" t="s">
        <v>72</v>
      </c>
      <c r="B81" t="s">
        <v>1649</v>
      </c>
      <c r="C81" t="s">
        <v>74</v>
      </c>
      <c r="D81" t="s">
        <v>74</v>
      </c>
      <c r="E81" t="s">
        <v>74</v>
      </c>
      <c r="F81" t="s">
        <v>1650</v>
      </c>
      <c r="G81" t="s">
        <v>74</v>
      </c>
      <c r="H81" t="s">
        <v>74</v>
      </c>
      <c r="I81" t="s">
        <v>1651</v>
      </c>
      <c r="J81" t="s">
        <v>707</v>
      </c>
      <c r="K81" t="s">
        <v>74</v>
      </c>
      <c r="L81" t="s">
        <v>74</v>
      </c>
      <c r="M81" t="s">
        <v>78</v>
      </c>
      <c r="N81" t="s">
        <v>79</v>
      </c>
      <c r="O81" t="s">
        <v>74</v>
      </c>
      <c r="P81" t="s">
        <v>74</v>
      </c>
      <c r="Q81" t="s">
        <v>74</v>
      </c>
      <c r="R81" t="s">
        <v>74</v>
      </c>
      <c r="S81" t="s">
        <v>74</v>
      </c>
      <c r="T81" t="s">
        <v>1652</v>
      </c>
      <c r="U81" t="s">
        <v>1653</v>
      </c>
      <c r="V81" t="s">
        <v>1654</v>
      </c>
      <c r="W81" t="s">
        <v>1655</v>
      </c>
      <c r="X81" t="s">
        <v>1656</v>
      </c>
      <c r="Y81" t="s">
        <v>1657</v>
      </c>
      <c r="Z81" t="s">
        <v>1658</v>
      </c>
      <c r="AA81" t="s">
        <v>74</v>
      </c>
      <c r="AB81" t="s">
        <v>1659</v>
      </c>
      <c r="AC81" t="s">
        <v>1660</v>
      </c>
      <c r="AD81" t="s">
        <v>1661</v>
      </c>
      <c r="AE81" t="s">
        <v>1662</v>
      </c>
      <c r="AF81" t="s">
        <v>74</v>
      </c>
      <c r="AG81">
        <v>28</v>
      </c>
      <c r="AH81">
        <v>12</v>
      </c>
      <c r="AI81">
        <v>13</v>
      </c>
      <c r="AJ81">
        <v>1</v>
      </c>
      <c r="AK81">
        <v>9</v>
      </c>
      <c r="AL81" t="s">
        <v>693</v>
      </c>
      <c r="AM81" t="s">
        <v>91</v>
      </c>
      <c r="AN81" t="s">
        <v>694</v>
      </c>
      <c r="AO81" t="s">
        <v>717</v>
      </c>
      <c r="AP81" t="s">
        <v>718</v>
      </c>
      <c r="AQ81" t="s">
        <v>74</v>
      </c>
      <c r="AR81" t="s">
        <v>719</v>
      </c>
      <c r="AS81" t="s">
        <v>720</v>
      </c>
      <c r="AT81" t="s">
        <v>629</v>
      </c>
      <c r="AU81">
        <v>2011</v>
      </c>
      <c r="AV81">
        <v>23</v>
      </c>
      <c r="AW81">
        <v>4</v>
      </c>
      <c r="AX81" t="s">
        <v>74</v>
      </c>
      <c r="AY81" t="s">
        <v>74</v>
      </c>
      <c r="AZ81" t="s">
        <v>74</v>
      </c>
      <c r="BA81" t="s">
        <v>74</v>
      </c>
      <c r="BB81">
        <v>379</v>
      </c>
      <c r="BC81">
        <v>385</v>
      </c>
      <c r="BD81" t="s">
        <v>74</v>
      </c>
      <c r="BE81" t="s">
        <v>1663</v>
      </c>
      <c r="BF81" t="str">
        <f>HYPERLINK("http://dx.doi.org/10.1017/S0954102011000241","http://dx.doi.org/10.1017/S0954102011000241")</f>
        <v>http://dx.doi.org/10.1017/S0954102011000241</v>
      </c>
      <c r="BG81" t="s">
        <v>74</v>
      </c>
      <c r="BH81" t="s">
        <v>74</v>
      </c>
      <c r="BI81">
        <v>7</v>
      </c>
      <c r="BJ81" t="s">
        <v>722</v>
      </c>
      <c r="BK81" t="s">
        <v>100</v>
      </c>
      <c r="BL81" t="s">
        <v>723</v>
      </c>
      <c r="BM81" t="s">
        <v>724</v>
      </c>
      <c r="BN81" t="s">
        <v>74</v>
      </c>
      <c r="BO81" t="s">
        <v>1025</v>
      </c>
      <c r="BP81" t="s">
        <v>74</v>
      </c>
      <c r="BQ81" t="s">
        <v>74</v>
      </c>
      <c r="BR81" t="s">
        <v>103</v>
      </c>
      <c r="BS81" t="s">
        <v>1664</v>
      </c>
      <c r="BT81" t="str">
        <f>HYPERLINK("https%3A%2F%2Fwww.webofscience.com%2Fwos%2Fwoscc%2Ffull-record%2FWOS:000293337000009","View Full Record in Web of Science")</f>
        <v>View Full Record in Web of Science</v>
      </c>
    </row>
    <row r="82" spans="1:72" x14ac:dyDescent="0.15">
      <c r="A82" t="s">
        <v>72</v>
      </c>
      <c r="B82" t="s">
        <v>1665</v>
      </c>
      <c r="C82" t="s">
        <v>74</v>
      </c>
      <c r="D82" t="s">
        <v>74</v>
      </c>
      <c r="E82" t="s">
        <v>74</v>
      </c>
      <c r="F82" t="s">
        <v>1666</v>
      </c>
      <c r="G82" t="s">
        <v>74</v>
      </c>
      <c r="H82" t="s">
        <v>74</v>
      </c>
      <c r="I82" t="s">
        <v>1667</v>
      </c>
      <c r="J82" t="s">
        <v>707</v>
      </c>
      <c r="K82" t="s">
        <v>74</v>
      </c>
      <c r="L82" t="s">
        <v>74</v>
      </c>
      <c r="M82" t="s">
        <v>78</v>
      </c>
      <c r="N82" t="s">
        <v>79</v>
      </c>
      <c r="O82" t="s">
        <v>74</v>
      </c>
      <c r="P82" t="s">
        <v>74</v>
      </c>
      <c r="Q82" t="s">
        <v>74</v>
      </c>
      <c r="R82" t="s">
        <v>74</v>
      </c>
      <c r="S82" t="s">
        <v>74</v>
      </c>
      <c r="T82" t="s">
        <v>1668</v>
      </c>
      <c r="U82" t="s">
        <v>1669</v>
      </c>
      <c r="V82" t="s">
        <v>1670</v>
      </c>
      <c r="W82" t="s">
        <v>1671</v>
      </c>
      <c r="X82" t="s">
        <v>1672</v>
      </c>
      <c r="Y82" t="s">
        <v>1673</v>
      </c>
      <c r="Z82" t="s">
        <v>1674</v>
      </c>
      <c r="AA82" t="s">
        <v>1675</v>
      </c>
      <c r="AB82" t="s">
        <v>1676</v>
      </c>
      <c r="AC82" t="s">
        <v>1677</v>
      </c>
      <c r="AD82" t="s">
        <v>1677</v>
      </c>
      <c r="AE82" t="s">
        <v>1678</v>
      </c>
      <c r="AF82" t="s">
        <v>74</v>
      </c>
      <c r="AG82">
        <v>40</v>
      </c>
      <c r="AH82">
        <v>5</v>
      </c>
      <c r="AI82">
        <v>6</v>
      </c>
      <c r="AJ82">
        <v>0</v>
      </c>
      <c r="AK82">
        <v>10</v>
      </c>
      <c r="AL82" t="s">
        <v>693</v>
      </c>
      <c r="AM82" t="s">
        <v>91</v>
      </c>
      <c r="AN82" t="s">
        <v>694</v>
      </c>
      <c r="AO82" t="s">
        <v>717</v>
      </c>
      <c r="AP82" t="s">
        <v>718</v>
      </c>
      <c r="AQ82" t="s">
        <v>74</v>
      </c>
      <c r="AR82" t="s">
        <v>719</v>
      </c>
      <c r="AS82" t="s">
        <v>720</v>
      </c>
      <c r="AT82" t="s">
        <v>629</v>
      </c>
      <c r="AU82">
        <v>2011</v>
      </c>
      <c r="AV82">
        <v>23</v>
      </c>
      <c r="AW82">
        <v>4</v>
      </c>
      <c r="AX82" t="s">
        <v>74</v>
      </c>
      <c r="AY82" t="s">
        <v>74</v>
      </c>
      <c r="AZ82" t="s">
        <v>74</v>
      </c>
      <c r="BA82" t="s">
        <v>74</v>
      </c>
      <c r="BB82">
        <v>389</v>
      </c>
      <c r="BC82">
        <v>398</v>
      </c>
      <c r="BD82" t="s">
        <v>74</v>
      </c>
      <c r="BE82" t="s">
        <v>1679</v>
      </c>
      <c r="BF82" t="str">
        <f>HYPERLINK("http://dx.doi.org/10.1017/S0954102011000228","http://dx.doi.org/10.1017/S0954102011000228")</f>
        <v>http://dx.doi.org/10.1017/S0954102011000228</v>
      </c>
      <c r="BG82" t="s">
        <v>74</v>
      </c>
      <c r="BH82" t="s">
        <v>74</v>
      </c>
      <c r="BI82">
        <v>10</v>
      </c>
      <c r="BJ82" t="s">
        <v>722</v>
      </c>
      <c r="BK82" t="s">
        <v>100</v>
      </c>
      <c r="BL82" t="s">
        <v>723</v>
      </c>
      <c r="BM82" t="s">
        <v>724</v>
      </c>
      <c r="BN82" t="s">
        <v>74</v>
      </c>
      <c r="BO82" t="s">
        <v>74</v>
      </c>
      <c r="BP82" t="s">
        <v>74</v>
      </c>
      <c r="BQ82" t="s">
        <v>74</v>
      </c>
      <c r="BR82" t="s">
        <v>103</v>
      </c>
      <c r="BS82" t="s">
        <v>1680</v>
      </c>
      <c r="BT82" t="str">
        <f>HYPERLINK("https%3A%2F%2Fwww.webofscience.com%2Fwos%2Fwoscc%2Ffull-record%2FWOS:000293337000011","View Full Record in Web of Science")</f>
        <v>View Full Record in Web of Science</v>
      </c>
    </row>
    <row r="83" spans="1:72" x14ac:dyDescent="0.15">
      <c r="A83" t="s">
        <v>72</v>
      </c>
      <c r="B83" t="s">
        <v>1681</v>
      </c>
      <c r="C83" t="s">
        <v>74</v>
      </c>
      <c r="D83" t="s">
        <v>74</v>
      </c>
      <c r="E83" t="s">
        <v>74</v>
      </c>
      <c r="F83" t="s">
        <v>1682</v>
      </c>
      <c r="G83" t="s">
        <v>74</v>
      </c>
      <c r="H83" t="s">
        <v>74</v>
      </c>
      <c r="I83" t="s">
        <v>1683</v>
      </c>
      <c r="J83" t="s">
        <v>707</v>
      </c>
      <c r="K83" t="s">
        <v>74</v>
      </c>
      <c r="L83" t="s">
        <v>74</v>
      </c>
      <c r="M83" t="s">
        <v>78</v>
      </c>
      <c r="N83" t="s">
        <v>79</v>
      </c>
      <c r="O83" t="s">
        <v>74</v>
      </c>
      <c r="P83" t="s">
        <v>74</v>
      </c>
      <c r="Q83" t="s">
        <v>74</v>
      </c>
      <c r="R83" t="s">
        <v>74</v>
      </c>
      <c r="S83" t="s">
        <v>74</v>
      </c>
      <c r="T83" t="s">
        <v>1684</v>
      </c>
      <c r="U83" t="s">
        <v>1685</v>
      </c>
      <c r="V83" t="s">
        <v>1686</v>
      </c>
      <c r="W83" t="s">
        <v>1687</v>
      </c>
      <c r="X83" t="s">
        <v>1688</v>
      </c>
      <c r="Y83" t="s">
        <v>1689</v>
      </c>
      <c r="Z83" t="s">
        <v>1690</v>
      </c>
      <c r="AA83" t="s">
        <v>1691</v>
      </c>
      <c r="AB83" t="s">
        <v>1692</v>
      </c>
      <c r="AC83" t="s">
        <v>1693</v>
      </c>
      <c r="AD83" t="s">
        <v>1694</v>
      </c>
      <c r="AE83" t="s">
        <v>1695</v>
      </c>
      <c r="AF83" t="s">
        <v>74</v>
      </c>
      <c r="AG83">
        <v>59</v>
      </c>
      <c r="AH83">
        <v>33</v>
      </c>
      <c r="AI83">
        <v>33</v>
      </c>
      <c r="AJ83">
        <v>0</v>
      </c>
      <c r="AK83">
        <v>19</v>
      </c>
      <c r="AL83" t="s">
        <v>693</v>
      </c>
      <c r="AM83" t="s">
        <v>91</v>
      </c>
      <c r="AN83" t="s">
        <v>694</v>
      </c>
      <c r="AO83" t="s">
        <v>717</v>
      </c>
      <c r="AP83" t="s">
        <v>74</v>
      </c>
      <c r="AQ83" t="s">
        <v>74</v>
      </c>
      <c r="AR83" t="s">
        <v>719</v>
      </c>
      <c r="AS83" t="s">
        <v>720</v>
      </c>
      <c r="AT83" t="s">
        <v>629</v>
      </c>
      <c r="AU83">
        <v>2011</v>
      </c>
      <c r="AV83">
        <v>23</v>
      </c>
      <c r="AW83">
        <v>4</v>
      </c>
      <c r="AX83" t="s">
        <v>74</v>
      </c>
      <c r="AY83" t="s">
        <v>74</v>
      </c>
      <c r="AZ83" t="s">
        <v>74</v>
      </c>
      <c r="BA83" t="s">
        <v>74</v>
      </c>
      <c r="BB83">
        <v>399</v>
      </c>
      <c r="BC83">
        <v>409</v>
      </c>
      <c r="BD83" t="s">
        <v>74</v>
      </c>
      <c r="BE83" t="s">
        <v>1696</v>
      </c>
      <c r="BF83" t="str">
        <f>HYPERLINK("http://dx.doi.org/10.1017/S0954102011000265","http://dx.doi.org/10.1017/S0954102011000265")</f>
        <v>http://dx.doi.org/10.1017/S0954102011000265</v>
      </c>
      <c r="BG83" t="s">
        <v>74</v>
      </c>
      <c r="BH83" t="s">
        <v>74</v>
      </c>
      <c r="BI83">
        <v>11</v>
      </c>
      <c r="BJ83" t="s">
        <v>722</v>
      </c>
      <c r="BK83" t="s">
        <v>100</v>
      </c>
      <c r="BL83" t="s">
        <v>723</v>
      </c>
      <c r="BM83" t="s">
        <v>724</v>
      </c>
      <c r="BN83" t="s">
        <v>74</v>
      </c>
      <c r="BO83" t="s">
        <v>74</v>
      </c>
      <c r="BP83" t="s">
        <v>74</v>
      </c>
      <c r="BQ83" t="s">
        <v>74</v>
      </c>
      <c r="BR83" t="s">
        <v>103</v>
      </c>
      <c r="BS83" t="s">
        <v>1697</v>
      </c>
      <c r="BT83" t="str">
        <f>HYPERLINK("https%3A%2F%2Fwww.webofscience.com%2Fwos%2Fwoscc%2Ffull-record%2FWOS:000293337000012","View Full Record in Web of Science")</f>
        <v>View Full Record in Web of Science</v>
      </c>
    </row>
    <row r="84" spans="1:72" x14ac:dyDescent="0.15">
      <c r="A84" t="s">
        <v>72</v>
      </c>
      <c r="B84" t="s">
        <v>1698</v>
      </c>
      <c r="C84" t="s">
        <v>74</v>
      </c>
      <c r="D84" t="s">
        <v>74</v>
      </c>
      <c r="E84" t="s">
        <v>74</v>
      </c>
      <c r="F84" t="s">
        <v>1699</v>
      </c>
      <c r="G84" t="s">
        <v>74</v>
      </c>
      <c r="H84" t="s">
        <v>74</v>
      </c>
      <c r="I84" t="s">
        <v>1700</v>
      </c>
      <c r="J84" t="s">
        <v>1701</v>
      </c>
      <c r="K84" t="s">
        <v>74</v>
      </c>
      <c r="L84" t="s">
        <v>74</v>
      </c>
      <c r="M84" t="s">
        <v>78</v>
      </c>
      <c r="N84" t="s">
        <v>79</v>
      </c>
      <c r="O84" t="s">
        <v>74</v>
      </c>
      <c r="P84" t="s">
        <v>74</v>
      </c>
      <c r="Q84" t="s">
        <v>74</v>
      </c>
      <c r="R84" t="s">
        <v>74</v>
      </c>
      <c r="S84" t="s">
        <v>74</v>
      </c>
      <c r="T84" t="s">
        <v>74</v>
      </c>
      <c r="U84" t="s">
        <v>1702</v>
      </c>
      <c r="V84" t="s">
        <v>1703</v>
      </c>
      <c r="W84" t="s">
        <v>1704</v>
      </c>
      <c r="X84" t="s">
        <v>1705</v>
      </c>
      <c r="Y84" t="s">
        <v>1706</v>
      </c>
      <c r="Z84" t="s">
        <v>74</v>
      </c>
      <c r="AA84" t="s">
        <v>1707</v>
      </c>
      <c r="AB84" t="s">
        <v>1708</v>
      </c>
      <c r="AC84" t="s">
        <v>1709</v>
      </c>
      <c r="AD84" t="s">
        <v>1710</v>
      </c>
      <c r="AE84" t="s">
        <v>1711</v>
      </c>
      <c r="AF84" t="s">
        <v>74</v>
      </c>
      <c r="AG84">
        <v>74</v>
      </c>
      <c r="AH84">
        <v>7</v>
      </c>
      <c r="AI84">
        <v>7</v>
      </c>
      <c r="AJ84">
        <v>0</v>
      </c>
      <c r="AK84">
        <v>5</v>
      </c>
      <c r="AL84" t="s">
        <v>1712</v>
      </c>
      <c r="AM84" t="s">
        <v>1036</v>
      </c>
      <c r="AN84" t="s">
        <v>1713</v>
      </c>
      <c r="AO84" t="s">
        <v>1714</v>
      </c>
      <c r="AP84" t="s">
        <v>74</v>
      </c>
      <c r="AQ84" t="s">
        <v>74</v>
      </c>
      <c r="AR84" t="s">
        <v>1701</v>
      </c>
      <c r="AS84" t="s">
        <v>1715</v>
      </c>
      <c r="AT84" t="s">
        <v>629</v>
      </c>
      <c r="AU84">
        <v>2011</v>
      </c>
      <c r="AV84">
        <v>7</v>
      </c>
      <c r="AW84">
        <v>4</v>
      </c>
      <c r="AX84" t="s">
        <v>74</v>
      </c>
      <c r="AY84" t="s">
        <v>74</v>
      </c>
      <c r="AZ84" t="s">
        <v>74</v>
      </c>
      <c r="BA84" t="s">
        <v>74</v>
      </c>
      <c r="BB84">
        <v>922</v>
      </c>
      <c r="BC84">
        <v>937</v>
      </c>
      <c r="BD84" t="s">
        <v>74</v>
      </c>
      <c r="BE84" t="s">
        <v>1716</v>
      </c>
      <c r="BF84" t="str">
        <f>HYPERLINK("http://dx.doi.org/10.1130/GES00653.1","http://dx.doi.org/10.1130/GES00653.1")</f>
        <v>http://dx.doi.org/10.1130/GES00653.1</v>
      </c>
      <c r="BG84" t="s">
        <v>74</v>
      </c>
      <c r="BH84" t="s">
        <v>74</v>
      </c>
      <c r="BI84">
        <v>16</v>
      </c>
      <c r="BJ84" t="s">
        <v>130</v>
      </c>
      <c r="BK84" t="s">
        <v>100</v>
      </c>
      <c r="BL84" t="s">
        <v>131</v>
      </c>
      <c r="BM84" t="s">
        <v>1717</v>
      </c>
      <c r="BN84" t="s">
        <v>74</v>
      </c>
      <c r="BO84" t="s">
        <v>368</v>
      </c>
      <c r="BP84" t="s">
        <v>74</v>
      </c>
      <c r="BQ84" t="s">
        <v>74</v>
      </c>
      <c r="BR84" t="s">
        <v>103</v>
      </c>
      <c r="BS84" t="s">
        <v>1718</v>
      </c>
      <c r="BT84" t="str">
        <f>HYPERLINK("https%3A%2F%2Fwww.webofscience.com%2Fwos%2Fwoscc%2Ffull-record%2FWOS:000293387100006","View Full Record in Web of Science")</f>
        <v>View Full Record in Web of Science</v>
      </c>
    </row>
    <row r="85" spans="1:72" x14ac:dyDescent="0.15">
      <c r="A85" t="s">
        <v>72</v>
      </c>
      <c r="B85" t="s">
        <v>1719</v>
      </c>
      <c r="C85" t="s">
        <v>74</v>
      </c>
      <c r="D85" t="s">
        <v>74</v>
      </c>
      <c r="E85" t="s">
        <v>74</v>
      </c>
      <c r="F85" t="s">
        <v>1720</v>
      </c>
      <c r="G85" t="s">
        <v>74</v>
      </c>
      <c r="H85" t="s">
        <v>74</v>
      </c>
      <c r="I85" t="s">
        <v>1721</v>
      </c>
      <c r="J85" t="s">
        <v>1722</v>
      </c>
      <c r="K85" t="s">
        <v>74</v>
      </c>
      <c r="L85" t="s">
        <v>74</v>
      </c>
      <c r="M85" t="s">
        <v>78</v>
      </c>
      <c r="N85" t="s">
        <v>79</v>
      </c>
      <c r="O85" t="s">
        <v>74</v>
      </c>
      <c r="P85" t="s">
        <v>74</v>
      </c>
      <c r="Q85" t="s">
        <v>74</v>
      </c>
      <c r="R85" t="s">
        <v>74</v>
      </c>
      <c r="S85" t="s">
        <v>74</v>
      </c>
      <c r="T85" t="s">
        <v>74</v>
      </c>
      <c r="U85" t="s">
        <v>1723</v>
      </c>
      <c r="V85" t="s">
        <v>1724</v>
      </c>
      <c r="W85" t="s">
        <v>1725</v>
      </c>
      <c r="X85" t="s">
        <v>1726</v>
      </c>
      <c r="Y85" t="s">
        <v>1727</v>
      </c>
      <c r="Z85" t="s">
        <v>1728</v>
      </c>
      <c r="AA85" t="s">
        <v>1729</v>
      </c>
      <c r="AB85" t="s">
        <v>1730</v>
      </c>
      <c r="AC85" t="s">
        <v>1731</v>
      </c>
      <c r="AD85" t="s">
        <v>1732</v>
      </c>
      <c r="AE85" t="s">
        <v>1733</v>
      </c>
      <c r="AF85" t="s">
        <v>74</v>
      </c>
      <c r="AG85">
        <v>32</v>
      </c>
      <c r="AH85">
        <v>20</v>
      </c>
      <c r="AI85">
        <v>22</v>
      </c>
      <c r="AJ85">
        <v>2</v>
      </c>
      <c r="AK85">
        <v>50</v>
      </c>
      <c r="AL85" t="s">
        <v>216</v>
      </c>
      <c r="AM85" t="s">
        <v>121</v>
      </c>
      <c r="AN85" t="s">
        <v>217</v>
      </c>
      <c r="AO85" t="s">
        <v>1734</v>
      </c>
      <c r="AP85" t="s">
        <v>74</v>
      </c>
      <c r="AQ85" t="s">
        <v>74</v>
      </c>
      <c r="AR85" t="s">
        <v>1735</v>
      </c>
      <c r="AS85" t="s">
        <v>1736</v>
      </c>
      <c r="AT85" t="s">
        <v>1737</v>
      </c>
      <c r="AU85">
        <v>2011</v>
      </c>
      <c r="AV85">
        <v>45</v>
      </c>
      <c r="AW85">
        <v>15</v>
      </c>
      <c r="AX85" t="s">
        <v>74</v>
      </c>
      <c r="AY85" t="s">
        <v>74</v>
      </c>
      <c r="AZ85" t="s">
        <v>74</v>
      </c>
      <c r="BA85" t="s">
        <v>74</v>
      </c>
      <c r="BB85">
        <v>6275</v>
      </c>
      <c r="BC85">
        <v>6282</v>
      </c>
      <c r="BD85" t="s">
        <v>74</v>
      </c>
      <c r="BE85" t="s">
        <v>1738</v>
      </c>
      <c r="BF85" t="str">
        <f>HYPERLINK("http://dx.doi.org/10.1021/es200936m","http://dx.doi.org/10.1021/es200936m")</f>
        <v>http://dx.doi.org/10.1021/es200936m</v>
      </c>
      <c r="BG85" t="s">
        <v>74</v>
      </c>
      <c r="BH85" t="s">
        <v>74</v>
      </c>
      <c r="BI85">
        <v>8</v>
      </c>
      <c r="BJ85" t="s">
        <v>1739</v>
      </c>
      <c r="BK85" t="s">
        <v>100</v>
      </c>
      <c r="BL85" t="s">
        <v>1740</v>
      </c>
      <c r="BM85" t="s">
        <v>1741</v>
      </c>
      <c r="BN85">
        <v>21675791</v>
      </c>
      <c r="BO85" t="s">
        <v>74</v>
      </c>
      <c r="BP85" t="s">
        <v>74</v>
      </c>
      <c r="BQ85" t="s">
        <v>74</v>
      </c>
      <c r="BR85" t="s">
        <v>103</v>
      </c>
      <c r="BS85" t="s">
        <v>1742</v>
      </c>
      <c r="BT85" t="str">
        <f>HYPERLINK("https%3A%2F%2Fwww.webofscience.com%2Fwos%2Fwoscc%2Ffull-record%2FWOS:000293196400014","View Full Record in Web of Science")</f>
        <v>View Full Record in Web of Science</v>
      </c>
    </row>
    <row r="86" spans="1:72" x14ac:dyDescent="0.15">
      <c r="A86" t="s">
        <v>72</v>
      </c>
      <c r="B86" t="s">
        <v>1743</v>
      </c>
      <c r="C86" t="s">
        <v>74</v>
      </c>
      <c r="D86" t="s">
        <v>74</v>
      </c>
      <c r="E86" t="s">
        <v>74</v>
      </c>
      <c r="F86" t="s">
        <v>1744</v>
      </c>
      <c r="G86" t="s">
        <v>74</v>
      </c>
      <c r="H86" t="s">
        <v>74</v>
      </c>
      <c r="I86" t="s">
        <v>1745</v>
      </c>
      <c r="J86" t="s">
        <v>1746</v>
      </c>
      <c r="K86" t="s">
        <v>74</v>
      </c>
      <c r="L86" t="s">
        <v>74</v>
      </c>
      <c r="M86" t="s">
        <v>78</v>
      </c>
      <c r="N86" t="s">
        <v>79</v>
      </c>
      <c r="O86" t="s">
        <v>74</v>
      </c>
      <c r="P86" t="s">
        <v>74</v>
      </c>
      <c r="Q86" t="s">
        <v>74</v>
      </c>
      <c r="R86" t="s">
        <v>74</v>
      </c>
      <c r="S86" t="s">
        <v>74</v>
      </c>
      <c r="T86" t="s">
        <v>74</v>
      </c>
      <c r="U86" t="s">
        <v>1747</v>
      </c>
      <c r="V86" t="s">
        <v>1748</v>
      </c>
      <c r="W86" t="s">
        <v>1749</v>
      </c>
      <c r="X86" t="s">
        <v>1750</v>
      </c>
      <c r="Y86" t="s">
        <v>1751</v>
      </c>
      <c r="Z86" t="s">
        <v>74</v>
      </c>
      <c r="AA86" t="s">
        <v>74</v>
      </c>
      <c r="AB86" t="s">
        <v>74</v>
      </c>
      <c r="AC86" t="s">
        <v>1752</v>
      </c>
      <c r="AD86" t="s">
        <v>1753</v>
      </c>
      <c r="AE86" t="s">
        <v>1754</v>
      </c>
      <c r="AF86" t="s">
        <v>74</v>
      </c>
      <c r="AG86">
        <v>54</v>
      </c>
      <c r="AH86">
        <v>1</v>
      </c>
      <c r="AI86">
        <v>1</v>
      </c>
      <c r="AJ86">
        <v>0</v>
      </c>
      <c r="AK86">
        <v>0</v>
      </c>
      <c r="AL86" t="s">
        <v>624</v>
      </c>
      <c r="AM86" t="s">
        <v>91</v>
      </c>
      <c r="AN86" t="s">
        <v>625</v>
      </c>
      <c r="AO86" t="s">
        <v>1755</v>
      </c>
      <c r="AP86" t="s">
        <v>1756</v>
      </c>
      <c r="AQ86" t="s">
        <v>74</v>
      </c>
      <c r="AR86" t="s">
        <v>1757</v>
      </c>
      <c r="AS86" t="s">
        <v>1758</v>
      </c>
      <c r="AT86" t="s">
        <v>629</v>
      </c>
      <c r="AU86">
        <v>2011</v>
      </c>
      <c r="AV86">
        <v>47</v>
      </c>
      <c r="AW86">
        <v>8</v>
      </c>
      <c r="AX86" t="s">
        <v>74</v>
      </c>
      <c r="AY86" t="s">
        <v>74</v>
      </c>
      <c r="AZ86" t="s">
        <v>74</v>
      </c>
      <c r="BA86" t="s">
        <v>74</v>
      </c>
      <c r="BB86">
        <v>653</v>
      </c>
      <c r="BC86">
        <v>668</v>
      </c>
      <c r="BD86" t="s">
        <v>74</v>
      </c>
      <c r="BE86" t="s">
        <v>1759</v>
      </c>
      <c r="BF86" t="str">
        <f>HYPERLINK("http://dx.doi.org/10.1134/S106935131107010X","http://dx.doi.org/10.1134/S106935131107010X")</f>
        <v>http://dx.doi.org/10.1134/S106935131107010X</v>
      </c>
      <c r="BG86" t="s">
        <v>74</v>
      </c>
      <c r="BH86" t="s">
        <v>74</v>
      </c>
      <c r="BI86">
        <v>16</v>
      </c>
      <c r="BJ86" t="s">
        <v>488</v>
      </c>
      <c r="BK86" t="s">
        <v>100</v>
      </c>
      <c r="BL86" t="s">
        <v>488</v>
      </c>
      <c r="BM86" t="s">
        <v>1760</v>
      </c>
      <c r="BN86" t="s">
        <v>74</v>
      </c>
      <c r="BO86" t="s">
        <v>74</v>
      </c>
      <c r="BP86" t="s">
        <v>74</v>
      </c>
      <c r="BQ86" t="s">
        <v>74</v>
      </c>
      <c r="BR86" t="s">
        <v>103</v>
      </c>
      <c r="BS86" t="s">
        <v>1761</v>
      </c>
      <c r="BT86" t="str">
        <f>HYPERLINK("https%3A%2F%2Fwww.webofscience.com%2Fwos%2Fwoscc%2Ffull-record%2FWOS:000293188400001","View Full Record in Web of Science")</f>
        <v>View Full Record in Web of Science</v>
      </c>
    </row>
    <row r="87" spans="1:72" x14ac:dyDescent="0.15">
      <c r="A87" t="s">
        <v>72</v>
      </c>
      <c r="B87" t="s">
        <v>1762</v>
      </c>
      <c r="C87" t="s">
        <v>74</v>
      </c>
      <c r="D87" t="s">
        <v>74</v>
      </c>
      <c r="E87" t="s">
        <v>74</v>
      </c>
      <c r="F87" t="s">
        <v>1763</v>
      </c>
      <c r="G87" t="s">
        <v>74</v>
      </c>
      <c r="H87" t="s">
        <v>74</v>
      </c>
      <c r="I87" t="s">
        <v>1764</v>
      </c>
      <c r="J87" t="s">
        <v>1765</v>
      </c>
      <c r="K87" t="s">
        <v>74</v>
      </c>
      <c r="L87" t="s">
        <v>74</v>
      </c>
      <c r="M87" t="s">
        <v>78</v>
      </c>
      <c r="N87" t="s">
        <v>79</v>
      </c>
      <c r="O87" t="s">
        <v>74</v>
      </c>
      <c r="P87" t="s">
        <v>74</v>
      </c>
      <c r="Q87" t="s">
        <v>74</v>
      </c>
      <c r="R87" t="s">
        <v>74</v>
      </c>
      <c r="S87" t="s">
        <v>74</v>
      </c>
      <c r="T87" t="s">
        <v>1766</v>
      </c>
      <c r="U87" t="s">
        <v>1767</v>
      </c>
      <c r="V87" t="s">
        <v>1768</v>
      </c>
      <c r="W87" t="s">
        <v>1769</v>
      </c>
      <c r="X87" t="s">
        <v>1770</v>
      </c>
      <c r="Y87" t="s">
        <v>1771</v>
      </c>
      <c r="Z87" t="s">
        <v>1772</v>
      </c>
      <c r="AA87" t="s">
        <v>1773</v>
      </c>
      <c r="AB87" t="s">
        <v>1774</v>
      </c>
      <c r="AC87" t="s">
        <v>1775</v>
      </c>
      <c r="AD87" t="s">
        <v>1321</v>
      </c>
      <c r="AE87" t="s">
        <v>1776</v>
      </c>
      <c r="AF87" t="s">
        <v>74</v>
      </c>
      <c r="AG87">
        <v>47</v>
      </c>
      <c r="AH87">
        <v>17</v>
      </c>
      <c r="AI87">
        <v>19</v>
      </c>
      <c r="AJ87">
        <v>0</v>
      </c>
      <c r="AK87">
        <v>7</v>
      </c>
      <c r="AL87" t="s">
        <v>1777</v>
      </c>
      <c r="AM87" t="s">
        <v>1778</v>
      </c>
      <c r="AN87" t="s">
        <v>1779</v>
      </c>
      <c r="AO87" t="s">
        <v>1780</v>
      </c>
      <c r="AP87" t="s">
        <v>74</v>
      </c>
      <c r="AQ87" t="s">
        <v>74</v>
      </c>
      <c r="AR87" t="s">
        <v>1781</v>
      </c>
      <c r="AS87" t="s">
        <v>1782</v>
      </c>
      <c r="AT87" t="s">
        <v>629</v>
      </c>
      <c r="AU87">
        <v>2011</v>
      </c>
      <c r="AV87">
        <v>214</v>
      </c>
      <c r="AW87">
        <v>16</v>
      </c>
      <c r="AX87" t="s">
        <v>74</v>
      </c>
      <c r="AY87" t="s">
        <v>74</v>
      </c>
      <c r="AZ87" t="s">
        <v>74</v>
      </c>
      <c r="BA87" t="s">
        <v>74</v>
      </c>
      <c r="BB87">
        <v>2799</v>
      </c>
      <c r="BC87">
        <v>2807</v>
      </c>
      <c r="BD87" t="s">
        <v>74</v>
      </c>
      <c r="BE87" t="s">
        <v>1783</v>
      </c>
      <c r="BF87" t="str">
        <f>HYPERLINK("http://dx.doi.org/10.1242/jeb.051631","http://dx.doi.org/10.1242/jeb.051631")</f>
        <v>http://dx.doi.org/10.1242/jeb.051631</v>
      </c>
      <c r="BG87" t="s">
        <v>74</v>
      </c>
      <c r="BH87" t="s">
        <v>74</v>
      </c>
      <c r="BI87">
        <v>9</v>
      </c>
      <c r="BJ87" t="s">
        <v>1784</v>
      </c>
      <c r="BK87" t="s">
        <v>100</v>
      </c>
      <c r="BL87" t="s">
        <v>1785</v>
      </c>
      <c r="BM87" t="s">
        <v>1786</v>
      </c>
      <c r="BN87">
        <v>21795579</v>
      </c>
      <c r="BO87" t="s">
        <v>74</v>
      </c>
      <c r="BP87" t="s">
        <v>74</v>
      </c>
      <c r="BQ87" t="s">
        <v>74</v>
      </c>
      <c r="BR87" t="s">
        <v>103</v>
      </c>
      <c r="BS87" t="s">
        <v>1787</v>
      </c>
      <c r="BT87" t="str">
        <f>HYPERLINK("https%3A%2F%2Fwww.webofscience.com%2Fwos%2Fwoscc%2Ffull-record%2FWOS:000293167300025","View Full Record in Web of Science")</f>
        <v>View Full Record in Web of Science</v>
      </c>
    </row>
    <row r="88" spans="1:72" x14ac:dyDescent="0.15">
      <c r="A88" t="s">
        <v>72</v>
      </c>
      <c r="B88" t="s">
        <v>1788</v>
      </c>
      <c r="C88" t="s">
        <v>74</v>
      </c>
      <c r="D88" t="s">
        <v>74</v>
      </c>
      <c r="E88" t="s">
        <v>74</v>
      </c>
      <c r="F88" t="s">
        <v>1789</v>
      </c>
      <c r="G88" t="s">
        <v>74</v>
      </c>
      <c r="H88" t="s">
        <v>74</v>
      </c>
      <c r="I88" t="s">
        <v>1790</v>
      </c>
      <c r="J88" t="s">
        <v>1791</v>
      </c>
      <c r="K88" t="s">
        <v>74</v>
      </c>
      <c r="L88" t="s">
        <v>74</v>
      </c>
      <c r="M88" t="s">
        <v>78</v>
      </c>
      <c r="N88" t="s">
        <v>79</v>
      </c>
      <c r="O88" t="s">
        <v>74</v>
      </c>
      <c r="P88" t="s">
        <v>74</v>
      </c>
      <c r="Q88" t="s">
        <v>74</v>
      </c>
      <c r="R88" t="s">
        <v>74</v>
      </c>
      <c r="S88" t="s">
        <v>74</v>
      </c>
      <c r="T88" t="s">
        <v>1792</v>
      </c>
      <c r="U88" t="s">
        <v>1793</v>
      </c>
      <c r="V88" t="s">
        <v>1794</v>
      </c>
      <c r="W88" t="s">
        <v>1795</v>
      </c>
      <c r="X88" t="s">
        <v>1796</v>
      </c>
      <c r="Y88" t="s">
        <v>1797</v>
      </c>
      <c r="Z88" t="s">
        <v>1798</v>
      </c>
      <c r="AA88" t="s">
        <v>1799</v>
      </c>
      <c r="AB88" t="s">
        <v>1800</v>
      </c>
      <c r="AC88" t="s">
        <v>1801</v>
      </c>
      <c r="AD88" t="s">
        <v>1801</v>
      </c>
      <c r="AE88" t="s">
        <v>1802</v>
      </c>
      <c r="AF88" t="s">
        <v>74</v>
      </c>
      <c r="AG88">
        <v>59</v>
      </c>
      <c r="AH88">
        <v>9</v>
      </c>
      <c r="AI88">
        <v>10</v>
      </c>
      <c r="AJ88">
        <v>0</v>
      </c>
      <c r="AK88">
        <v>26</v>
      </c>
      <c r="AL88" t="s">
        <v>1323</v>
      </c>
      <c r="AM88" t="s">
        <v>1324</v>
      </c>
      <c r="AN88" t="s">
        <v>1325</v>
      </c>
      <c r="AO88" t="s">
        <v>1803</v>
      </c>
      <c r="AP88" t="s">
        <v>1804</v>
      </c>
      <c r="AQ88" t="s">
        <v>74</v>
      </c>
      <c r="AR88" t="s">
        <v>1805</v>
      </c>
      <c r="AS88" t="s">
        <v>1806</v>
      </c>
      <c r="AT88" t="s">
        <v>629</v>
      </c>
      <c r="AU88">
        <v>2011</v>
      </c>
      <c r="AV88">
        <v>47</v>
      </c>
      <c r="AW88">
        <v>4</v>
      </c>
      <c r="AX88" t="s">
        <v>74</v>
      </c>
      <c r="AY88" t="s">
        <v>74</v>
      </c>
      <c r="AZ88" t="s">
        <v>74</v>
      </c>
      <c r="BA88" t="s">
        <v>74</v>
      </c>
      <c r="BB88">
        <v>811</v>
      </c>
      <c r="BC88">
        <v>820</v>
      </c>
      <c r="BD88" t="s">
        <v>74</v>
      </c>
      <c r="BE88" t="s">
        <v>1807</v>
      </c>
      <c r="BF88" t="str">
        <f>HYPERLINK("http://dx.doi.org/10.1111/j.1529-8817.2011.01025.x","http://dx.doi.org/10.1111/j.1529-8817.2011.01025.x")</f>
        <v>http://dx.doi.org/10.1111/j.1529-8817.2011.01025.x</v>
      </c>
      <c r="BG88" t="s">
        <v>74</v>
      </c>
      <c r="BH88" t="s">
        <v>74</v>
      </c>
      <c r="BI88">
        <v>10</v>
      </c>
      <c r="BJ88" t="s">
        <v>1808</v>
      </c>
      <c r="BK88" t="s">
        <v>100</v>
      </c>
      <c r="BL88" t="s">
        <v>1808</v>
      </c>
      <c r="BM88" t="s">
        <v>1809</v>
      </c>
      <c r="BN88">
        <v>27020017</v>
      </c>
      <c r="BO88" t="s">
        <v>74</v>
      </c>
      <c r="BP88" t="s">
        <v>74</v>
      </c>
      <c r="BQ88" t="s">
        <v>74</v>
      </c>
      <c r="BR88" t="s">
        <v>103</v>
      </c>
      <c r="BS88" t="s">
        <v>1810</v>
      </c>
      <c r="BT88" t="str">
        <f>HYPERLINK("https%3A%2F%2Fwww.webofscience.com%2Fwos%2Fwoscc%2Ffull-record%2FWOS:000293096000011","View Full Record in Web of Science")</f>
        <v>View Full Record in Web of Science</v>
      </c>
    </row>
    <row r="89" spans="1:72" x14ac:dyDescent="0.15">
      <c r="A89" t="s">
        <v>72</v>
      </c>
      <c r="B89" t="s">
        <v>1811</v>
      </c>
      <c r="C89" t="s">
        <v>74</v>
      </c>
      <c r="D89" t="s">
        <v>74</v>
      </c>
      <c r="E89" t="s">
        <v>74</v>
      </c>
      <c r="F89" t="s">
        <v>1812</v>
      </c>
      <c r="G89" t="s">
        <v>74</v>
      </c>
      <c r="H89" t="s">
        <v>74</v>
      </c>
      <c r="I89" t="s">
        <v>1813</v>
      </c>
      <c r="J89" t="s">
        <v>1814</v>
      </c>
      <c r="K89" t="s">
        <v>74</v>
      </c>
      <c r="L89" t="s">
        <v>74</v>
      </c>
      <c r="M89" t="s">
        <v>78</v>
      </c>
      <c r="N89" t="s">
        <v>79</v>
      </c>
      <c r="O89" t="s">
        <v>74</v>
      </c>
      <c r="P89" t="s">
        <v>74</v>
      </c>
      <c r="Q89" t="s">
        <v>74</v>
      </c>
      <c r="R89" t="s">
        <v>74</v>
      </c>
      <c r="S89" t="s">
        <v>74</v>
      </c>
      <c r="T89" t="s">
        <v>74</v>
      </c>
      <c r="U89" t="s">
        <v>1815</v>
      </c>
      <c r="V89" t="s">
        <v>1816</v>
      </c>
      <c r="W89" t="s">
        <v>1817</v>
      </c>
      <c r="X89" t="s">
        <v>1818</v>
      </c>
      <c r="Y89" t="s">
        <v>1819</v>
      </c>
      <c r="Z89" t="s">
        <v>1820</v>
      </c>
      <c r="AA89" t="s">
        <v>1821</v>
      </c>
      <c r="AB89" t="s">
        <v>1822</v>
      </c>
      <c r="AC89" t="s">
        <v>1823</v>
      </c>
      <c r="AD89" t="s">
        <v>1824</v>
      </c>
      <c r="AE89" t="s">
        <v>1825</v>
      </c>
      <c r="AF89" t="s">
        <v>74</v>
      </c>
      <c r="AG89">
        <v>14</v>
      </c>
      <c r="AH89">
        <v>3</v>
      </c>
      <c r="AI89">
        <v>3</v>
      </c>
      <c r="AJ89">
        <v>0</v>
      </c>
      <c r="AK89">
        <v>3</v>
      </c>
      <c r="AL89" t="s">
        <v>1826</v>
      </c>
      <c r="AM89" t="s">
        <v>121</v>
      </c>
      <c r="AN89" t="s">
        <v>1827</v>
      </c>
      <c r="AO89" t="s">
        <v>1828</v>
      </c>
      <c r="AP89" t="s">
        <v>1829</v>
      </c>
      <c r="AQ89" t="s">
        <v>74</v>
      </c>
      <c r="AR89" t="s">
        <v>1830</v>
      </c>
      <c r="AS89" t="s">
        <v>1831</v>
      </c>
      <c r="AT89" t="s">
        <v>629</v>
      </c>
      <c r="AU89">
        <v>2011</v>
      </c>
      <c r="AV89">
        <v>28</v>
      </c>
      <c r="AW89">
        <v>8</v>
      </c>
      <c r="AX89" t="s">
        <v>74</v>
      </c>
      <c r="AY89" t="s">
        <v>74</v>
      </c>
      <c r="AZ89" t="s">
        <v>74</v>
      </c>
      <c r="BA89" t="s">
        <v>74</v>
      </c>
      <c r="BB89">
        <v>1656</v>
      </c>
      <c r="BC89">
        <v>1661</v>
      </c>
      <c r="BD89" t="s">
        <v>74</v>
      </c>
      <c r="BE89" t="s">
        <v>1832</v>
      </c>
      <c r="BF89" t="str">
        <f>HYPERLINK("http://dx.doi.org/10.1364/JOSAA.28.001656","http://dx.doi.org/10.1364/JOSAA.28.001656")</f>
        <v>http://dx.doi.org/10.1364/JOSAA.28.001656</v>
      </c>
      <c r="BG89" t="s">
        <v>74</v>
      </c>
      <c r="BH89" t="s">
        <v>74</v>
      </c>
      <c r="BI89">
        <v>6</v>
      </c>
      <c r="BJ89" t="s">
        <v>1833</v>
      </c>
      <c r="BK89" t="s">
        <v>100</v>
      </c>
      <c r="BL89" t="s">
        <v>1833</v>
      </c>
      <c r="BM89" t="s">
        <v>1834</v>
      </c>
      <c r="BN89">
        <v>21811327</v>
      </c>
      <c r="BO89" t="s">
        <v>74</v>
      </c>
      <c r="BP89" t="s">
        <v>74</v>
      </c>
      <c r="BQ89" t="s">
        <v>74</v>
      </c>
      <c r="BR89" t="s">
        <v>103</v>
      </c>
      <c r="BS89" t="s">
        <v>1835</v>
      </c>
      <c r="BT89" t="str">
        <f>HYPERLINK("https%3A%2F%2Fwww.webofscience.com%2Fwos%2Fwoscc%2Ffull-record%2FWOS:000293328600014","View Full Record in Web of Science")</f>
        <v>View Full Record in Web of Science</v>
      </c>
    </row>
    <row r="90" spans="1:72" x14ac:dyDescent="0.15">
      <c r="A90" t="s">
        <v>72</v>
      </c>
      <c r="B90" t="s">
        <v>1836</v>
      </c>
      <c r="C90" t="s">
        <v>74</v>
      </c>
      <c r="D90" t="s">
        <v>74</v>
      </c>
      <c r="E90" t="s">
        <v>74</v>
      </c>
      <c r="F90" t="s">
        <v>1837</v>
      </c>
      <c r="G90" t="s">
        <v>74</v>
      </c>
      <c r="H90" t="s">
        <v>74</v>
      </c>
      <c r="I90" t="s">
        <v>1838</v>
      </c>
      <c r="J90" t="s">
        <v>1839</v>
      </c>
      <c r="K90" t="s">
        <v>74</v>
      </c>
      <c r="L90" t="s">
        <v>74</v>
      </c>
      <c r="M90" t="s">
        <v>78</v>
      </c>
      <c r="N90" t="s">
        <v>79</v>
      </c>
      <c r="O90" t="s">
        <v>74</v>
      </c>
      <c r="P90" t="s">
        <v>74</v>
      </c>
      <c r="Q90" t="s">
        <v>74</v>
      </c>
      <c r="R90" t="s">
        <v>74</v>
      </c>
      <c r="S90" t="s">
        <v>74</v>
      </c>
      <c r="T90" t="s">
        <v>1840</v>
      </c>
      <c r="U90" t="s">
        <v>1841</v>
      </c>
      <c r="V90" t="s">
        <v>1842</v>
      </c>
      <c r="W90" t="s">
        <v>1843</v>
      </c>
      <c r="X90" t="s">
        <v>1844</v>
      </c>
      <c r="Y90" t="s">
        <v>1845</v>
      </c>
      <c r="Z90" t="s">
        <v>1846</v>
      </c>
      <c r="AA90" t="s">
        <v>1847</v>
      </c>
      <c r="AB90" t="s">
        <v>1848</v>
      </c>
      <c r="AC90" t="s">
        <v>1849</v>
      </c>
      <c r="AD90" t="s">
        <v>1849</v>
      </c>
      <c r="AE90" t="s">
        <v>1850</v>
      </c>
      <c r="AF90" t="s">
        <v>74</v>
      </c>
      <c r="AG90">
        <v>67</v>
      </c>
      <c r="AH90">
        <v>7</v>
      </c>
      <c r="AI90">
        <v>8</v>
      </c>
      <c r="AJ90">
        <v>2</v>
      </c>
      <c r="AK90">
        <v>65</v>
      </c>
      <c r="AL90" t="s">
        <v>1851</v>
      </c>
      <c r="AM90" t="s">
        <v>1852</v>
      </c>
      <c r="AN90" t="s">
        <v>1853</v>
      </c>
      <c r="AO90" t="s">
        <v>1854</v>
      </c>
      <c r="AP90" t="s">
        <v>1855</v>
      </c>
      <c r="AQ90" t="s">
        <v>74</v>
      </c>
      <c r="AR90" t="s">
        <v>1856</v>
      </c>
      <c r="AS90" t="s">
        <v>1857</v>
      </c>
      <c r="AT90" t="s">
        <v>1737</v>
      </c>
      <c r="AU90">
        <v>2011</v>
      </c>
      <c r="AV90">
        <v>173</v>
      </c>
      <c r="AW90">
        <v>1</v>
      </c>
      <c r="AX90" t="s">
        <v>74</v>
      </c>
      <c r="AY90" t="s">
        <v>74</v>
      </c>
      <c r="AZ90" t="s">
        <v>74</v>
      </c>
      <c r="BA90" t="s">
        <v>74</v>
      </c>
      <c r="BB90">
        <v>139</v>
      </c>
      <c r="BC90">
        <v>147</v>
      </c>
      <c r="BD90" t="s">
        <v>74</v>
      </c>
      <c r="BE90" t="s">
        <v>1858</v>
      </c>
      <c r="BF90" t="str">
        <f>HYPERLINK("http://dx.doi.org/10.1016/j.ygcen.2011.05.006","http://dx.doi.org/10.1016/j.ygcen.2011.05.006")</f>
        <v>http://dx.doi.org/10.1016/j.ygcen.2011.05.006</v>
      </c>
      <c r="BG90" t="s">
        <v>74</v>
      </c>
      <c r="BH90" t="s">
        <v>74</v>
      </c>
      <c r="BI90">
        <v>9</v>
      </c>
      <c r="BJ90" t="s">
        <v>1859</v>
      </c>
      <c r="BK90" t="s">
        <v>100</v>
      </c>
      <c r="BL90" t="s">
        <v>1859</v>
      </c>
      <c r="BM90" t="s">
        <v>1860</v>
      </c>
      <c r="BN90">
        <v>21624370</v>
      </c>
      <c r="BO90" t="s">
        <v>74</v>
      </c>
      <c r="BP90" t="s">
        <v>74</v>
      </c>
      <c r="BQ90" t="s">
        <v>74</v>
      </c>
      <c r="BR90" t="s">
        <v>103</v>
      </c>
      <c r="BS90" t="s">
        <v>1861</v>
      </c>
      <c r="BT90" t="str">
        <f>HYPERLINK("https%3A%2F%2Fwww.webofscience.com%2Fwos%2Fwoscc%2Ffull-record%2FWOS:000292808200019","View Full Record in Web of Science")</f>
        <v>View Full Record in Web of Science</v>
      </c>
    </row>
    <row r="91" spans="1:72" x14ac:dyDescent="0.15">
      <c r="A91" t="s">
        <v>72</v>
      </c>
      <c r="B91" t="s">
        <v>1862</v>
      </c>
      <c r="C91" t="s">
        <v>74</v>
      </c>
      <c r="D91" t="s">
        <v>74</v>
      </c>
      <c r="E91" t="s">
        <v>74</v>
      </c>
      <c r="F91" t="s">
        <v>1863</v>
      </c>
      <c r="G91" t="s">
        <v>74</v>
      </c>
      <c r="H91" t="s">
        <v>74</v>
      </c>
      <c r="I91" t="s">
        <v>1864</v>
      </c>
      <c r="J91" t="s">
        <v>1865</v>
      </c>
      <c r="K91" t="s">
        <v>74</v>
      </c>
      <c r="L91" t="s">
        <v>74</v>
      </c>
      <c r="M91" t="s">
        <v>78</v>
      </c>
      <c r="N91" t="s">
        <v>79</v>
      </c>
      <c r="O91" t="s">
        <v>74</v>
      </c>
      <c r="P91" t="s">
        <v>74</v>
      </c>
      <c r="Q91" t="s">
        <v>74</v>
      </c>
      <c r="R91" t="s">
        <v>74</v>
      </c>
      <c r="S91" t="s">
        <v>74</v>
      </c>
      <c r="T91" t="s">
        <v>1866</v>
      </c>
      <c r="U91" t="s">
        <v>1867</v>
      </c>
      <c r="V91" t="s">
        <v>1868</v>
      </c>
      <c r="W91" t="s">
        <v>1869</v>
      </c>
      <c r="X91" t="s">
        <v>1870</v>
      </c>
      <c r="Y91" t="s">
        <v>1871</v>
      </c>
      <c r="Z91" t="s">
        <v>1872</v>
      </c>
      <c r="AA91" t="s">
        <v>1873</v>
      </c>
      <c r="AB91" t="s">
        <v>1874</v>
      </c>
      <c r="AC91" t="s">
        <v>1875</v>
      </c>
      <c r="AD91" t="s">
        <v>1876</v>
      </c>
      <c r="AE91" t="s">
        <v>1877</v>
      </c>
      <c r="AF91" t="s">
        <v>74</v>
      </c>
      <c r="AG91">
        <v>31</v>
      </c>
      <c r="AH91">
        <v>11</v>
      </c>
      <c r="AI91">
        <v>15</v>
      </c>
      <c r="AJ91">
        <v>2</v>
      </c>
      <c r="AK91">
        <v>25</v>
      </c>
      <c r="AL91" t="s">
        <v>1571</v>
      </c>
      <c r="AM91" t="s">
        <v>1572</v>
      </c>
      <c r="AN91" t="s">
        <v>1573</v>
      </c>
      <c r="AO91" t="s">
        <v>1878</v>
      </c>
      <c r="AP91" t="s">
        <v>1879</v>
      </c>
      <c r="AQ91" t="s">
        <v>74</v>
      </c>
      <c r="AR91" t="s">
        <v>1880</v>
      </c>
      <c r="AS91" t="s">
        <v>1881</v>
      </c>
      <c r="AT91" t="s">
        <v>629</v>
      </c>
      <c r="AU91">
        <v>2011</v>
      </c>
      <c r="AV91">
        <v>181</v>
      </c>
      <c r="AW91">
        <v>6</v>
      </c>
      <c r="AX91" t="s">
        <v>74</v>
      </c>
      <c r="AY91" t="s">
        <v>74</v>
      </c>
      <c r="AZ91" t="s">
        <v>74</v>
      </c>
      <c r="BA91" t="s">
        <v>74</v>
      </c>
      <c r="BB91">
        <v>713</v>
      </c>
      <c r="BC91">
        <v>719</v>
      </c>
      <c r="BD91" t="s">
        <v>74</v>
      </c>
      <c r="BE91" t="s">
        <v>1882</v>
      </c>
      <c r="BF91" t="str">
        <f>HYPERLINK("http://dx.doi.org/10.1007/s00360-011-0564-4","http://dx.doi.org/10.1007/s00360-011-0564-4")</f>
        <v>http://dx.doi.org/10.1007/s00360-011-0564-4</v>
      </c>
      <c r="BG91" t="s">
        <v>74</v>
      </c>
      <c r="BH91" t="s">
        <v>74</v>
      </c>
      <c r="BI91">
        <v>7</v>
      </c>
      <c r="BJ91" t="s">
        <v>1883</v>
      </c>
      <c r="BK91" t="s">
        <v>100</v>
      </c>
      <c r="BL91" t="s">
        <v>1883</v>
      </c>
      <c r="BM91" t="s">
        <v>1884</v>
      </c>
      <c r="BN91">
        <v>21399953</v>
      </c>
      <c r="BO91" t="s">
        <v>74</v>
      </c>
      <c r="BP91" t="s">
        <v>74</v>
      </c>
      <c r="BQ91" t="s">
        <v>74</v>
      </c>
      <c r="BR91" t="s">
        <v>103</v>
      </c>
      <c r="BS91" t="s">
        <v>1885</v>
      </c>
      <c r="BT91" t="str">
        <f>HYPERLINK("https%3A%2F%2Fwww.webofscience.com%2Fwos%2Fwoscc%2Ffull-record%2FWOS:000293002300001","View Full Record in Web of Science")</f>
        <v>View Full Record in Web of Science</v>
      </c>
    </row>
    <row r="92" spans="1:72" x14ac:dyDescent="0.15">
      <c r="A92" t="s">
        <v>72</v>
      </c>
      <c r="B92" t="s">
        <v>1886</v>
      </c>
      <c r="C92" t="s">
        <v>74</v>
      </c>
      <c r="D92" t="s">
        <v>74</v>
      </c>
      <c r="E92" t="s">
        <v>74</v>
      </c>
      <c r="F92" t="s">
        <v>1887</v>
      </c>
      <c r="G92" t="s">
        <v>74</v>
      </c>
      <c r="H92" t="s">
        <v>74</v>
      </c>
      <c r="I92" t="s">
        <v>1888</v>
      </c>
      <c r="J92" t="s">
        <v>1889</v>
      </c>
      <c r="K92" t="s">
        <v>74</v>
      </c>
      <c r="L92" t="s">
        <v>74</v>
      </c>
      <c r="M92" t="s">
        <v>78</v>
      </c>
      <c r="N92" t="s">
        <v>79</v>
      </c>
      <c r="O92" t="s">
        <v>74</v>
      </c>
      <c r="P92" t="s">
        <v>74</v>
      </c>
      <c r="Q92" t="s">
        <v>74</v>
      </c>
      <c r="R92" t="s">
        <v>74</v>
      </c>
      <c r="S92" t="s">
        <v>74</v>
      </c>
      <c r="T92" t="s">
        <v>1890</v>
      </c>
      <c r="U92" t="s">
        <v>1891</v>
      </c>
      <c r="V92" t="s">
        <v>1892</v>
      </c>
      <c r="W92" t="s">
        <v>1893</v>
      </c>
      <c r="X92" t="s">
        <v>1894</v>
      </c>
      <c r="Y92" t="s">
        <v>1895</v>
      </c>
      <c r="Z92" t="s">
        <v>1896</v>
      </c>
      <c r="AA92" t="s">
        <v>1897</v>
      </c>
      <c r="AB92" t="s">
        <v>1898</v>
      </c>
      <c r="AC92" t="s">
        <v>1899</v>
      </c>
      <c r="AD92" t="s">
        <v>1900</v>
      </c>
      <c r="AE92" t="s">
        <v>1901</v>
      </c>
      <c r="AF92" t="s">
        <v>74</v>
      </c>
      <c r="AG92">
        <v>43</v>
      </c>
      <c r="AH92">
        <v>10</v>
      </c>
      <c r="AI92">
        <v>11</v>
      </c>
      <c r="AJ92">
        <v>0</v>
      </c>
      <c r="AK92">
        <v>9</v>
      </c>
      <c r="AL92" t="s">
        <v>1441</v>
      </c>
      <c r="AM92" t="s">
        <v>91</v>
      </c>
      <c r="AN92" t="s">
        <v>1902</v>
      </c>
      <c r="AO92" t="s">
        <v>1903</v>
      </c>
      <c r="AP92" t="s">
        <v>1904</v>
      </c>
      <c r="AQ92" t="s">
        <v>74</v>
      </c>
      <c r="AR92" t="s">
        <v>1905</v>
      </c>
      <c r="AS92" t="s">
        <v>1906</v>
      </c>
      <c r="AT92" t="s">
        <v>629</v>
      </c>
      <c r="AU92">
        <v>2011</v>
      </c>
      <c r="AV92">
        <v>34</v>
      </c>
      <c r="AW92">
        <v>8</v>
      </c>
      <c r="AX92" t="s">
        <v>74</v>
      </c>
      <c r="AY92" t="s">
        <v>74</v>
      </c>
      <c r="AZ92" t="s">
        <v>74</v>
      </c>
      <c r="BA92" t="s">
        <v>74</v>
      </c>
      <c r="BB92">
        <v>1117</v>
      </c>
      <c r="BC92">
        <v>1123</v>
      </c>
      <c r="BD92" t="s">
        <v>74</v>
      </c>
      <c r="BE92" t="s">
        <v>1907</v>
      </c>
      <c r="BF92" t="str">
        <f>HYPERLINK("http://dx.doi.org/10.1007/s00300-011-0969-2","http://dx.doi.org/10.1007/s00300-011-0969-2")</f>
        <v>http://dx.doi.org/10.1007/s00300-011-0969-2</v>
      </c>
      <c r="BG92" t="s">
        <v>74</v>
      </c>
      <c r="BH92" t="s">
        <v>74</v>
      </c>
      <c r="BI92">
        <v>7</v>
      </c>
      <c r="BJ92" t="s">
        <v>1908</v>
      </c>
      <c r="BK92" t="s">
        <v>100</v>
      </c>
      <c r="BL92" t="s">
        <v>1909</v>
      </c>
      <c r="BM92" t="s">
        <v>1910</v>
      </c>
      <c r="BN92" t="s">
        <v>74</v>
      </c>
      <c r="BO92" t="s">
        <v>74</v>
      </c>
      <c r="BP92" t="s">
        <v>74</v>
      </c>
      <c r="BQ92" t="s">
        <v>74</v>
      </c>
      <c r="BR92" t="s">
        <v>103</v>
      </c>
      <c r="BS92" t="s">
        <v>1911</v>
      </c>
      <c r="BT92" t="str">
        <f>HYPERLINK("https%3A%2F%2Fwww.webofscience.com%2Fwos%2Fwoscc%2Ffull-record%2FWOS:000292887600002","View Full Record in Web of Science")</f>
        <v>View Full Record in Web of Science</v>
      </c>
    </row>
    <row r="93" spans="1:72" x14ac:dyDescent="0.15">
      <c r="A93" t="s">
        <v>72</v>
      </c>
      <c r="B93" t="s">
        <v>1912</v>
      </c>
      <c r="C93" t="s">
        <v>74</v>
      </c>
      <c r="D93" t="s">
        <v>74</v>
      </c>
      <c r="E93" t="s">
        <v>74</v>
      </c>
      <c r="F93" t="s">
        <v>1913</v>
      </c>
      <c r="G93" t="s">
        <v>74</v>
      </c>
      <c r="H93" t="s">
        <v>74</v>
      </c>
      <c r="I93" t="s">
        <v>1914</v>
      </c>
      <c r="J93" t="s">
        <v>1889</v>
      </c>
      <c r="K93" t="s">
        <v>74</v>
      </c>
      <c r="L93" t="s">
        <v>74</v>
      </c>
      <c r="M93" t="s">
        <v>78</v>
      </c>
      <c r="N93" t="s">
        <v>79</v>
      </c>
      <c r="O93" t="s">
        <v>74</v>
      </c>
      <c r="P93" t="s">
        <v>74</v>
      </c>
      <c r="Q93" t="s">
        <v>74</v>
      </c>
      <c r="R93" t="s">
        <v>74</v>
      </c>
      <c r="S93" t="s">
        <v>74</v>
      </c>
      <c r="T93" t="s">
        <v>1915</v>
      </c>
      <c r="U93" t="s">
        <v>1916</v>
      </c>
      <c r="V93" t="s">
        <v>1917</v>
      </c>
      <c r="W93" t="s">
        <v>1918</v>
      </c>
      <c r="X93" t="s">
        <v>1919</v>
      </c>
      <c r="Y93" t="s">
        <v>1920</v>
      </c>
      <c r="Z93" t="s">
        <v>1921</v>
      </c>
      <c r="AA93" t="s">
        <v>1922</v>
      </c>
      <c r="AB93" t="s">
        <v>1923</v>
      </c>
      <c r="AC93" t="s">
        <v>1924</v>
      </c>
      <c r="AD93" t="s">
        <v>1925</v>
      </c>
      <c r="AE93" t="s">
        <v>1926</v>
      </c>
      <c r="AF93" t="s">
        <v>74</v>
      </c>
      <c r="AG93">
        <v>55</v>
      </c>
      <c r="AH93">
        <v>14</v>
      </c>
      <c r="AI93">
        <v>17</v>
      </c>
      <c r="AJ93">
        <v>0</v>
      </c>
      <c r="AK93">
        <v>17</v>
      </c>
      <c r="AL93" t="s">
        <v>1441</v>
      </c>
      <c r="AM93" t="s">
        <v>91</v>
      </c>
      <c r="AN93" t="s">
        <v>1595</v>
      </c>
      <c r="AO93" t="s">
        <v>1903</v>
      </c>
      <c r="AP93" t="s">
        <v>74</v>
      </c>
      <c r="AQ93" t="s">
        <v>74</v>
      </c>
      <c r="AR93" t="s">
        <v>1905</v>
      </c>
      <c r="AS93" t="s">
        <v>1906</v>
      </c>
      <c r="AT93" t="s">
        <v>629</v>
      </c>
      <c r="AU93">
        <v>2011</v>
      </c>
      <c r="AV93">
        <v>34</v>
      </c>
      <c r="AW93">
        <v>8</v>
      </c>
      <c r="AX93" t="s">
        <v>74</v>
      </c>
      <c r="AY93" t="s">
        <v>74</v>
      </c>
      <c r="AZ93" t="s">
        <v>74</v>
      </c>
      <c r="BA93" t="s">
        <v>74</v>
      </c>
      <c r="BB93">
        <v>1125</v>
      </c>
      <c r="BC93">
        <v>1133</v>
      </c>
      <c r="BD93" t="s">
        <v>74</v>
      </c>
      <c r="BE93" t="s">
        <v>1927</v>
      </c>
      <c r="BF93" t="str">
        <f>HYPERLINK("http://dx.doi.org/10.1007/s00300-011-0973-6","http://dx.doi.org/10.1007/s00300-011-0973-6")</f>
        <v>http://dx.doi.org/10.1007/s00300-011-0973-6</v>
      </c>
      <c r="BG93" t="s">
        <v>74</v>
      </c>
      <c r="BH93" t="s">
        <v>74</v>
      </c>
      <c r="BI93">
        <v>9</v>
      </c>
      <c r="BJ93" t="s">
        <v>1908</v>
      </c>
      <c r="BK93" t="s">
        <v>100</v>
      </c>
      <c r="BL93" t="s">
        <v>1909</v>
      </c>
      <c r="BM93" t="s">
        <v>1910</v>
      </c>
      <c r="BN93" t="s">
        <v>74</v>
      </c>
      <c r="BO93" t="s">
        <v>74</v>
      </c>
      <c r="BP93" t="s">
        <v>74</v>
      </c>
      <c r="BQ93" t="s">
        <v>74</v>
      </c>
      <c r="BR93" t="s">
        <v>103</v>
      </c>
      <c r="BS93" t="s">
        <v>1928</v>
      </c>
      <c r="BT93" t="str">
        <f>HYPERLINK("https%3A%2F%2Fwww.webofscience.com%2Fwos%2Fwoscc%2Ffull-record%2FWOS:000292887600003","View Full Record in Web of Science")</f>
        <v>View Full Record in Web of Science</v>
      </c>
    </row>
    <row r="94" spans="1:72" x14ac:dyDescent="0.15">
      <c r="A94" t="s">
        <v>72</v>
      </c>
      <c r="B94" t="s">
        <v>1929</v>
      </c>
      <c r="C94" t="s">
        <v>74</v>
      </c>
      <c r="D94" t="s">
        <v>74</v>
      </c>
      <c r="E94" t="s">
        <v>74</v>
      </c>
      <c r="F94" t="s">
        <v>1930</v>
      </c>
      <c r="G94" t="s">
        <v>74</v>
      </c>
      <c r="H94" t="s">
        <v>74</v>
      </c>
      <c r="I94" t="s">
        <v>1931</v>
      </c>
      <c r="J94" t="s">
        <v>1889</v>
      </c>
      <c r="K94" t="s">
        <v>74</v>
      </c>
      <c r="L94" t="s">
        <v>74</v>
      </c>
      <c r="M94" t="s">
        <v>78</v>
      </c>
      <c r="N94" t="s">
        <v>79</v>
      </c>
      <c r="O94" t="s">
        <v>74</v>
      </c>
      <c r="P94" t="s">
        <v>74</v>
      </c>
      <c r="Q94" t="s">
        <v>74</v>
      </c>
      <c r="R94" t="s">
        <v>74</v>
      </c>
      <c r="S94" t="s">
        <v>74</v>
      </c>
      <c r="T94" t="s">
        <v>1932</v>
      </c>
      <c r="U94" t="s">
        <v>1933</v>
      </c>
      <c r="V94" t="s">
        <v>1934</v>
      </c>
      <c r="W94" t="s">
        <v>1935</v>
      </c>
      <c r="X94" t="s">
        <v>1936</v>
      </c>
      <c r="Y94" t="s">
        <v>1937</v>
      </c>
      <c r="Z94" t="s">
        <v>1938</v>
      </c>
      <c r="AA94" t="s">
        <v>1939</v>
      </c>
      <c r="AB94" t="s">
        <v>1940</v>
      </c>
      <c r="AC94" t="s">
        <v>1941</v>
      </c>
      <c r="AD94" t="s">
        <v>1942</v>
      </c>
      <c r="AE94" t="s">
        <v>1943</v>
      </c>
      <c r="AF94" t="s">
        <v>74</v>
      </c>
      <c r="AG94">
        <v>43</v>
      </c>
      <c r="AH94">
        <v>16</v>
      </c>
      <c r="AI94">
        <v>17</v>
      </c>
      <c r="AJ94">
        <v>0</v>
      </c>
      <c r="AK94">
        <v>15</v>
      </c>
      <c r="AL94" t="s">
        <v>1441</v>
      </c>
      <c r="AM94" t="s">
        <v>91</v>
      </c>
      <c r="AN94" t="s">
        <v>1902</v>
      </c>
      <c r="AO94" t="s">
        <v>1903</v>
      </c>
      <c r="AP94" t="s">
        <v>1904</v>
      </c>
      <c r="AQ94" t="s">
        <v>74</v>
      </c>
      <c r="AR94" t="s">
        <v>1905</v>
      </c>
      <c r="AS94" t="s">
        <v>1906</v>
      </c>
      <c r="AT94" t="s">
        <v>629</v>
      </c>
      <c r="AU94">
        <v>2011</v>
      </c>
      <c r="AV94">
        <v>34</v>
      </c>
      <c r="AW94">
        <v>8</v>
      </c>
      <c r="AX94" t="s">
        <v>74</v>
      </c>
      <c r="AY94" t="s">
        <v>74</v>
      </c>
      <c r="AZ94" t="s">
        <v>74</v>
      </c>
      <c r="BA94" t="s">
        <v>74</v>
      </c>
      <c r="BB94">
        <v>1135</v>
      </c>
      <c r="BC94">
        <v>1145</v>
      </c>
      <c r="BD94" t="s">
        <v>74</v>
      </c>
      <c r="BE94" t="s">
        <v>1944</v>
      </c>
      <c r="BF94" t="str">
        <f>HYPERLINK("http://dx.doi.org/10.1007/s00300-011-0974-5","http://dx.doi.org/10.1007/s00300-011-0974-5")</f>
        <v>http://dx.doi.org/10.1007/s00300-011-0974-5</v>
      </c>
      <c r="BG94" t="s">
        <v>74</v>
      </c>
      <c r="BH94" t="s">
        <v>74</v>
      </c>
      <c r="BI94">
        <v>11</v>
      </c>
      <c r="BJ94" t="s">
        <v>1908</v>
      </c>
      <c r="BK94" t="s">
        <v>100</v>
      </c>
      <c r="BL94" t="s">
        <v>1909</v>
      </c>
      <c r="BM94" t="s">
        <v>1910</v>
      </c>
      <c r="BN94" t="s">
        <v>74</v>
      </c>
      <c r="BO94" t="s">
        <v>74</v>
      </c>
      <c r="BP94" t="s">
        <v>74</v>
      </c>
      <c r="BQ94" t="s">
        <v>74</v>
      </c>
      <c r="BR94" t="s">
        <v>103</v>
      </c>
      <c r="BS94" t="s">
        <v>1945</v>
      </c>
      <c r="BT94" t="str">
        <f>HYPERLINK("https%3A%2F%2Fwww.webofscience.com%2Fwos%2Fwoscc%2Ffull-record%2FWOS:000292887600004","View Full Record in Web of Science")</f>
        <v>View Full Record in Web of Science</v>
      </c>
    </row>
    <row r="95" spans="1:72" x14ac:dyDescent="0.15">
      <c r="A95" t="s">
        <v>72</v>
      </c>
      <c r="B95" t="s">
        <v>1946</v>
      </c>
      <c r="C95" t="s">
        <v>74</v>
      </c>
      <c r="D95" t="s">
        <v>74</v>
      </c>
      <c r="E95" t="s">
        <v>74</v>
      </c>
      <c r="F95" t="s">
        <v>1947</v>
      </c>
      <c r="G95" t="s">
        <v>74</v>
      </c>
      <c r="H95" t="s">
        <v>74</v>
      </c>
      <c r="I95" t="s">
        <v>1948</v>
      </c>
      <c r="J95" t="s">
        <v>1889</v>
      </c>
      <c r="K95" t="s">
        <v>74</v>
      </c>
      <c r="L95" t="s">
        <v>74</v>
      </c>
      <c r="M95" t="s">
        <v>78</v>
      </c>
      <c r="N95" t="s">
        <v>79</v>
      </c>
      <c r="O95" t="s">
        <v>74</v>
      </c>
      <c r="P95" t="s">
        <v>74</v>
      </c>
      <c r="Q95" t="s">
        <v>74</v>
      </c>
      <c r="R95" t="s">
        <v>74</v>
      </c>
      <c r="S95" t="s">
        <v>74</v>
      </c>
      <c r="T95" t="s">
        <v>1949</v>
      </c>
      <c r="U95" t="s">
        <v>1950</v>
      </c>
      <c r="V95" t="s">
        <v>1951</v>
      </c>
      <c r="W95" t="s">
        <v>1952</v>
      </c>
      <c r="X95" t="s">
        <v>1953</v>
      </c>
      <c r="Y95" t="s">
        <v>1954</v>
      </c>
      <c r="Z95" t="s">
        <v>1955</v>
      </c>
      <c r="AA95" t="s">
        <v>1956</v>
      </c>
      <c r="AB95" t="s">
        <v>1957</v>
      </c>
      <c r="AC95" t="s">
        <v>1958</v>
      </c>
      <c r="AD95" t="s">
        <v>1959</v>
      </c>
      <c r="AE95" t="s">
        <v>1960</v>
      </c>
      <c r="AF95" t="s">
        <v>74</v>
      </c>
      <c r="AG95">
        <v>44</v>
      </c>
      <c r="AH95">
        <v>6</v>
      </c>
      <c r="AI95">
        <v>8</v>
      </c>
      <c r="AJ95">
        <v>4</v>
      </c>
      <c r="AK95">
        <v>17</v>
      </c>
      <c r="AL95" t="s">
        <v>1441</v>
      </c>
      <c r="AM95" t="s">
        <v>91</v>
      </c>
      <c r="AN95" t="s">
        <v>1595</v>
      </c>
      <c r="AO95" t="s">
        <v>1903</v>
      </c>
      <c r="AP95" t="s">
        <v>1904</v>
      </c>
      <c r="AQ95" t="s">
        <v>74</v>
      </c>
      <c r="AR95" t="s">
        <v>1905</v>
      </c>
      <c r="AS95" t="s">
        <v>1906</v>
      </c>
      <c r="AT95" t="s">
        <v>629</v>
      </c>
      <c r="AU95">
        <v>2011</v>
      </c>
      <c r="AV95">
        <v>34</v>
      </c>
      <c r="AW95">
        <v>8</v>
      </c>
      <c r="AX95" t="s">
        <v>74</v>
      </c>
      <c r="AY95" t="s">
        <v>74</v>
      </c>
      <c r="AZ95" t="s">
        <v>74</v>
      </c>
      <c r="BA95" t="s">
        <v>74</v>
      </c>
      <c r="BB95">
        <v>1167</v>
      </c>
      <c r="BC95">
        <v>1174</v>
      </c>
      <c r="BD95" t="s">
        <v>74</v>
      </c>
      <c r="BE95" t="s">
        <v>1961</v>
      </c>
      <c r="BF95" t="str">
        <f>HYPERLINK("http://dx.doi.org/10.1007/s00300-011-0979-0","http://dx.doi.org/10.1007/s00300-011-0979-0")</f>
        <v>http://dx.doi.org/10.1007/s00300-011-0979-0</v>
      </c>
      <c r="BG95" t="s">
        <v>74</v>
      </c>
      <c r="BH95" t="s">
        <v>74</v>
      </c>
      <c r="BI95">
        <v>8</v>
      </c>
      <c r="BJ95" t="s">
        <v>1908</v>
      </c>
      <c r="BK95" t="s">
        <v>100</v>
      </c>
      <c r="BL95" t="s">
        <v>1909</v>
      </c>
      <c r="BM95" t="s">
        <v>1910</v>
      </c>
      <c r="BN95" t="s">
        <v>74</v>
      </c>
      <c r="BO95" t="s">
        <v>74</v>
      </c>
      <c r="BP95" t="s">
        <v>74</v>
      </c>
      <c r="BQ95" t="s">
        <v>74</v>
      </c>
      <c r="BR95" t="s">
        <v>103</v>
      </c>
      <c r="BS95" t="s">
        <v>1962</v>
      </c>
      <c r="BT95" t="str">
        <f>HYPERLINK("https%3A%2F%2Fwww.webofscience.com%2Fwos%2Fwoscc%2Ffull-record%2FWOS:000292887600007","View Full Record in Web of Science")</f>
        <v>View Full Record in Web of Science</v>
      </c>
    </row>
    <row r="96" spans="1:72" x14ac:dyDescent="0.15">
      <c r="A96" t="s">
        <v>72</v>
      </c>
      <c r="B96" t="s">
        <v>1963</v>
      </c>
      <c r="C96" t="s">
        <v>74</v>
      </c>
      <c r="D96" t="s">
        <v>74</v>
      </c>
      <c r="E96" t="s">
        <v>74</v>
      </c>
      <c r="F96" t="s">
        <v>1964</v>
      </c>
      <c r="G96" t="s">
        <v>74</v>
      </c>
      <c r="H96" t="s">
        <v>74</v>
      </c>
      <c r="I96" t="s">
        <v>1965</v>
      </c>
      <c r="J96" t="s">
        <v>1889</v>
      </c>
      <c r="K96" t="s">
        <v>74</v>
      </c>
      <c r="L96" t="s">
        <v>74</v>
      </c>
      <c r="M96" t="s">
        <v>78</v>
      </c>
      <c r="N96" t="s">
        <v>79</v>
      </c>
      <c r="O96" t="s">
        <v>74</v>
      </c>
      <c r="P96" t="s">
        <v>74</v>
      </c>
      <c r="Q96" t="s">
        <v>74</v>
      </c>
      <c r="R96" t="s">
        <v>74</v>
      </c>
      <c r="S96" t="s">
        <v>74</v>
      </c>
      <c r="T96" t="s">
        <v>1966</v>
      </c>
      <c r="U96" t="s">
        <v>1967</v>
      </c>
      <c r="V96" t="s">
        <v>1968</v>
      </c>
      <c r="W96" t="s">
        <v>1969</v>
      </c>
      <c r="X96" t="s">
        <v>1970</v>
      </c>
      <c r="Y96" t="s">
        <v>1971</v>
      </c>
      <c r="Z96" t="s">
        <v>1972</v>
      </c>
      <c r="AA96" t="s">
        <v>74</v>
      </c>
      <c r="AB96" t="s">
        <v>74</v>
      </c>
      <c r="AC96" t="s">
        <v>74</v>
      </c>
      <c r="AD96" t="s">
        <v>74</v>
      </c>
      <c r="AE96" t="s">
        <v>74</v>
      </c>
      <c r="AF96" t="s">
        <v>74</v>
      </c>
      <c r="AG96">
        <v>25</v>
      </c>
      <c r="AH96">
        <v>12</v>
      </c>
      <c r="AI96">
        <v>13</v>
      </c>
      <c r="AJ96">
        <v>0</v>
      </c>
      <c r="AK96">
        <v>20</v>
      </c>
      <c r="AL96" t="s">
        <v>1441</v>
      </c>
      <c r="AM96" t="s">
        <v>91</v>
      </c>
      <c r="AN96" t="s">
        <v>1595</v>
      </c>
      <c r="AO96" t="s">
        <v>1903</v>
      </c>
      <c r="AP96" t="s">
        <v>74</v>
      </c>
      <c r="AQ96" t="s">
        <v>74</v>
      </c>
      <c r="AR96" t="s">
        <v>1905</v>
      </c>
      <c r="AS96" t="s">
        <v>1906</v>
      </c>
      <c r="AT96" t="s">
        <v>629</v>
      </c>
      <c r="AU96">
        <v>2011</v>
      </c>
      <c r="AV96">
        <v>34</v>
      </c>
      <c r="AW96">
        <v>8</v>
      </c>
      <c r="AX96" t="s">
        <v>74</v>
      </c>
      <c r="AY96" t="s">
        <v>74</v>
      </c>
      <c r="AZ96" t="s">
        <v>74</v>
      </c>
      <c r="BA96" t="s">
        <v>74</v>
      </c>
      <c r="BB96">
        <v>1249</v>
      </c>
      <c r="BC96">
        <v>1252</v>
      </c>
      <c r="BD96" t="s">
        <v>74</v>
      </c>
      <c r="BE96" t="s">
        <v>1973</v>
      </c>
      <c r="BF96" t="str">
        <f>HYPERLINK("http://dx.doi.org/10.1007/s00300-011-0970-9","http://dx.doi.org/10.1007/s00300-011-0970-9")</f>
        <v>http://dx.doi.org/10.1007/s00300-011-0970-9</v>
      </c>
      <c r="BG96" t="s">
        <v>74</v>
      </c>
      <c r="BH96" t="s">
        <v>74</v>
      </c>
      <c r="BI96">
        <v>4</v>
      </c>
      <c r="BJ96" t="s">
        <v>1908</v>
      </c>
      <c r="BK96" t="s">
        <v>100</v>
      </c>
      <c r="BL96" t="s">
        <v>1909</v>
      </c>
      <c r="BM96" t="s">
        <v>1910</v>
      </c>
      <c r="BN96" t="s">
        <v>74</v>
      </c>
      <c r="BO96" t="s">
        <v>74</v>
      </c>
      <c r="BP96" t="s">
        <v>74</v>
      </c>
      <c r="BQ96" t="s">
        <v>74</v>
      </c>
      <c r="BR96" t="s">
        <v>103</v>
      </c>
      <c r="BS96" t="s">
        <v>1974</v>
      </c>
      <c r="BT96" t="str">
        <f>HYPERLINK("https%3A%2F%2Fwww.webofscience.com%2Fwos%2Fwoscc%2Ffull-record%2FWOS:000292887600015","View Full Record in Web of Science")</f>
        <v>View Full Record in Web of Science</v>
      </c>
    </row>
    <row r="97" spans="1:72" x14ac:dyDescent="0.15">
      <c r="A97" t="s">
        <v>72</v>
      </c>
      <c r="B97" t="s">
        <v>1975</v>
      </c>
      <c r="C97" t="s">
        <v>74</v>
      </c>
      <c r="D97" t="s">
        <v>74</v>
      </c>
      <c r="E97" t="s">
        <v>74</v>
      </c>
      <c r="F97" t="s">
        <v>1976</v>
      </c>
      <c r="G97" t="s">
        <v>74</v>
      </c>
      <c r="H97" t="s">
        <v>74</v>
      </c>
      <c r="I97" t="s">
        <v>1977</v>
      </c>
      <c r="J97" t="s">
        <v>1978</v>
      </c>
      <c r="K97" t="s">
        <v>74</v>
      </c>
      <c r="L97" t="s">
        <v>74</v>
      </c>
      <c r="M97" t="s">
        <v>78</v>
      </c>
      <c r="N97" t="s">
        <v>79</v>
      </c>
      <c r="O97" t="s">
        <v>74</v>
      </c>
      <c r="P97" t="s">
        <v>74</v>
      </c>
      <c r="Q97" t="s">
        <v>74</v>
      </c>
      <c r="R97" t="s">
        <v>74</v>
      </c>
      <c r="S97" t="s">
        <v>74</v>
      </c>
      <c r="T97" t="s">
        <v>74</v>
      </c>
      <c r="U97" t="s">
        <v>1979</v>
      </c>
      <c r="V97" t="s">
        <v>1980</v>
      </c>
      <c r="W97" t="s">
        <v>1981</v>
      </c>
      <c r="X97" t="s">
        <v>1982</v>
      </c>
      <c r="Y97" t="s">
        <v>1983</v>
      </c>
      <c r="Z97" t="s">
        <v>1984</v>
      </c>
      <c r="AA97" t="s">
        <v>74</v>
      </c>
      <c r="AB97" t="s">
        <v>74</v>
      </c>
      <c r="AC97" t="s">
        <v>1985</v>
      </c>
      <c r="AD97" t="s">
        <v>1986</v>
      </c>
      <c r="AE97" t="s">
        <v>1987</v>
      </c>
      <c r="AF97" t="s">
        <v>74</v>
      </c>
      <c r="AG97">
        <v>48</v>
      </c>
      <c r="AH97">
        <v>32</v>
      </c>
      <c r="AI97">
        <v>34</v>
      </c>
      <c r="AJ97">
        <v>3</v>
      </c>
      <c r="AK97">
        <v>27</v>
      </c>
      <c r="AL97" t="s">
        <v>1988</v>
      </c>
      <c r="AM97" t="s">
        <v>1989</v>
      </c>
      <c r="AN97" t="s">
        <v>1990</v>
      </c>
      <c r="AO97" t="s">
        <v>1991</v>
      </c>
      <c r="AP97" t="s">
        <v>1992</v>
      </c>
      <c r="AQ97" t="s">
        <v>74</v>
      </c>
      <c r="AR97" t="s">
        <v>1993</v>
      </c>
      <c r="AS97" t="s">
        <v>1994</v>
      </c>
      <c r="AT97" t="s">
        <v>629</v>
      </c>
      <c r="AU97">
        <v>2011</v>
      </c>
      <c r="AV97">
        <v>63</v>
      </c>
      <c r="AW97">
        <v>4</v>
      </c>
      <c r="AX97" t="s">
        <v>74</v>
      </c>
      <c r="AY97" t="s">
        <v>74</v>
      </c>
      <c r="AZ97" t="s">
        <v>74</v>
      </c>
      <c r="BA97" t="s">
        <v>74</v>
      </c>
      <c r="BB97">
        <v>828</v>
      </c>
      <c r="BC97">
        <v>840</v>
      </c>
      <c r="BD97" t="s">
        <v>74</v>
      </c>
      <c r="BE97" t="s">
        <v>1995</v>
      </c>
      <c r="BF97" t="str">
        <f>HYPERLINK("http://dx.doi.org/10.1111/j.1600-0870.2011.00526.x","http://dx.doi.org/10.1111/j.1600-0870.2011.00526.x")</f>
        <v>http://dx.doi.org/10.1111/j.1600-0870.2011.00526.x</v>
      </c>
      <c r="BG97" t="s">
        <v>74</v>
      </c>
      <c r="BH97" t="s">
        <v>74</v>
      </c>
      <c r="BI97">
        <v>13</v>
      </c>
      <c r="BJ97" t="s">
        <v>1996</v>
      </c>
      <c r="BK97" t="s">
        <v>100</v>
      </c>
      <c r="BL97" t="s">
        <v>1996</v>
      </c>
      <c r="BM97" t="s">
        <v>1997</v>
      </c>
      <c r="BN97" t="s">
        <v>74</v>
      </c>
      <c r="BO97" t="s">
        <v>1284</v>
      </c>
      <c r="BP97" t="s">
        <v>74</v>
      </c>
      <c r="BQ97" t="s">
        <v>74</v>
      </c>
      <c r="BR97" t="s">
        <v>103</v>
      </c>
      <c r="BS97" t="s">
        <v>1998</v>
      </c>
      <c r="BT97" t="str">
        <f>HYPERLINK("https%3A%2F%2Fwww.webofscience.com%2Fwos%2Fwoscc%2Ffull-record%2FWOS:000292864500014","View Full Record in Web of Science")</f>
        <v>View Full Record in Web of Science</v>
      </c>
    </row>
    <row r="98" spans="1:72" x14ac:dyDescent="0.15">
      <c r="A98" t="s">
        <v>72</v>
      </c>
      <c r="B98" t="s">
        <v>1999</v>
      </c>
      <c r="C98" t="s">
        <v>74</v>
      </c>
      <c r="D98" t="s">
        <v>74</v>
      </c>
      <c r="E98" t="s">
        <v>74</v>
      </c>
      <c r="F98" t="s">
        <v>2000</v>
      </c>
      <c r="G98" t="s">
        <v>74</v>
      </c>
      <c r="H98" t="s">
        <v>74</v>
      </c>
      <c r="I98" t="s">
        <v>2001</v>
      </c>
      <c r="J98" t="s">
        <v>707</v>
      </c>
      <c r="K98" t="s">
        <v>74</v>
      </c>
      <c r="L98" t="s">
        <v>74</v>
      </c>
      <c r="M98" t="s">
        <v>78</v>
      </c>
      <c r="N98" t="s">
        <v>2002</v>
      </c>
      <c r="O98" t="s">
        <v>74</v>
      </c>
      <c r="P98" t="s">
        <v>74</v>
      </c>
      <c r="Q98" t="s">
        <v>74</v>
      </c>
      <c r="R98" t="s">
        <v>74</v>
      </c>
      <c r="S98" t="s">
        <v>74</v>
      </c>
      <c r="T98" t="s">
        <v>74</v>
      </c>
      <c r="U98" t="s">
        <v>74</v>
      </c>
      <c r="V98" t="s">
        <v>74</v>
      </c>
      <c r="W98" t="s">
        <v>74</v>
      </c>
      <c r="X98" t="s">
        <v>74</v>
      </c>
      <c r="Y98" t="s">
        <v>74</v>
      </c>
      <c r="Z98" t="s">
        <v>74</v>
      </c>
      <c r="AA98" t="s">
        <v>2003</v>
      </c>
      <c r="AB98" t="s">
        <v>74</v>
      </c>
      <c r="AC98" t="s">
        <v>2004</v>
      </c>
      <c r="AD98" t="s">
        <v>2005</v>
      </c>
      <c r="AE98" t="s">
        <v>74</v>
      </c>
      <c r="AF98" t="s">
        <v>74</v>
      </c>
      <c r="AG98">
        <v>0</v>
      </c>
      <c r="AH98">
        <v>0</v>
      </c>
      <c r="AI98">
        <v>0</v>
      </c>
      <c r="AJ98">
        <v>1</v>
      </c>
      <c r="AK98">
        <v>9</v>
      </c>
      <c r="AL98" t="s">
        <v>693</v>
      </c>
      <c r="AM98" t="s">
        <v>91</v>
      </c>
      <c r="AN98" t="s">
        <v>694</v>
      </c>
      <c r="AO98" t="s">
        <v>717</v>
      </c>
      <c r="AP98" t="s">
        <v>74</v>
      </c>
      <c r="AQ98" t="s">
        <v>74</v>
      </c>
      <c r="AR98" t="s">
        <v>719</v>
      </c>
      <c r="AS98" t="s">
        <v>720</v>
      </c>
      <c r="AT98" t="s">
        <v>629</v>
      </c>
      <c r="AU98">
        <v>2011</v>
      </c>
      <c r="AV98">
        <v>23</v>
      </c>
      <c r="AW98">
        <v>4</v>
      </c>
      <c r="AX98" t="s">
        <v>74</v>
      </c>
      <c r="AY98" t="s">
        <v>74</v>
      </c>
      <c r="AZ98" t="s">
        <v>74</v>
      </c>
      <c r="BA98" t="s">
        <v>74</v>
      </c>
      <c r="BB98">
        <v>321</v>
      </c>
      <c r="BC98">
        <v>321</v>
      </c>
      <c r="BD98" t="s">
        <v>74</v>
      </c>
      <c r="BE98" t="s">
        <v>2006</v>
      </c>
      <c r="BF98" t="str">
        <f>HYPERLINK("http://dx.doi.org/10.1017/S0954102011000496","http://dx.doi.org/10.1017/S0954102011000496")</f>
        <v>http://dx.doi.org/10.1017/S0954102011000496</v>
      </c>
      <c r="BG98" t="s">
        <v>74</v>
      </c>
      <c r="BH98" t="s">
        <v>74</v>
      </c>
      <c r="BI98">
        <v>1</v>
      </c>
      <c r="BJ98" t="s">
        <v>722</v>
      </c>
      <c r="BK98" t="s">
        <v>100</v>
      </c>
      <c r="BL98" t="s">
        <v>723</v>
      </c>
      <c r="BM98" t="s">
        <v>724</v>
      </c>
      <c r="BN98" t="s">
        <v>74</v>
      </c>
      <c r="BO98" t="s">
        <v>594</v>
      </c>
      <c r="BP98" t="s">
        <v>74</v>
      </c>
      <c r="BQ98" t="s">
        <v>74</v>
      </c>
      <c r="BR98" t="s">
        <v>103</v>
      </c>
      <c r="BS98" t="s">
        <v>2007</v>
      </c>
      <c r="BT98" t="str">
        <f>HYPERLINK("https%3A%2F%2Fwww.webofscience.com%2Fwos%2Fwoscc%2Ffull-record%2FWOS:000293337000001","View Full Record in Web of Science")</f>
        <v>View Full Record in Web of Science</v>
      </c>
    </row>
    <row r="99" spans="1:72" x14ac:dyDescent="0.15">
      <c r="A99" t="s">
        <v>72</v>
      </c>
      <c r="B99" t="s">
        <v>2008</v>
      </c>
      <c r="C99" t="s">
        <v>74</v>
      </c>
      <c r="D99" t="s">
        <v>74</v>
      </c>
      <c r="E99" t="s">
        <v>74</v>
      </c>
      <c r="F99" t="s">
        <v>2009</v>
      </c>
      <c r="G99" t="s">
        <v>74</v>
      </c>
      <c r="H99" t="s">
        <v>74</v>
      </c>
      <c r="I99" t="s">
        <v>2010</v>
      </c>
      <c r="J99" t="s">
        <v>707</v>
      </c>
      <c r="K99" t="s">
        <v>74</v>
      </c>
      <c r="L99" t="s">
        <v>74</v>
      </c>
      <c r="M99" t="s">
        <v>78</v>
      </c>
      <c r="N99" t="s">
        <v>79</v>
      </c>
      <c r="O99" t="s">
        <v>74</v>
      </c>
      <c r="P99" t="s">
        <v>74</v>
      </c>
      <c r="Q99" t="s">
        <v>74</v>
      </c>
      <c r="R99" t="s">
        <v>74</v>
      </c>
      <c r="S99" t="s">
        <v>74</v>
      </c>
      <c r="T99" t="s">
        <v>2011</v>
      </c>
      <c r="U99" t="s">
        <v>2012</v>
      </c>
      <c r="V99" t="s">
        <v>2013</v>
      </c>
      <c r="W99" t="s">
        <v>2014</v>
      </c>
      <c r="X99" t="s">
        <v>2015</v>
      </c>
      <c r="Y99" t="s">
        <v>2016</v>
      </c>
      <c r="Z99" t="s">
        <v>2017</v>
      </c>
      <c r="AA99" t="s">
        <v>2018</v>
      </c>
      <c r="AB99" t="s">
        <v>2019</v>
      </c>
      <c r="AC99" t="s">
        <v>2020</v>
      </c>
      <c r="AD99" t="s">
        <v>2021</v>
      </c>
      <c r="AE99" t="s">
        <v>2022</v>
      </c>
      <c r="AF99" t="s">
        <v>74</v>
      </c>
      <c r="AG99">
        <v>46</v>
      </c>
      <c r="AH99">
        <v>10</v>
      </c>
      <c r="AI99">
        <v>10</v>
      </c>
      <c r="AJ99">
        <v>1</v>
      </c>
      <c r="AK99">
        <v>29</v>
      </c>
      <c r="AL99" t="s">
        <v>693</v>
      </c>
      <c r="AM99" t="s">
        <v>91</v>
      </c>
      <c r="AN99" t="s">
        <v>694</v>
      </c>
      <c r="AO99" t="s">
        <v>717</v>
      </c>
      <c r="AP99" t="s">
        <v>718</v>
      </c>
      <c r="AQ99" t="s">
        <v>74</v>
      </c>
      <c r="AR99" t="s">
        <v>719</v>
      </c>
      <c r="AS99" t="s">
        <v>720</v>
      </c>
      <c r="AT99" t="s">
        <v>629</v>
      </c>
      <c r="AU99">
        <v>2011</v>
      </c>
      <c r="AV99">
        <v>23</v>
      </c>
      <c r="AW99">
        <v>4</v>
      </c>
      <c r="AX99" t="s">
        <v>74</v>
      </c>
      <c r="AY99" t="s">
        <v>74</v>
      </c>
      <c r="AZ99" t="s">
        <v>74</v>
      </c>
      <c r="BA99" t="s">
        <v>74</v>
      </c>
      <c r="BB99">
        <v>323</v>
      </c>
      <c r="BC99">
        <v>331</v>
      </c>
      <c r="BD99" t="s">
        <v>74</v>
      </c>
      <c r="BE99" t="s">
        <v>2023</v>
      </c>
      <c r="BF99" t="str">
        <f>HYPERLINK("http://dx.doi.org/10.1017/S0954102011000253","http://dx.doi.org/10.1017/S0954102011000253")</f>
        <v>http://dx.doi.org/10.1017/S0954102011000253</v>
      </c>
      <c r="BG99" t="s">
        <v>74</v>
      </c>
      <c r="BH99" t="s">
        <v>74</v>
      </c>
      <c r="BI99">
        <v>9</v>
      </c>
      <c r="BJ99" t="s">
        <v>722</v>
      </c>
      <c r="BK99" t="s">
        <v>100</v>
      </c>
      <c r="BL99" t="s">
        <v>723</v>
      </c>
      <c r="BM99" t="s">
        <v>724</v>
      </c>
      <c r="BN99" t="s">
        <v>74</v>
      </c>
      <c r="BO99" t="s">
        <v>273</v>
      </c>
      <c r="BP99" t="s">
        <v>74</v>
      </c>
      <c r="BQ99" t="s">
        <v>74</v>
      </c>
      <c r="BR99" t="s">
        <v>103</v>
      </c>
      <c r="BS99" t="s">
        <v>2024</v>
      </c>
      <c r="BT99" t="str">
        <f>HYPERLINK("https%3A%2F%2Fwww.webofscience.com%2Fwos%2Fwoscc%2Ffull-record%2FWOS:000293337000002","View Full Record in Web of Science")</f>
        <v>View Full Record in Web of Science</v>
      </c>
    </row>
    <row r="100" spans="1:72" x14ac:dyDescent="0.15">
      <c r="A100" t="s">
        <v>72</v>
      </c>
      <c r="B100" t="s">
        <v>2025</v>
      </c>
      <c r="C100" t="s">
        <v>74</v>
      </c>
      <c r="D100" t="s">
        <v>74</v>
      </c>
      <c r="E100" t="s">
        <v>74</v>
      </c>
      <c r="F100" t="s">
        <v>2026</v>
      </c>
      <c r="G100" t="s">
        <v>74</v>
      </c>
      <c r="H100" t="s">
        <v>74</v>
      </c>
      <c r="I100" t="s">
        <v>2027</v>
      </c>
      <c r="J100" t="s">
        <v>707</v>
      </c>
      <c r="K100" t="s">
        <v>74</v>
      </c>
      <c r="L100" t="s">
        <v>74</v>
      </c>
      <c r="M100" t="s">
        <v>78</v>
      </c>
      <c r="N100" t="s">
        <v>79</v>
      </c>
      <c r="O100" t="s">
        <v>74</v>
      </c>
      <c r="P100" t="s">
        <v>74</v>
      </c>
      <c r="Q100" t="s">
        <v>74</v>
      </c>
      <c r="R100" t="s">
        <v>74</v>
      </c>
      <c r="S100" t="s">
        <v>74</v>
      </c>
      <c r="T100" t="s">
        <v>2028</v>
      </c>
      <c r="U100" t="s">
        <v>2029</v>
      </c>
      <c r="V100" t="s">
        <v>2030</v>
      </c>
      <c r="W100" t="s">
        <v>2031</v>
      </c>
      <c r="X100" t="s">
        <v>2032</v>
      </c>
      <c r="Y100" t="s">
        <v>2033</v>
      </c>
      <c r="Z100" t="s">
        <v>2034</v>
      </c>
      <c r="AA100" t="s">
        <v>74</v>
      </c>
      <c r="AB100" t="s">
        <v>2035</v>
      </c>
      <c r="AC100" t="s">
        <v>2036</v>
      </c>
      <c r="AD100" t="s">
        <v>2037</v>
      </c>
      <c r="AE100" t="s">
        <v>2038</v>
      </c>
      <c r="AF100" t="s">
        <v>74</v>
      </c>
      <c r="AG100">
        <v>29</v>
      </c>
      <c r="AH100">
        <v>16</v>
      </c>
      <c r="AI100">
        <v>19</v>
      </c>
      <c r="AJ100">
        <v>0</v>
      </c>
      <c r="AK100">
        <v>11</v>
      </c>
      <c r="AL100" t="s">
        <v>693</v>
      </c>
      <c r="AM100" t="s">
        <v>91</v>
      </c>
      <c r="AN100" t="s">
        <v>694</v>
      </c>
      <c r="AO100" t="s">
        <v>717</v>
      </c>
      <c r="AP100" t="s">
        <v>74</v>
      </c>
      <c r="AQ100" t="s">
        <v>74</v>
      </c>
      <c r="AR100" t="s">
        <v>719</v>
      </c>
      <c r="AS100" t="s">
        <v>720</v>
      </c>
      <c r="AT100" t="s">
        <v>629</v>
      </c>
      <c r="AU100">
        <v>2011</v>
      </c>
      <c r="AV100">
        <v>23</v>
      </c>
      <c r="AW100">
        <v>4</v>
      </c>
      <c r="AX100" t="s">
        <v>74</v>
      </c>
      <c r="AY100" t="s">
        <v>74</v>
      </c>
      <c r="AZ100" t="s">
        <v>74</v>
      </c>
      <c r="BA100" t="s">
        <v>74</v>
      </c>
      <c r="BB100">
        <v>332</v>
      </c>
      <c r="BC100">
        <v>336</v>
      </c>
      <c r="BD100" t="s">
        <v>74</v>
      </c>
      <c r="BE100" t="s">
        <v>2039</v>
      </c>
      <c r="BF100" t="str">
        <f>HYPERLINK("http://dx.doi.org/10.1017/S0954102011000071","http://dx.doi.org/10.1017/S0954102011000071")</f>
        <v>http://dx.doi.org/10.1017/S0954102011000071</v>
      </c>
      <c r="BG100" t="s">
        <v>74</v>
      </c>
      <c r="BH100" t="s">
        <v>74</v>
      </c>
      <c r="BI100">
        <v>5</v>
      </c>
      <c r="BJ100" t="s">
        <v>722</v>
      </c>
      <c r="BK100" t="s">
        <v>100</v>
      </c>
      <c r="BL100" t="s">
        <v>723</v>
      </c>
      <c r="BM100" t="s">
        <v>724</v>
      </c>
      <c r="BN100" t="s">
        <v>74</v>
      </c>
      <c r="BO100" t="s">
        <v>74</v>
      </c>
      <c r="BP100" t="s">
        <v>74</v>
      </c>
      <c r="BQ100" t="s">
        <v>74</v>
      </c>
      <c r="BR100" t="s">
        <v>103</v>
      </c>
      <c r="BS100" t="s">
        <v>2040</v>
      </c>
      <c r="BT100" t="str">
        <f>HYPERLINK("https%3A%2F%2Fwww.webofscience.com%2Fwos%2Fwoscc%2Ffull-record%2FWOS:000293337000003","View Full Record in Web of Science")</f>
        <v>View Full Record in Web of Science</v>
      </c>
    </row>
    <row r="101" spans="1:72" x14ac:dyDescent="0.15">
      <c r="A101" t="s">
        <v>72</v>
      </c>
      <c r="B101" t="s">
        <v>2041</v>
      </c>
      <c r="C101" t="s">
        <v>74</v>
      </c>
      <c r="D101" t="s">
        <v>74</v>
      </c>
      <c r="E101" t="s">
        <v>74</v>
      </c>
      <c r="F101" t="s">
        <v>2042</v>
      </c>
      <c r="G101" t="s">
        <v>74</v>
      </c>
      <c r="H101" t="s">
        <v>74</v>
      </c>
      <c r="I101" t="s">
        <v>2043</v>
      </c>
      <c r="J101" t="s">
        <v>707</v>
      </c>
      <c r="K101" t="s">
        <v>74</v>
      </c>
      <c r="L101" t="s">
        <v>74</v>
      </c>
      <c r="M101" t="s">
        <v>78</v>
      </c>
      <c r="N101" t="s">
        <v>79</v>
      </c>
      <c r="O101" t="s">
        <v>74</v>
      </c>
      <c r="P101" t="s">
        <v>74</v>
      </c>
      <c r="Q101" t="s">
        <v>74</v>
      </c>
      <c r="R101" t="s">
        <v>74</v>
      </c>
      <c r="S101" t="s">
        <v>74</v>
      </c>
      <c r="T101" t="s">
        <v>2044</v>
      </c>
      <c r="U101" t="s">
        <v>2045</v>
      </c>
      <c r="V101" t="s">
        <v>2046</v>
      </c>
      <c r="W101" t="s">
        <v>2047</v>
      </c>
      <c r="X101" t="s">
        <v>2048</v>
      </c>
      <c r="Y101" t="s">
        <v>2049</v>
      </c>
      <c r="Z101" t="s">
        <v>2050</v>
      </c>
      <c r="AA101" t="s">
        <v>2051</v>
      </c>
      <c r="AB101" t="s">
        <v>2052</v>
      </c>
      <c r="AC101" t="s">
        <v>2053</v>
      </c>
      <c r="AD101" t="s">
        <v>2054</v>
      </c>
      <c r="AE101" t="s">
        <v>2055</v>
      </c>
      <c r="AF101" t="s">
        <v>74</v>
      </c>
      <c r="AG101">
        <v>32</v>
      </c>
      <c r="AH101">
        <v>17</v>
      </c>
      <c r="AI101">
        <v>20</v>
      </c>
      <c r="AJ101">
        <v>0</v>
      </c>
      <c r="AK101">
        <v>8</v>
      </c>
      <c r="AL101" t="s">
        <v>693</v>
      </c>
      <c r="AM101" t="s">
        <v>91</v>
      </c>
      <c r="AN101" t="s">
        <v>694</v>
      </c>
      <c r="AO101" t="s">
        <v>717</v>
      </c>
      <c r="AP101" t="s">
        <v>74</v>
      </c>
      <c r="AQ101" t="s">
        <v>74</v>
      </c>
      <c r="AR101" t="s">
        <v>719</v>
      </c>
      <c r="AS101" t="s">
        <v>720</v>
      </c>
      <c r="AT101" t="s">
        <v>629</v>
      </c>
      <c r="AU101">
        <v>2011</v>
      </c>
      <c r="AV101">
        <v>23</v>
      </c>
      <c r="AW101">
        <v>4</v>
      </c>
      <c r="AX101" t="s">
        <v>74</v>
      </c>
      <c r="AY101" t="s">
        <v>74</v>
      </c>
      <c r="AZ101" t="s">
        <v>74</v>
      </c>
      <c r="BA101" t="s">
        <v>74</v>
      </c>
      <c r="BB101">
        <v>343</v>
      </c>
      <c r="BC101">
        <v>348</v>
      </c>
      <c r="BD101" t="s">
        <v>74</v>
      </c>
      <c r="BE101" t="s">
        <v>2056</v>
      </c>
      <c r="BF101" t="str">
        <f>HYPERLINK("http://dx.doi.org/10.1017/S0954102011000186","http://dx.doi.org/10.1017/S0954102011000186")</f>
        <v>http://dx.doi.org/10.1017/S0954102011000186</v>
      </c>
      <c r="BG101" t="s">
        <v>74</v>
      </c>
      <c r="BH101" t="s">
        <v>74</v>
      </c>
      <c r="BI101">
        <v>6</v>
      </c>
      <c r="BJ101" t="s">
        <v>722</v>
      </c>
      <c r="BK101" t="s">
        <v>100</v>
      </c>
      <c r="BL101" t="s">
        <v>723</v>
      </c>
      <c r="BM101" t="s">
        <v>724</v>
      </c>
      <c r="BN101" t="s">
        <v>74</v>
      </c>
      <c r="BO101" t="s">
        <v>74</v>
      </c>
      <c r="BP101" t="s">
        <v>74</v>
      </c>
      <c r="BQ101" t="s">
        <v>74</v>
      </c>
      <c r="BR101" t="s">
        <v>103</v>
      </c>
      <c r="BS101" t="s">
        <v>2057</v>
      </c>
      <c r="BT101" t="str">
        <f>HYPERLINK("https%3A%2F%2Fwww.webofscience.com%2Fwos%2Fwoscc%2Ffull-record%2FWOS:000293337000005","View Full Record in Web of Science")</f>
        <v>View Full Record in Web of Science</v>
      </c>
    </row>
    <row r="102" spans="1:72" x14ac:dyDescent="0.15">
      <c r="A102" t="s">
        <v>72</v>
      </c>
      <c r="B102" t="s">
        <v>2058</v>
      </c>
      <c r="C102" t="s">
        <v>74</v>
      </c>
      <c r="D102" t="s">
        <v>74</v>
      </c>
      <c r="E102" t="s">
        <v>74</v>
      </c>
      <c r="F102" t="s">
        <v>2059</v>
      </c>
      <c r="G102" t="s">
        <v>74</v>
      </c>
      <c r="H102" t="s">
        <v>74</v>
      </c>
      <c r="I102" t="s">
        <v>2060</v>
      </c>
      <c r="J102" t="s">
        <v>707</v>
      </c>
      <c r="K102" t="s">
        <v>74</v>
      </c>
      <c r="L102" t="s">
        <v>74</v>
      </c>
      <c r="M102" t="s">
        <v>78</v>
      </c>
      <c r="N102" t="s">
        <v>79</v>
      </c>
      <c r="O102" t="s">
        <v>74</v>
      </c>
      <c r="P102" t="s">
        <v>74</v>
      </c>
      <c r="Q102" t="s">
        <v>74</v>
      </c>
      <c r="R102" t="s">
        <v>74</v>
      </c>
      <c r="S102" t="s">
        <v>74</v>
      </c>
      <c r="T102" t="s">
        <v>74</v>
      </c>
      <c r="U102" t="s">
        <v>74</v>
      </c>
      <c r="V102" t="s">
        <v>74</v>
      </c>
      <c r="W102" t="s">
        <v>2061</v>
      </c>
      <c r="X102" t="s">
        <v>2015</v>
      </c>
      <c r="Y102" t="s">
        <v>2062</v>
      </c>
      <c r="Z102" t="s">
        <v>2063</v>
      </c>
      <c r="AA102" t="s">
        <v>2064</v>
      </c>
      <c r="AB102" t="s">
        <v>2065</v>
      </c>
      <c r="AC102" t="s">
        <v>2066</v>
      </c>
      <c r="AD102" t="s">
        <v>2067</v>
      </c>
      <c r="AE102" t="s">
        <v>74</v>
      </c>
      <c r="AF102" t="s">
        <v>74</v>
      </c>
      <c r="AG102">
        <v>5</v>
      </c>
      <c r="AH102">
        <v>2</v>
      </c>
      <c r="AI102">
        <v>2</v>
      </c>
      <c r="AJ102">
        <v>0</v>
      </c>
      <c r="AK102">
        <v>6</v>
      </c>
      <c r="AL102" t="s">
        <v>693</v>
      </c>
      <c r="AM102" t="s">
        <v>91</v>
      </c>
      <c r="AN102" t="s">
        <v>694</v>
      </c>
      <c r="AO102" t="s">
        <v>717</v>
      </c>
      <c r="AP102" t="s">
        <v>74</v>
      </c>
      <c r="AQ102" t="s">
        <v>74</v>
      </c>
      <c r="AR102" t="s">
        <v>719</v>
      </c>
      <c r="AS102" t="s">
        <v>720</v>
      </c>
      <c r="AT102" t="s">
        <v>629</v>
      </c>
      <c r="AU102">
        <v>2011</v>
      </c>
      <c r="AV102">
        <v>23</v>
      </c>
      <c r="AW102">
        <v>4</v>
      </c>
      <c r="AX102" t="s">
        <v>74</v>
      </c>
      <c r="AY102" t="s">
        <v>74</v>
      </c>
      <c r="AZ102" t="s">
        <v>74</v>
      </c>
      <c r="BA102" t="s">
        <v>74</v>
      </c>
      <c r="BB102">
        <v>387</v>
      </c>
      <c r="BC102">
        <v>388</v>
      </c>
      <c r="BD102" t="s">
        <v>74</v>
      </c>
      <c r="BE102" t="s">
        <v>2068</v>
      </c>
      <c r="BF102" t="str">
        <f>HYPERLINK("http://dx.doi.org/10.1017/S095410201100023X","http://dx.doi.org/10.1017/S095410201100023X")</f>
        <v>http://dx.doi.org/10.1017/S095410201100023X</v>
      </c>
      <c r="BG102" t="s">
        <v>74</v>
      </c>
      <c r="BH102" t="s">
        <v>74</v>
      </c>
      <c r="BI102">
        <v>2</v>
      </c>
      <c r="BJ102" t="s">
        <v>722</v>
      </c>
      <c r="BK102" t="s">
        <v>100</v>
      </c>
      <c r="BL102" t="s">
        <v>723</v>
      </c>
      <c r="BM102" t="s">
        <v>724</v>
      </c>
      <c r="BN102" t="s">
        <v>74</v>
      </c>
      <c r="BO102" t="s">
        <v>273</v>
      </c>
      <c r="BP102" t="s">
        <v>74</v>
      </c>
      <c r="BQ102" t="s">
        <v>74</v>
      </c>
      <c r="BR102" t="s">
        <v>103</v>
      </c>
      <c r="BS102" t="s">
        <v>2069</v>
      </c>
      <c r="BT102" t="str">
        <f>HYPERLINK("https%3A%2F%2Fwww.webofscience.com%2Fwos%2Fwoscc%2Ffull-record%2FWOS:000293337000010","View Full Record in Web of Science")</f>
        <v>View Full Record in Web of Science</v>
      </c>
    </row>
    <row r="103" spans="1:72" x14ac:dyDescent="0.15">
      <c r="A103" t="s">
        <v>72</v>
      </c>
      <c r="B103" t="s">
        <v>2070</v>
      </c>
      <c r="C103" t="s">
        <v>74</v>
      </c>
      <c r="D103" t="s">
        <v>74</v>
      </c>
      <c r="E103" t="s">
        <v>74</v>
      </c>
      <c r="F103" t="s">
        <v>2071</v>
      </c>
      <c r="G103" t="s">
        <v>74</v>
      </c>
      <c r="H103" t="s">
        <v>74</v>
      </c>
      <c r="I103" t="s">
        <v>2072</v>
      </c>
      <c r="J103" t="s">
        <v>707</v>
      </c>
      <c r="K103" t="s">
        <v>74</v>
      </c>
      <c r="L103" t="s">
        <v>74</v>
      </c>
      <c r="M103" t="s">
        <v>78</v>
      </c>
      <c r="N103" t="s">
        <v>79</v>
      </c>
      <c r="O103" t="s">
        <v>74</v>
      </c>
      <c r="P103" t="s">
        <v>74</v>
      </c>
      <c r="Q103" t="s">
        <v>74</v>
      </c>
      <c r="R103" t="s">
        <v>74</v>
      </c>
      <c r="S103" t="s">
        <v>74</v>
      </c>
      <c r="T103" t="s">
        <v>74</v>
      </c>
      <c r="U103" t="s">
        <v>2073</v>
      </c>
      <c r="V103" t="s">
        <v>74</v>
      </c>
      <c r="W103" t="s">
        <v>2074</v>
      </c>
      <c r="X103" t="s">
        <v>2075</v>
      </c>
      <c r="Y103" t="s">
        <v>2076</v>
      </c>
      <c r="Z103" t="s">
        <v>2077</v>
      </c>
      <c r="AA103" t="s">
        <v>2078</v>
      </c>
      <c r="AB103" t="s">
        <v>2079</v>
      </c>
      <c r="AC103" t="s">
        <v>2080</v>
      </c>
      <c r="AD103" t="s">
        <v>2081</v>
      </c>
      <c r="AE103" t="s">
        <v>74</v>
      </c>
      <c r="AF103" t="s">
        <v>74</v>
      </c>
      <c r="AG103">
        <v>8</v>
      </c>
      <c r="AH103">
        <v>24</v>
      </c>
      <c r="AI103">
        <v>28</v>
      </c>
      <c r="AJ103">
        <v>0</v>
      </c>
      <c r="AK103">
        <v>13</v>
      </c>
      <c r="AL103" t="s">
        <v>693</v>
      </c>
      <c r="AM103" t="s">
        <v>91</v>
      </c>
      <c r="AN103" t="s">
        <v>694</v>
      </c>
      <c r="AO103" t="s">
        <v>717</v>
      </c>
      <c r="AP103" t="s">
        <v>74</v>
      </c>
      <c r="AQ103" t="s">
        <v>74</v>
      </c>
      <c r="AR103" t="s">
        <v>719</v>
      </c>
      <c r="AS103" t="s">
        <v>720</v>
      </c>
      <c r="AT103" t="s">
        <v>629</v>
      </c>
      <c r="AU103">
        <v>2011</v>
      </c>
      <c r="AV103">
        <v>23</v>
      </c>
      <c r="AW103">
        <v>4</v>
      </c>
      <c r="AX103" t="s">
        <v>74</v>
      </c>
      <c r="AY103" t="s">
        <v>74</v>
      </c>
      <c r="AZ103" t="s">
        <v>74</v>
      </c>
      <c r="BA103" t="s">
        <v>74</v>
      </c>
      <c r="BB103">
        <v>411</v>
      </c>
      <c r="BC103">
        <v>412</v>
      </c>
      <c r="BD103" t="s">
        <v>74</v>
      </c>
      <c r="BE103" t="s">
        <v>2082</v>
      </c>
      <c r="BF103" t="str">
        <f>HYPERLINK("http://dx.doi.org/10.1017/S0954102011000204","http://dx.doi.org/10.1017/S0954102011000204")</f>
        <v>http://dx.doi.org/10.1017/S0954102011000204</v>
      </c>
      <c r="BG103" t="s">
        <v>74</v>
      </c>
      <c r="BH103" t="s">
        <v>74</v>
      </c>
      <c r="BI103">
        <v>2</v>
      </c>
      <c r="BJ103" t="s">
        <v>722</v>
      </c>
      <c r="BK103" t="s">
        <v>100</v>
      </c>
      <c r="BL103" t="s">
        <v>723</v>
      </c>
      <c r="BM103" t="s">
        <v>724</v>
      </c>
      <c r="BN103" t="s">
        <v>74</v>
      </c>
      <c r="BO103" t="s">
        <v>74</v>
      </c>
      <c r="BP103" t="s">
        <v>74</v>
      </c>
      <c r="BQ103" t="s">
        <v>74</v>
      </c>
      <c r="BR103" t="s">
        <v>103</v>
      </c>
      <c r="BS103" t="s">
        <v>2083</v>
      </c>
      <c r="BT103" t="str">
        <f>HYPERLINK("https%3A%2F%2Fwww.webofscience.com%2Fwos%2Fwoscc%2Ffull-record%2FWOS:000293337000013","View Full Record in Web of Science")</f>
        <v>View Full Record in Web of Science</v>
      </c>
    </row>
    <row r="104" spans="1:72" x14ac:dyDescent="0.15">
      <c r="A104" t="s">
        <v>72</v>
      </c>
      <c r="B104" t="s">
        <v>2084</v>
      </c>
      <c r="C104" t="s">
        <v>74</v>
      </c>
      <c r="D104" t="s">
        <v>74</v>
      </c>
      <c r="E104" t="s">
        <v>74</v>
      </c>
      <c r="F104" t="s">
        <v>2085</v>
      </c>
      <c r="G104" t="s">
        <v>74</v>
      </c>
      <c r="H104" t="s">
        <v>74</v>
      </c>
      <c r="I104" t="s">
        <v>2086</v>
      </c>
      <c r="J104" t="s">
        <v>1004</v>
      </c>
      <c r="K104" t="s">
        <v>74</v>
      </c>
      <c r="L104" t="s">
        <v>74</v>
      </c>
      <c r="M104" t="s">
        <v>78</v>
      </c>
      <c r="N104" t="s">
        <v>79</v>
      </c>
      <c r="O104" t="s">
        <v>74</v>
      </c>
      <c r="P104" t="s">
        <v>74</v>
      </c>
      <c r="Q104" t="s">
        <v>74</v>
      </c>
      <c r="R104" t="s">
        <v>74</v>
      </c>
      <c r="S104" t="s">
        <v>74</v>
      </c>
      <c r="T104" t="s">
        <v>74</v>
      </c>
      <c r="U104" t="s">
        <v>2087</v>
      </c>
      <c r="V104" t="s">
        <v>2088</v>
      </c>
      <c r="W104" t="s">
        <v>2089</v>
      </c>
      <c r="X104" t="s">
        <v>2090</v>
      </c>
      <c r="Y104" t="s">
        <v>2091</v>
      </c>
      <c r="Z104" t="s">
        <v>2092</v>
      </c>
      <c r="AA104" t="s">
        <v>2093</v>
      </c>
      <c r="AB104" t="s">
        <v>2094</v>
      </c>
      <c r="AC104" t="s">
        <v>2095</v>
      </c>
      <c r="AD104" t="s">
        <v>2096</v>
      </c>
      <c r="AE104" t="s">
        <v>2097</v>
      </c>
      <c r="AF104" t="s">
        <v>74</v>
      </c>
      <c r="AG104">
        <v>51</v>
      </c>
      <c r="AH104">
        <v>41</v>
      </c>
      <c r="AI104">
        <v>52</v>
      </c>
      <c r="AJ104">
        <v>0</v>
      </c>
      <c r="AK104">
        <v>40</v>
      </c>
      <c r="AL104" t="s">
        <v>1014</v>
      </c>
      <c r="AM104" t="s">
        <v>1015</v>
      </c>
      <c r="AN104" t="s">
        <v>1016</v>
      </c>
      <c r="AO104" t="s">
        <v>1017</v>
      </c>
      <c r="AP104" t="s">
        <v>1018</v>
      </c>
      <c r="AQ104" t="s">
        <v>74</v>
      </c>
      <c r="AR104" t="s">
        <v>1019</v>
      </c>
      <c r="AS104" t="s">
        <v>1020</v>
      </c>
      <c r="AT104" t="s">
        <v>629</v>
      </c>
      <c r="AU104">
        <v>2011</v>
      </c>
      <c r="AV104">
        <v>43</v>
      </c>
      <c r="AW104">
        <v>3</v>
      </c>
      <c r="AX104" t="s">
        <v>74</v>
      </c>
      <c r="AY104" t="s">
        <v>74</v>
      </c>
      <c r="AZ104" t="s">
        <v>74</v>
      </c>
      <c r="BA104" t="s">
        <v>74</v>
      </c>
      <c r="BB104">
        <v>355</v>
      </c>
      <c r="BC104">
        <v>363</v>
      </c>
      <c r="BD104" t="s">
        <v>74</v>
      </c>
      <c r="BE104" t="s">
        <v>2098</v>
      </c>
      <c r="BF104" t="str">
        <f>HYPERLINK("http://dx.doi.org/10.1657/1938-4246-43.3.355","http://dx.doi.org/10.1657/1938-4246-43.3.355")</f>
        <v>http://dx.doi.org/10.1657/1938-4246-43.3.355</v>
      </c>
      <c r="BG104" t="s">
        <v>74</v>
      </c>
      <c r="BH104" t="s">
        <v>74</v>
      </c>
      <c r="BI104">
        <v>9</v>
      </c>
      <c r="BJ104" t="s">
        <v>1022</v>
      </c>
      <c r="BK104" t="s">
        <v>100</v>
      </c>
      <c r="BL104" t="s">
        <v>1023</v>
      </c>
      <c r="BM104" t="s">
        <v>1024</v>
      </c>
      <c r="BN104" t="s">
        <v>74</v>
      </c>
      <c r="BO104" t="s">
        <v>1025</v>
      </c>
      <c r="BP104" t="s">
        <v>74</v>
      </c>
      <c r="BQ104" t="s">
        <v>74</v>
      </c>
      <c r="BR104" t="s">
        <v>103</v>
      </c>
      <c r="BS104" t="s">
        <v>2099</v>
      </c>
      <c r="BT104" t="str">
        <f>HYPERLINK("https%3A%2F%2Fwww.webofscience.com%2Fwos%2Fwoscc%2Ffull-record%2FWOS:000294318500004","View Full Record in Web of Science")</f>
        <v>View Full Record in Web of Science</v>
      </c>
    </row>
    <row r="105" spans="1:72" x14ac:dyDescent="0.15">
      <c r="A105" t="s">
        <v>72</v>
      </c>
      <c r="B105" t="s">
        <v>2100</v>
      </c>
      <c r="C105" t="s">
        <v>74</v>
      </c>
      <c r="D105" t="s">
        <v>74</v>
      </c>
      <c r="E105" t="s">
        <v>74</v>
      </c>
      <c r="F105" t="s">
        <v>2101</v>
      </c>
      <c r="G105" t="s">
        <v>74</v>
      </c>
      <c r="H105" t="s">
        <v>74</v>
      </c>
      <c r="I105" t="s">
        <v>2102</v>
      </c>
      <c r="J105" t="s">
        <v>1004</v>
      </c>
      <c r="K105" t="s">
        <v>74</v>
      </c>
      <c r="L105" t="s">
        <v>74</v>
      </c>
      <c r="M105" t="s">
        <v>78</v>
      </c>
      <c r="N105" t="s">
        <v>79</v>
      </c>
      <c r="O105" t="s">
        <v>74</v>
      </c>
      <c r="P105" t="s">
        <v>74</v>
      </c>
      <c r="Q105" t="s">
        <v>74</v>
      </c>
      <c r="R105" t="s">
        <v>74</v>
      </c>
      <c r="S105" t="s">
        <v>74</v>
      </c>
      <c r="T105" t="s">
        <v>74</v>
      </c>
      <c r="U105" t="s">
        <v>2103</v>
      </c>
      <c r="V105" t="s">
        <v>2104</v>
      </c>
      <c r="W105" t="s">
        <v>2105</v>
      </c>
      <c r="X105" t="s">
        <v>2106</v>
      </c>
      <c r="Y105" t="s">
        <v>2107</v>
      </c>
      <c r="Z105" t="s">
        <v>2108</v>
      </c>
      <c r="AA105" t="s">
        <v>74</v>
      </c>
      <c r="AB105" t="s">
        <v>74</v>
      </c>
      <c r="AC105" t="s">
        <v>2109</v>
      </c>
      <c r="AD105" t="s">
        <v>2109</v>
      </c>
      <c r="AE105" t="s">
        <v>2110</v>
      </c>
      <c r="AF105" t="s">
        <v>74</v>
      </c>
      <c r="AG105">
        <v>48</v>
      </c>
      <c r="AH105">
        <v>32</v>
      </c>
      <c r="AI105">
        <v>33</v>
      </c>
      <c r="AJ105">
        <v>2</v>
      </c>
      <c r="AK105">
        <v>68</v>
      </c>
      <c r="AL105" t="s">
        <v>1014</v>
      </c>
      <c r="AM105" t="s">
        <v>1015</v>
      </c>
      <c r="AN105" t="s">
        <v>1016</v>
      </c>
      <c r="AO105" t="s">
        <v>1017</v>
      </c>
      <c r="AP105" t="s">
        <v>1018</v>
      </c>
      <c r="AQ105" t="s">
        <v>74</v>
      </c>
      <c r="AR105" t="s">
        <v>1019</v>
      </c>
      <c r="AS105" t="s">
        <v>1020</v>
      </c>
      <c r="AT105" t="s">
        <v>629</v>
      </c>
      <c r="AU105">
        <v>2011</v>
      </c>
      <c r="AV105">
        <v>43</v>
      </c>
      <c r="AW105">
        <v>3</v>
      </c>
      <c r="AX105" t="s">
        <v>74</v>
      </c>
      <c r="AY105" t="s">
        <v>74</v>
      </c>
      <c r="AZ105" t="s">
        <v>74</v>
      </c>
      <c r="BA105" t="s">
        <v>74</v>
      </c>
      <c r="BB105">
        <v>404</v>
      </c>
      <c r="BC105">
        <v>409</v>
      </c>
      <c r="BD105" t="s">
        <v>74</v>
      </c>
      <c r="BE105" t="s">
        <v>2111</v>
      </c>
      <c r="BF105" t="str">
        <f>HYPERLINK("http://dx.doi.org/10.1657/1938-4246-43.3.404","http://dx.doi.org/10.1657/1938-4246-43.3.404")</f>
        <v>http://dx.doi.org/10.1657/1938-4246-43.3.404</v>
      </c>
      <c r="BG105" t="s">
        <v>74</v>
      </c>
      <c r="BH105" t="s">
        <v>74</v>
      </c>
      <c r="BI105">
        <v>6</v>
      </c>
      <c r="BJ105" t="s">
        <v>1022</v>
      </c>
      <c r="BK105" t="s">
        <v>100</v>
      </c>
      <c r="BL105" t="s">
        <v>1023</v>
      </c>
      <c r="BM105" t="s">
        <v>1024</v>
      </c>
      <c r="BN105" t="s">
        <v>74</v>
      </c>
      <c r="BO105" t="s">
        <v>74</v>
      </c>
      <c r="BP105" t="s">
        <v>74</v>
      </c>
      <c r="BQ105" t="s">
        <v>74</v>
      </c>
      <c r="BR105" t="s">
        <v>103</v>
      </c>
      <c r="BS105" t="s">
        <v>2112</v>
      </c>
      <c r="BT105" t="str">
        <f>HYPERLINK("https%3A%2F%2Fwww.webofscience.com%2Fwos%2Fwoscc%2Ffull-record%2FWOS:000294318500009","View Full Record in Web of Science")</f>
        <v>View Full Record in Web of Science</v>
      </c>
    </row>
    <row r="106" spans="1:72" x14ac:dyDescent="0.15">
      <c r="A106" t="s">
        <v>72</v>
      </c>
      <c r="B106" t="s">
        <v>2113</v>
      </c>
      <c r="C106" t="s">
        <v>74</v>
      </c>
      <c r="D106" t="s">
        <v>74</v>
      </c>
      <c r="E106" t="s">
        <v>74</v>
      </c>
      <c r="F106" t="s">
        <v>2114</v>
      </c>
      <c r="G106" t="s">
        <v>74</v>
      </c>
      <c r="H106" t="s">
        <v>74</v>
      </c>
      <c r="I106" t="s">
        <v>2115</v>
      </c>
      <c r="J106" t="s">
        <v>2116</v>
      </c>
      <c r="K106" t="s">
        <v>74</v>
      </c>
      <c r="L106" t="s">
        <v>74</v>
      </c>
      <c r="M106" t="s">
        <v>78</v>
      </c>
      <c r="N106" t="s">
        <v>79</v>
      </c>
      <c r="O106" t="s">
        <v>74</v>
      </c>
      <c r="P106" t="s">
        <v>74</v>
      </c>
      <c r="Q106" t="s">
        <v>74</v>
      </c>
      <c r="R106" t="s">
        <v>74</v>
      </c>
      <c r="S106" t="s">
        <v>74</v>
      </c>
      <c r="T106" t="s">
        <v>2117</v>
      </c>
      <c r="U106" t="s">
        <v>74</v>
      </c>
      <c r="V106" t="s">
        <v>2118</v>
      </c>
      <c r="W106" t="s">
        <v>2119</v>
      </c>
      <c r="X106" t="s">
        <v>2120</v>
      </c>
      <c r="Y106" t="s">
        <v>2121</v>
      </c>
      <c r="Z106" t="s">
        <v>2122</v>
      </c>
      <c r="AA106" t="s">
        <v>74</v>
      </c>
      <c r="AB106" t="s">
        <v>74</v>
      </c>
      <c r="AC106" t="s">
        <v>74</v>
      </c>
      <c r="AD106" t="s">
        <v>74</v>
      </c>
      <c r="AE106" t="s">
        <v>74</v>
      </c>
      <c r="AF106" t="s">
        <v>74</v>
      </c>
      <c r="AG106">
        <v>8</v>
      </c>
      <c r="AH106">
        <v>2</v>
      </c>
      <c r="AI106">
        <v>2</v>
      </c>
      <c r="AJ106">
        <v>0</v>
      </c>
      <c r="AK106">
        <v>0</v>
      </c>
      <c r="AL106" t="s">
        <v>2123</v>
      </c>
      <c r="AM106" t="s">
        <v>2124</v>
      </c>
      <c r="AN106" t="s">
        <v>2125</v>
      </c>
      <c r="AO106" t="s">
        <v>2126</v>
      </c>
      <c r="AP106" t="s">
        <v>2127</v>
      </c>
      <c r="AQ106" t="s">
        <v>74</v>
      </c>
      <c r="AR106" t="s">
        <v>2128</v>
      </c>
      <c r="AS106" t="s">
        <v>2129</v>
      </c>
      <c r="AT106" t="s">
        <v>629</v>
      </c>
      <c r="AU106">
        <v>2011</v>
      </c>
      <c r="AV106">
        <v>37</v>
      </c>
      <c r="AW106">
        <v>2</v>
      </c>
      <c r="AX106" t="s">
        <v>74</v>
      </c>
      <c r="AY106" t="s">
        <v>74</v>
      </c>
      <c r="AZ106" t="s">
        <v>74</v>
      </c>
      <c r="BA106" t="s">
        <v>74</v>
      </c>
      <c r="BB106">
        <v>57</v>
      </c>
      <c r="BC106">
        <v>61</v>
      </c>
      <c r="BD106" t="s">
        <v>74</v>
      </c>
      <c r="BE106" t="s">
        <v>2130</v>
      </c>
      <c r="BF106" t="str">
        <f>HYPERLINK("http://dx.doi.org/10.17146/aij.2011.63","http://dx.doi.org/10.17146/aij.2011.63")</f>
        <v>http://dx.doi.org/10.17146/aij.2011.63</v>
      </c>
      <c r="BG106" t="s">
        <v>74</v>
      </c>
      <c r="BH106" t="s">
        <v>74</v>
      </c>
      <c r="BI106">
        <v>5</v>
      </c>
      <c r="BJ106" t="s">
        <v>2131</v>
      </c>
      <c r="BK106" t="s">
        <v>2132</v>
      </c>
      <c r="BL106" t="s">
        <v>2131</v>
      </c>
      <c r="BM106" t="s">
        <v>2133</v>
      </c>
      <c r="BN106" t="s">
        <v>74</v>
      </c>
      <c r="BO106" t="s">
        <v>2134</v>
      </c>
      <c r="BP106" t="s">
        <v>74</v>
      </c>
      <c r="BQ106" t="s">
        <v>74</v>
      </c>
      <c r="BR106" t="s">
        <v>103</v>
      </c>
      <c r="BS106" t="s">
        <v>2135</v>
      </c>
      <c r="BT106" t="str">
        <f>HYPERLINK("https%3A%2F%2Fwww.webofscience.com%2Fwos%2Fwoscc%2Ffull-record%2FWOS:000433680400003","View Full Record in Web of Science")</f>
        <v>View Full Record in Web of Science</v>
      </c>
    </row>
    <row r="107" spans="1:72" x14ac:dyDescent="0.15">
      <c r="A107" t="s">
        <v>72</v>
      </c>
      <c r="B107" t="s">
        <v>2136</v>
      </c>
      <c r="C107" t="s">
        <v>74</v>
      </c>
      <c r="D107" t="s">
        <v>74</v>
      </c>
      <c r="E107" t="s">
        <v>74</v>
      </c>
      <c r="F107" t="s">
        <v>2137</v>
      </c>
      <c r="G107" t="s">
        <v>74</v>
      </c>
      <c r="H107" t="s">
        <v>74</v>
      </c>
      <c r="I107" t="s">
        <v>2138</v>
      </c>
      <c r="J107" t="s">
        <v>2139</v>
      </c>
      <c r="K107" t="s">
        <v>74</v>
      </c>
      <c r="L107" t="s">
        <v>74</v>
      </c>
      <c r="M107" t="s">
        <v>78</v>
      </c>
      <c r="N107" t="s">
        <v>79</v>
      </c>
      <c r="O107" t="s">
        <v>74</v>
      </c>
      <c r="P107" t="s">
        <v>74</v>
      </c>
      <c r="Q107" t="s">
        <v>74</v>
      </c>
      <c r="R107" t="s">
        <v>74</v>
      </c>
      <c r="S107" t="s">
        <v>74</v>
      </c>
      <c r="T107" t="s">
        <v>2140</v>
      </c>
      <c r="U107" t="s">
        <v>74</v>
      </c>
      <c r="V107" t="s">
        <v>2141</v>
      </c>
      <c r="W107" t="s">
        <v>2142</v>
      </c>
      <c r="X107" t="s">
        <v>2143</v>
      </c>
      <c r="Y107" t="s">
        <v>2144</v>
      </c>
      <c r="Z107" t="s">
        <v>2145</v>
      </c>
      <c r="AA107" t="s">
        <v>74</v>
      </c>
      <c r="AB107" t="s">
        <v>2146</v>
      </c>
      <c r="AC107" t="s">
        <v>2147</v>
      </c>
      <c r="AD107" t="s">
        <v>2148</v>
      </c>
      <c r="AE107" t="s">
        <v>2149</v>
      </c>
      <c r="AF107" t="s">
        <v>74</v>
      </c>
      <c r="AG107">
        <v>13</v>
      </c>
      <c r="AH107">
        <v>1</v>
      </c>
      <c r="AI107">
        <v>2</v>
      </c>
      <c r="AJ107">
        <v>0</v>
      </c>
      <c r="AK107">
        <v>3</v>
      </c>
      <c r="AL107" t="s">
        <v>308</v>
      </c>
      <c r="AM107" t="s">
        <v>309</v>
      </c>
      <c r="AN107" t="s">
        <v>310</v>
      </c>
      <c r="AO107" t="s">
        <v>2150</v>
      </c>
      <c r="AP107" t="s">
        <v>2151</v>
      </c>
      <c r="AQ107" t="s">
        <v>74</v>
      </c>
      <c r="AR107" t="s">
        <v>2152</v>
      </c>
      <c r="AS107" t="s">
        <v>2153</v>
      </c>
      <c r="AT107" t="s">
        <v>629</v>
      </c>
      <c r="AU107">
        <v>2011</v>
      </c>
      <c r="AV107">
        <v>68</v>
      </c>
      <c r="AW107" t="s">
        <v>2154</v>
      </c>
      <c r="AX107" t="s">
        <v>74</v>
      </c>
      <c r="AY107" t="s">
        <v>74</v>
      </c>
      <c r="AZ107" t="s">
        <v>74</v>
      </c>
      <c r="BA107" t="s">
        <v>74</v>
      </c>
      <c r="BB107">
        <v>60</v>
      </c>
      <c r="BC107">
        <v>67</v>
      </c>
      <c r="BD107" t="s">
        <v>74</v>
      </c>
      <c r="BE107" t="s">
        <v>2155</v>
      </c>
      <c r="BF107" t="str">
        <f>HYPERLINK("http://dx.doi.org/10.1016/j.coldregions.2011.04.005","http://dx.doi.org/10.1016/j.coldregions.2011.04.005")</f>
        <v>http://dx.doi.org/10.1016/j.coldregions.2011.04.005</v>
      </c>
      <c r="BG107" t="s">
        <v>74</v>
      </c>
      <c r="BH107" t="s">
        <v>74</v>
      </c>
      <c r="BI107">
        <v>8</v>
      </c>
      <c r="BJ107" t="s">
        <v>2156</v>
      </c>
      <c r="BK107" t="s">
        <v>100</v>
      </c>
      <c r="BL107" t="s">
        <v>2157</v>
      </c>
      <c r="BM107" t="s">
        <v>2158</v>
      </c>
      <c r="BN107" t="s">
        <v>74</v>
      </c>
      <c r="BO107" t="s">
        <v>74</v>
      </c>
      <c r="BP107" t="s">
        <v>74</v>
      </c>
      <c r="BQ107" t="s">
        <v>74</v>
      </c>
      <c r="BR107" t="s">
        <v>103</v>
      </c>
      <c r="BS107" t="s">
        <v>2159</v>
      </c>
      <c r="BT107" t="str">
        <f>HYPERLINK("https%3A%2F%2Fwww.webofscience.com%2Fwos%2Fwoscc%2Ffull-record%2FWOS:000293549800006","View Full Record in Web of Science")</f>
        <v>View Full Record in Web of Science</v>
      </c>
    </row>
    <row r="108" spans="1:72" x14ac:dyDescent="0.15">
      <c r="A108" t="s">
        <v>72</v>
      </c>
      <c r="B108" t="s">
        <v>2160</v>
      </c>
      <c r="C108" t="s">
        <v>74</v>
      </c>
      <c r="D108" t="s">
        <v>74</v>
      </c>
      <c r="E108" t="s">
        <v>74</v>
      </c>
      <c r="F108" t="s">
        <v>2161</v>
      </c>
      <c r="G108" t="s">
        <v>74</v>
      </c>
      <c r="H108" t="s">
        <v>74</v>
      </c>
      <c r="I108" t="s">
        <v>2162</v>
      </c>
      <c r="J108" t="s">
        <v>2163</v>
      </c>
      <c r="K108" t="s">
        <v>74</v>
      </c>
      <c r="L108" t="s">
        <v>74</v>
      </c>
      <c r="M108" t="s">
        <v>78</v>
      </c>
      <c r="N108" t="s">
        <v>79</v>
      </c>
      <c r="O108" t="s">
        <v>74</v>
      </c>
      <c r="P108" t="s">
        <v>74</v>
      </c>
      <c r="Q108" t="s">
        <v>74</v>
      </c>
      <c r="R108" t="s">
        <v>74</v>
      </c>
      <c r="S108" t="s">
        <v>74</v>
      </c>
      <c r="T108" t="s">
        <v>2164</v>
      </c>
      <c r="U108" t="s">
        <v>2165</v>
      </c>
      <c r="V108" t="s">
        <v>2166</v>
      </c>
      <c r="W108" t="s">
        <v>2167</v>
      </c>
      <c r="X108" t="s">
        <v>2168</v>
      </c>
      <c r="Y108" t="s">
        <v>2169</v>
      </c>
      <c r="Z108" t="s">
        <v>2170</v>
      </c>
      <c r="AA108" t="s">
        <v>74</v>
      </c>
      <c r="AB108" t="s">
        <v>2171</v>
      </c>
      <c r="AC108" t="s">
        <v>2172</v>
      </c>
      <c r="AD108" t="s">
        <v>2173</v>
      </c>
      <c r="AE108" t="s">
        <v>2174</v>
      </c>
      <c r="AF108" t="s">
        <v>74</v>
      </c>
      <c r="AG108">
        <v>45</v>
      </c>
      <c r="AH108">
        <v>14</v>
      </c>
      <c r="AI108">
        <v>19</v>
      </c>
      <c r="AJ108">
        <v>0</v>
      </c>
      <c r="AK108">
        <v>39</v>
      </c>
      <c r="AL108" t="s">
        <v>90</v>
      </c>
      <c r="AM108" t="s">
        <v>91</v>
      </c>
      <c r="AN108" t="s">
        <v>92</v>
      </c>
      <c r="AO108" t="s">
        <v>2175</v>
      </c>
      <c r="AP108" t="s">
        <v>2176</v>
      </c>
      <c r="AQ108" t="s">
        <v>74</v>
      </c>
      <c r="AR108" t="s">
        <v>2177</v>
      </c>
      <c r="AS108" t="s">
        <v>2178</v>
      </c>
      <c r="AT108" t="s">
        <v>629</v>
      </c>
      <c r="AU108">
        <v>2011</v>
      </c>
      <c r="AV108">
        <v>159</v>
      </c>
      <c r="AW108">
        <v>4</v>
      </c>
      <c r="AX108" t="s">
        <v>74</v>
      </c>
      <c r="AY108" t="s">
        <v>74</v>
      </c>
      <c r="AZ108" t="s">
        <v>74</v>
      </c>
      <c r="BA108" t="s">
        <v>74</v>
      </c>
      <c r="BB108">
        <v>197</v>
      </c>
      <c r="BC108">
        <v>205</v>
      </c>
      <c r="BD108" t="s">
        <v>74</v>
      </c>
      <c r="BE108" t="s">
        <v>2179</v>
      </c>
      <c r="BF108" t="str">
        <f>HYPERLINK("http://dx.doi.org/10.1016/j.cbpb.2011.04.006","http://dx.doi.org/10.1016/j.cbpb.2011.04.006")</f>
        <v>http://dx.doi.org/10.1016/j.cbpb.2011.04.006</v>
      </c>
      <c r="BG108" t="s">
        <v>74</v>
      </c>
      <c r="BH108" t="s">
        <v>74</v>
      </c>
      <c r="BI108">
        <v>9</v>
      </c>
      <c r="BJ108" t="s">
        <v>2180</v>
      </c>
      <c r="BK108" t="s">
        <v>100</v>
      </c>
      <c r="BL108" t="s">
        <v>2180</v>
      </c>
      <c r="BM108" t="s">
        <v>2181</v>
      </c>
      <c r="BN108">
        <v>21571089</v>
      </c>
      <c r="BO108" t="s">
        <v>74</v>
      </c>
      <c r="BP108" t="s">
        <v>74</v>
      </c>
      <c r="BQ108" t="s">
        <v>74</v>
      </c>
      <c r="BR108" t="s">
        <v>103</v>
      </c>
      <c r="BS108" t="s">
        <v>2182</v>
      </c>
      <c r="BT108" t="str">
        <f>HYPERLINK("https%3A%2F%2Fwww.webofscience.com%2Fwos%2Fwoscc%2Ffull-record%2FWOS:000292664100002","View Full Record in Web of Science")</f>
        <v>View Full Record in Web of Science</v>
      </c>
    </row>
    <row r="109" spans="1:72" x14ac:dyDescent="0.15">
      <c r="A109" t="s">
        <v>72</v>
      </c>
      <c r="B109" t="s">
        <v>2183</v>
      </c>
      <c r="C109" t="s">
        <v>74</v>
      </c>
      <c r="D109" t="s">
        <v>74</v>
      </c>
      <c r="E109" t="s">
        <v>74</v>
      </c>
      <c r="F109" t="s">
        <v>2184</v>
      </c>
      <c r="G109" t="s">
        <v>74</v>
      </c>
      <c r="H109" t="s">
        <v>74</v>
      </c>
      <c r="I109" t="s">
        <v>2185</v>
      </c>
      <c r="J109" t="s">
        <v>2186</v>
      </c>
      <c r="K109" t="s">
        <v>74</v>
      </c>
      <c r="L109" t="s">
        <v>74</v>
      </c>
      <c r="M109" t="s">
        <v>78</v>
      </c>
      <c r="N109" t="s">
        <v>79</v>
      </c>
      <c r="O109" t="s">
        <v>74</v>
      </c>
      <c r="P109" t="s">
        <v>74</v>
      </c>
      <c r="Q109" t="s">
        <v>74</v>
      </c>
      <c r="R109" t="s">
        <v>74</v>
      </c>
      <c r="S109" t="s">
        <v>74</v>
      </c>
      <c r="T109" t="s">
        <v>74</v>
      </c>
      <c r="U109" t="s">
        <v>74</v>
      </c>
      <c r="V109" t="s">
        <v>2187</v>
      </c>
      <c r="W109" t="s">
        <v>2188</v>
      </c>
      <c r="X109" t="s">
        <v>2189</v>
      </c>
      <c r="Y109" t="s">
        <v>2190</v>
      </c>
      <c r="Z109" t="s">
        <v>2191</v>
      </c>
      <c r="AA109" t="s">
        <v>2192</v>
      </c>
      <c r="AB109" t="s">
        <v>2193</v>
      </c>
      <c r="AC109" t="s">
        <v>2194</v>
      </c>
      <c r="AD109" t="s">
        <v>2195</v>
      </c>
      <c r="AE109" t="s">
        <v>2196</v>
      </c>
      <c r="AF109" t="s">
        <v>74</v>
      </c>
      <c r="AG109">
        <v>27</v>
      </c>
      <c r="AH109">
        <v>6</v>
      </c>
      <c r="AI109">
        <v>7</v>
      </c>
      <c r="AJ109">
        <v>0</v>
      </c>
      <c r="AK109">
        <v>7</v>
      </c>
      <c r="AL109" t="s">
        <v>1441</v>
      </c>
      <c r="AM109" t="s">
        <v>91</v>
      </c>
      <c r="AN109" t="s">
        <v>1902</v>
      </c>
      <c r="AO109" t="s">
        <v>2197</v>
      </c>
      <c r="AP109" t="s">
        <v>2198</v>
      </c>
      <c r="AQ109" t="s">
        <v>74</v>
      </c>
      <c r="AR109" t="s">
        <v>2199</v>
      </c>
      <c r="AS109" t="s">
        <v>2200</v>
      </c>
      <c r="AT109" t="s">
        <v>629</v>
      </c>
      <c r="AU109">
        <v>2011</v>
      </c>
      <c r="AV109">
        <v>63</v>
      </c>
      <c r="AW109">
        <v>2</v>
      </c>
      <c r="AX109" t="s">
        <v>74</v>
      </c>
      <c r="AY109" t="s">
        <v>74</v>
      </c>
      <c r="AZ109" t="s">
        <v>74</v>
      </c>
      <c r="BA109" t="s">
        <v>74</v>
      </c>
      <c r="BB109">
        <v>213</v>
      </c>
      <c r="BC109">
        <v>217</v>
      </c>
      <c r="BD109" t="s">
        <v>74</v>
      </c>
      <c r="BE109" t="s">
        <v>2201</v>
      </c>
      <c r="BF109" t="str">
        <f>HYPERLINK("http://dx.doi.org/10.1007/s00284-011-9962-9","http://dx.doi.org/10.1007/s00284-011-9962-9")</f>
        <v>http://dx.doi.org/10.1007/s00284-011-9962-9</v>
      </c>
      <c r="BG109" t="s">
        <v>74</v>
      </c>
      <c r="BH109" t="s">
        <v>74</v>
      </c>
      <c r="BI109">
        <v>5</v>
      </c>
      <c r="BJ109" t="s">
        <v>892</v>
      </c>
      <c r="BK109" t="s">
        <v>100</v>
      </c>
      <c r="BL109" t="s">
        <v>892</v>
      </c>
      <c r="BM109" t="s">
        <v>2202</v>
      </c>
      <c r="BN109">
        <v>21674165</v>
      </c>
      <c r="BO109" t="s">
        <v>74</v>
      </c>
      <c r="BP109" t="s">
        <v>74</v>
      </c>
      <c r="BQ109" t="s">
        <v>74</v>
      </c>
      <c r="BR109" t="s">
        <v>103</v>
      </c>
      <c r="BS109" t="s">
        <v>2203</v>
      </c>
      <c r="BT109" t="str">
        <f>HYPERLINK("https%3A%2F%2Fwww.webofscience.com%2Fwos%2Fwoscc%2Ffull-record%2FWOS:000292561900017","View Full Record in Web of Science")</f>
        <v>View Full Record in Web of Science</v>
      </c>
    </row>
    <row r="110" spans="1:72" x14ac:dyDescent="0.15">
      <c r="A110" t="s">
        <v>72</v>
      </c>
      <c r="B110" t="s">
        <v>2204</v>
      </c>
      <c r="C110" t="s">
        <v>74</v>
      </c>
      <c r="D110" t="s">
        <v>74</v>
      </c>
      <c r="E110" t="s">
        <v>74</v>
      </c>
      <c r="F110" t="s">
        <v>2205</v>
      </c>
      <c r="G110" t="s">
        <v>74</v>
      </c>
      <c r="H110" t="s">
        <v>74</v>
      </c>
      <c r="I110" t="s">
        <v>2206</v>
      </c>
      <c r="J110" t="s">
        <v>2207</v>
      </c>
      <c r="K110" t="s">
        <v>74</v>
      </c>
      <c r="L110" t="s">
        <v>74</v>
      </c>
      <c r="M110" t="s">
        <v>78</v>
      </c>
      <c r="N110" t="s">
        <v>79</v>
      </c>
      <c r="O110" t="s">
        <v>74</v>
      </c>
      <c r="P110" t="s">
        <v>74</v>
      </c>
      <c r="Q110" t="s">
        <v>74</v>
      </c>
      <c r="R110" t="s">
        <v>74</v>
      </c>
      <c r="S110" t="s">
        <v>74</v>
      </c>
      <c r="T110" t="s">
        <v>2208</v>
      </c>
      <c r="U110" t="s">
        <v>2209</v>
      </c>
      <c r="V110" t="s">
        <v>2210</v>
      </c>
      <c r="W110" t="s">
        <v>2211</v>
      </c>
      <c r="X110" t="s">
        <v>2212</v>
      </c>
      <c r="Y110" t="s">
        <v>2213</v>
      </c>
      <c r="Z110" t="s">
        <v>2214</v>
      </c>
      <c r="AA110" t="s">
        <v>2215</v>
      </c>
      <c r="AB110" t="s">
        <v>2216</v>
      </c>
      <c r="AC110" t="s">
        <v>2217</v>
      </c>
      <c r="AD110" t="s">
        <v>2217</v>
      </c>
      <c r="AE110" t="s">
        <v>2218</v>
      </c>
      <c r="AF110" t="s">
        <v>74</v>
      </c>
      <c r="AG110">
        <v>82</v>
      </c>
      <c r="AH110">
        <v>65</v>
      </c>
      <c r="AI110">
        <v>72</v>
      </c>
      <c r="AJ110">
        <v>0</v>
      </c>
      <c r="AK110">
        <v>54</v>
      </c>
      <c r="AL110" t="s">
        <v>926</v>
      </c>
      <c r="AM110" t="s">
        <v>508</v>
      </c>
      <c r="AN110" t="s">
        <v>927</v>
      </c>
      <c r="AO110" t="s">
        <v>2219</v>
      </c>
      <c r="AP110" t="s">
        <v>2220</v>
      </c>
      <c r="AQ110" t="s">
        <v>74</v>
      </c>
      <c r="AR110" t="s">
        <v>2221</v>
      </c>
      <c r="AS110" t="s">
        <v>2222</v>
      </c>
      <c r="AT110" t="s">
        <v>629</v>
      </c>
      <c r="AU110">
        <v>2011</v>
      </c>
      <c r="AV110">
        <v>58</v>
      </c>
      <c r="AW110">
        <v>8</v>
      </c>
      <c r="AX110" t="s">
        <v>74</v>
      </c>
      <c r="AY110" t="s">
        <v>74</v>
      </c>
      <c r="AZ110" t="s">
        <v>74</v>
      </c>
      <c r="BA110" t="s">
        <v>74</v>
      </c>
      <c r="BB110">
        <v>801</v>
      </c>
      <c r="BC110">
        <v>817</v>
      </c>
      <c r="BD110" t="s">
        <v>74</v>
      </c>
      <c r="BE110" t="s">
        <v>2223</v>
      </c>
      <c r="BF110" t="str">
        <f>HYPERLINK("http://dx.doi.org/10.1016/j.dsr.2011.06.001","http://dx.doi.org/10.1016/j.dsr.2011.06.001")</f>
        <v>http://dx.doi.org/10.1016/j.dsr.2011.06.001</v>
      </c>
      <c r="BG110" t="s">
        <v>74</v>
      </c>
      <c r="BH110" t="s">
        <v>74</v>
      </c>
      <c r="BI110">
        <v>17</v>
      </c>
      <c r="BJ110" t="s">
        <v>271</v>
      </c>
      <c r="BK110" t="s">
        <v>867</v>
      </c>
      <c r="BL110" t="s">
        <v>271</v>
      </c>
      <c r="BM110" t="s">
        <v>2224</v>
      </c>
      <c r="BN110" t="s">
        <v>74</v>
      </c>
      <c r="BO110" t="s">
        <v>74</v>
      </c>
      <c r="BP110" t="s">
        <v>74</v>
      </c>
      <c r="BQ110" t="s">
        <v>74</v>
      </c>
      <c r="BR110" t="s">
        <v>103</v>
      </c>
      <c r="BS110" t="s">
        <v>2225</v>
      </c>
      <c r="BT110" t="str">
        <f>HYPERLINK("https%3A%2F%2Fwww.webofscience.com%2Fwos%2Fwoscc%2Ffull-record%2FWOS:000295115400001","View Full Record in Web of Science")</f>
        <v>View Full Record in Web of Science</v>
      </c>
    </row>
    <row r="111" spans="1:72" x14ac:dyDescent="0.15">
      <c r="A111" t="s">
        <v>72</v>
      </c>
      <c r="B111" t="s">
        <v>2226</v>
      </c>
      <c r="C111" t="s">
        <v>74</v>
      </c>
      <c r="D111" t="s">
        <v>74</v>
      </c>
      <c r="E111" t="s">
        <v>74</v>
      </c>
      <c r="F111" t="s">
        <v>2227</v>
      </c>
      <c r="G111" t="s">
        <v>74</v>
      </c>
      <c r="H111" t="s">
        <v>74</v>
      </c>
      <c r="I111" t="s">
        <v>2228</v>
      </c>
      <c r="J111" t="s">
        <v>2229</v>
      </c>
      <c r="K111" t="s">
        <v>74</v>
      </c>
      <c r="L111" t="s">
        <v>74</v>
      </c>
      <c r="M111" t="s">
        <v>78</v>
      </c>
      <c r="N111" t="s">
        <v>79</v>
      </c>
      <c r="O111" t="s">
        <v>74</v>
      </c>
      <c r="P111" t="s">
        <v>74</v>
      </c>
      <c r="Q111" t="s">
        <v>74</v>
      </c>
      <c r="R111" t="s">
        <v>74</v>
      </c>
      <c r="S111" t="s">
        <v>74</v>
      </c>
      <c r="T111" t="s">
        <v>2230</v>
      </c>
      <c r="U111" t="s">
        <v>2231</v>
      </c>
      <c r="V111" t="s">
        <v>2232</v>
      </c>
      <c r="W111" t="s">
        <v>2233</v>
      </c>
      <c r="X111" t="s">
        <v>2234</v>
      </c>
      <c r="Y111" t="s">
        <v>2235</v>
      </c>
      <c r="Z111" t="s">
        <v>2236</v>
      </c>
      <c r="AA111" t="s">
        <v>2237</v>
      </c>
      <c r="AB111" t="s">
        <v>2238</v>
      </c>
      <c r="AC111" t="s">
        <v>2239</v>
      </c>
      <c r="AD111" t="s">
        <v>2240</v>
      </c>
      <c r="AE111" t="s">
        <v>2241</v>
      </c>
      <c r="AF111" t="s">
        <v>74</v>
      </c>
      <c r="AG111">
        <v>91</v>
      </c>
      <c r="AH111">
        <v>89</v>
      </c>
      <c r="AI111">
        <v>99</v>
      </c>
      <c r="AJ111">
        <v>3</v>
      </c>
      <c r="AK111">
        <v>50</v>
      </c>
      <c r="AL111" t="s">
        <v>308</v>
      </c>
      <c r="AM111" t="s">
        <v>309</v>
      </c>
      <c r="AN111" t="s">
        <v>310</v>
      </c>
      <c r="AO111" t="s">
        <v>2242</v>
      </c>
      <c r="AP111" t="s">
        <v>2243</v>
      </c>
      <c r="AQ111" t="s">
        <v>74</v>
      </c>
      <c r="AR111" t="s">
        <v>2244</v>
      </c>
      <c r="AS111" t="s">
        <v>2245</v>
      </c>
      <c r="AT111" t="s">
        <v>1737</v>
      </c>
      <c r="AU111">
        <v>2011</v>
      </c>
      <c r="AV111">
        <v>308</v>
      </c>
      <c r="AW111" t="s">
        <v>2154</v>
      </c>
      <c r="AX111" t="s">
        <v>74</v>
      </c>
      <c r="AY111" t="s">
        <v>74</v>
      </c>
      <c r="AZ111" t="s">
        <v>74</v>
      </c>
      <c r="BA111" t="s">
        <v>74</v>
      </c>
      <c r="BB111">
        <v>41</v>
      </c>
      <c r="BC111">
        <v>51</v>
      </c>
      <c r="BD111" t="s">
        <v>74</v>
      </c>
      <c r="BE111" t="s">
        <v>2246</v>
      </c>
      <c r="BF111" t="str">
        <f>HYPERLINK("http://dx.doi.org/10.1016/j.epsl.2011.05.021","http://dx.doi.org/10.1016/j.epsl.2011.05.021")</f>
        <v>http://dx.doi.org/10.1016/j.epsl.2011.05.021</v>
      </c>
      <c r="BG111" t="s">
        <v>74</v>
      </c>
      <c r="BH111" t="s">
        <v>74</v>
      </c>
      <c r="BI111">
        <v>11</v>
      </c>
      <c r="BJ111" t="s">
        <v>488</v>
      </c>
      <c r="BK111" t="s">
        <v>100</v>
      </c>
      <c r="BL111" t="s">
        <v>488</v>
      </c>
      <c r="BM111" t="s">
        <v>2247</v>
      </c>
      <c r="BN111" t="s">
        <v>74</v>
      </c>
      <c r="BO111" t="s">
        <v>74</v>
      </c>
      <c r="BP111" t="s">
        <v>74</v>
      </c>
      <c r="BQ111" t="s">
        <v>74</v>
      </c>
      <c r="BR111" t="s">
        <v>103</v>
      </c>
      <c r="BS111" t="s">
        <v>2248</v>
      </c>
      <c r="BT111" t="str">
        <f>HYPERLINK("https%3A%2F%2Fwww.webofscience.com%2Fwos%2Fwoscc%2Ffull-record%2FWOS:000293486100005","View Full Record in Web of Science")</f>
        <v>View Full Record in Web of Science</v>
      </c>
    </row>
    <row r="112" spans="1:72" x14ac:dyDescent="0.15">
      <c r="A112" t="s">
        <v>72</v>
      </c>
      <c r="B112" t="s">
        <v>2249</v>
      </c>
      <c r="C112" t="s">
        <v>74</v>
      </c>
      <c r="D112" t="s">
        <v>74</v>
      </c>
      <c r="E112" t="s">
        <v>74</v>
      </c>
      <c r="F112" t="s">
        <v>2250</v>
      </c>
      <c r="G112" t="s">
        <v>74</v>
      </c>
      <c r="H112" t="s">
        <v>74</v>
      </c>
      <c r="I112" t="s">
        <v>2251</v>
      </c>
      <c r="J112" t="s">
        <v>2252</v>
      </c>
      <c r="K112" t="s">
        <v>74</v>
      </c>
      <c r="L112" t="s">
        <v>74</v>
      </c>
      <c r="M112" t="s">
        <v>78</v>
      </c>
      <c r="N112" t="s">
        <v>79</v>
      </c>
      <c r="O112" t="s">
        <v>74</v>
      </c>
      <c r="P112" t="s">
        <v>74</v>
      </c>
      <c r="Q112" t="s">
        <v>74</v>
      </c>
      <c r="R112" t="s">
        <v>74</v>
      </c>
      <c r="S112" t="s">
        <v>74</v>
      </c>
      <c r="T112" t="s">
        <v>74</v>
      </c>
      <c r="U112" t="s">
        <v>2253</v>
      </c>
      <c r="V112" t="s">
        <v>2254</v>
      </c>
      <c r="W112" t="s">
        <v>2255</v>
      </c>
      <c r="X112" t="s">
        <v>2256</v>
      </c>
      <c r="Y112" t="s">
        <v>2257</v>
      </c>
      <c r="Z112" t="s">
        <v>2258</v>
      </c>
      <c r="AA112" t="s">
        <v>2259</v>
      </c>
      <c r="AB112" t="s">
        <v>2260</v>
      </c>
      <c r="AC112" t="s">
        <v>2261</v>
      </c>
      <c r="AD112" t="s">
        <v>2262</v>
      </c>
      <c r="AE112" t="s">
        <v>2263</v>
      </c>
      <c r="AF112" t="s">
        <v>74</v>
      </c>
      <c r="AG112">
        <v>48</v>
      </c>
      <c r="AH112">
        <v>32</v>
      </c>
      <c r="AI112">
        <v>32</v>
      </c>
      <c r="AJ112">
        <v>0</v>
      </c>
      <c r="AK112">
        <v>26</v>
      </c>
      <c r="AL112" t="s">
        <v>1323</v>
      </c>
      <c r="AM112" t="s">
        <v>1324</v>
      </c>
      <c r="AN112" t="s">
        <v>1325</v>
      </c>
      <c r="AO112" t="s">
        <v>2264</v>
      </c>
      <c r="AP112" t="s">
        <v>2265</v>
      </c>
      <c r="AQ112" t="s">
        <v>74</v>
      </c>
      <c r="AR112" t="s">
        <v>2252</v>
      </c>
      <c r="AS112" t="s">
        <v>2266</v>
      </c>
      <c r="AT112" t="s">
        <v>629</v>
      </c>
      <c r="AU112">
        <v>2011</v>
      </c>
      <c r="AV112">
        <v>34</v>
      </c>
      <c r="AW112">
        <v>4</v>
      </c>
      <c r="AX112" t="s">
        <v>74</v>
      </c>
      <c r="AY112" t="s">
        <v>74</v>
      </c>
      <c r="AZ112" t="s">
        <v>74</v>
      </c>
      <c r="BA112" t="s">
        <v>74</v>
      </c>
      <c r="BB112">
        <v>616</v>
      </c>
      <c r="BC112">
        <v>627</v>
      </c>
      <c r="BD112" t="s">
        <v>74</v>
      </c>
      <c r="BE112" t="s">
        <v>2267</v>
      </c>
      <c r="BF112" t="str">
        <f>HYPERLINK("http://dx.doi.org/10.1111/j.1600-0587.2010.06612.x","http://dx.doi.org/10.1111/j.1600-0587.2010.06612.x")</f>
        <v>http://dx.doi.org/10.1111/j.1600-0587.2010.06612.x</v>
      </c>
      <c r="BG112" t="s">
        <v>74</v>
      </c>
      <c r="BH112" t="s">
        <v>74</v>
      </c>
      <c r="BI112">
        <v>12</v>
      </c>
      <c r="BJ112" t="s">
        <v>1908</v>
      </c>
      <c r="BK112" t="s">
        <v>100</v>
      </c>
      <c r="BL112" t="s">
        <v>1909</v>
      </c>
      <c r="BM112" t="s">
        <v>2268</v>
      </c>
      <c r="BN112" t="s">
        <v>74</v>
      </c>
      <c r="BO112" t="s">
        <v>74</v>
      </c>
      <c r="BP112" t="s">
        <v>74</v>
      </c>
      <c r="BQ112" t="s">
        <v>74</v>
      </c>
      <c r="BR112" t="s">
        <v>103</v>
      </c>
      <c r="BS112" t="s">
        <v>2269</v>
      </c>
      <c r="BT112" t="str">
        <f>HYPERLINK("https%3A%2F%2Fwww.webofscience.com%2Fwos%2Fwoscc%2Ffull-record%2FWOS:000293031700009","View Full Record in Web of Science")</f>
        <v>View Full Record in Web of Science</v>
      </c>
    </row>
    <row r="113" spans="1:72" x14ac:dyDescent="0.15">
      <c r="A113" t="s">
        <v>72</v>
      </c>
      <c r="B113" t="s">
        <v>2270</v>
      </c>
      <c r="C113" t="s">
        <v>74</v>
      </c>
      <c r="D113" t="s">
        <v>74</v>
      </c>
      <c r="E113" t="s">
        <v>74</v>
      </c>
      <c r="F113" t="s">
        <v>2271</v>
      </c>
      <c r="G113" t="s">
        <v>74</v>
      </c>
      <c r="H113" t="s">
        <v>74</v>
      </c>
      <c r="I113" t="s">
        <v>2272</v>
      </c>
      <c r="J113" t="s">
        <v>1311</v>
      </c>
      <c r="K113" t="s">
        <v>74</v>
      </c>
      <c r="L113" t="s">
        <v>74</v>
      </c>
      <c r="M113" t="s">
        <v>78</v>
      </c>
      <c r="N113" t="s">
        <v>278</v>
      </c>
      <c r="O113" t="s">
        <v>74</v>
      </c>
      <c r="P113" t="s">
        <v>74</v>
      </c>
      <c r="Q113" t="s">
        <v>74</v>
      </c>
      <c r="R113" t="s">
        <v>74</v>
      </c>
      <c r="S113" t="s">
        <v>74</v>
      </c>
      <c r="T113" t="s">
        <v>74</v>
      </c>
      <c r="U113" t="s">
        <v>2273</v>
      </c>
      <c r="V113" t="s">
        <v>2274</v>
      </c>
      <c r="W113" t="s">
        <v>2275</v>
      </c>
      <c r="X113" t="s">
        <v>2276</v>
      </c>
      <c r="Y113" t="s">
        <v>2277</v>
      </c>
      <c r="Z113" t="s">
        <v>2278</v>
      </c>
      <c r="AA113" t="s">
        <v>2279</v>
      </c>
      <c r="AB113" t="s">
        <v>74</v>
      </c>
      <c r="AC113" t="s">
        <v>2280</v>
      </c>
      <c r="AD113" t="s">
        <v>2281</v>
      </c>
      <c r="AE113" t="s">
        <v>2282</v>
      </c>
      <c r="AF113" t="s">
        <v>74</v>
      </c>
      <c r="AG113">
        <v>56</v>
      </c>
      <c r="AH113">
        <v>37</v>
      </c>
      <c r="AI113">
        <v>41</v>
      </c>
      <c r="AJ113">
        <v>1</v>
      </c>
      <c r="AK113">
        <v>43</v>
      </c>
      <c r="AL113" t="s">
        <v>1323</v>
      </c>
      <c r="AM113" t="s">
        <v>1324</v>
      </c>
      <c r="AN113" t="s">
        <v>1325</v>
      </c>
      <c r="AO113" t="s">
        <v>1326</v>
      </c>
      <c r="AP113" t="s">
        <v>1327</v>
      </c>
      <c r="AQ113" t="s">
        <v>74</v>
      </c>
      <c r="AR113" t="s">
        <v>1328</v>
      </c>
      <c r="AS113" t="s">
        <v>1329</v>
      </c>
      <c r="AT113" t="s">
        <v>629</v>
      </c>
      <c r="AU113">
        <v>2011</v>
      </c>
      <c r="AV113">
        <v>13</v>
      </c>
      <c r="AW113">
        <v>8</v>
      </c>
      <c r="AX113" t="s">
        <v>74</v>
      </c>
      <c r="AY113" t="s">
        <v>74</v>
      </c>
      <c r="AZ113" t="s">
        <v>74</v>
      </c>
      <c r="BA113" t="s">
        <v>74</v>
      </c>
      <c r="BB113">
        <v>1924</v>
      </c>
      <c r="BC113">
        <v>1933</v>
      </c>
      <c r="BD113" t="s">
        <v>74</v>
      </c>
      <c r="BE113" t="s">
        <v>2283</v>
      </c>
      <c r="BF113" t="str">
        <f>HYPERLINK("http://dx.doi.org/10.1111/j.1462-2920.2011.02436.x","http://dx.doi.org/10.1111/j.1462-2920.2011.02436.x")</f>
        <v>http://dx.doi.org/10.1111/j.1462-2920.2011.02436.x</v>
      </c>
      <c r="BG113" t="s">
        <v>74</v>
      </c>
      <c r="BH113" t="s">
        <v>74</v>
      </c>
      <c r="BI113">
        <v>10</v>
      </c>
      <c r="BJ113" t="s">
        <v>892</v>
      </c>
      <c r="BK113" t="s">
        <v>100</v>
      </c>
      <c r="BL113" t="s">
        <v>892</v>
      </c>
      <c r="BM113" t="s">
        <v>1331</v>
      </c>
      <c r="BN113">
        <v>21366816</v>
      </c>
      <c r="BO113" t="s">
        <v>702</v>
      </c>
      <c r="BP113" t="s">
        <v>74</v>
      </c>
      <c r="BQ113" t="s">
        <v>74</v>
      </c>
      <c r="BR113" t="s">
        <v>103</v>
      </c>
      <c r="BS113" t="s">
        <v>2284</v>
      </c>
      <c r="BT113" t="str">
        <f>HYPERLINK("https%3A%2F%2Fwww.webofscience.com%2Fwos%2Fwoscc%2Ffull-record%2FWOS:000294075600003","View Full Record in Web of Science")</f>
        <v>View Full Record in Web of Science</v>
      </c>
    </row>
    <row r="114" spans="1:72" x14ac:dyDescent="0.15">
      <c r="A114" t="s">
        <v>72</v>
      </c>
      <c r="B114" t="s">
        <v>2285</v>
      </c>
      <c r="C114" t="s">
        <v>74</v>
      </c>
      <c r="D114" t="s">
        <v>74</v>
      </c>
      <c r="E114" t="s">
        <v>74</v>
      </c>
      <c r="F114" t="s">
        <v>2286</v>
      </c>
      <c r="G114" t="s">
        <v>74</v>
      </c>
      <c r="H114" t="s">
        <v>74</v>
      </c>
      <c r="I114" t="s">
        <v>2287</v>
      </c>
      <c r="J114" t="s">
        <v>1476</v>
      </c>
      <c r="K114" t="s">
        <v>74</v>
      </c>
      <c r="L114" t="s">
        <v>74</v>
      </c>
      <c r="M114" t="s">
        <v>78</v>
      </c>
      <c r="N114" t="s">
        <v>79</v>
      </c>
      <c r="O114" t="s">
        <v>74</v>
      </c>
      <c r="P114" t="s">
        <v>74</v>
      </c>
      <c r="Q114" t="s">
        <v>74</v>
      </c>
      <c r="R114" t="s">
        <v>74</v>
      </c>
      <c r="S114" t="s">
        <v>74</v>
      </c>
      <c r="T114" t="s">
        <v>2288</v>
      </c>
      <c r="U114" t="s">
        <v>2289</v>
      </c>
      <c r="V114" t="s">
        <v>2290</v>
      </c>
      <c r="W114" t="s">
        <v>2291</v>
      </c>
      <c r="X114" t="s">
        <v>2292</v>
      </c>
      <c r="Y114" t="s">
        <v>2293</v>
      </c>
      <c r="Z114" t="s">
        <v>2294</v>
      </c>
      <c r="AA114" t="s">
        <v>2295</v>
      </c>
      <c r="AB114" t="s">
        <v>2296</v>
      </c>
      <c r="AC114" t="s">
        <v>2297</v>
      </c>
      <c r="AD114" t="s">
        <v>2298</v>
      </c>
      <c r="AE114" t="s">
        <v>2299</v>
      </c>
      <c r="AF114" t="s">
        <v>74</v>
      </c>
      <c r="AG114">
        <v>60</v>
      </c>
      <c r="AH114">
        <v>204</v>
      </c>
      <c r="AI114">
        <v>230</v>
      </c>
      <c r="AJ114">
        <v>9</v>
      </c>
      <c r="AK114">
        <v>172</v>
      </c>
      <c r="AL114" t="s">
        <v>1489</v>
      </c>
      <c r="AM114" t="s">
        <v>1490</v>
      </c>
      <c r="AN114" t="s">
        <v>1491</v>
      </c>
      <c r="AO114" t="s">
        <v>1492</v>
      </c>
      <c r="AP114" t="s">
        <v>1493</v>
      </c>
      <c r="AQ114" t="s">
        <v>74</v>
      </c>
      <c r="AR114" t="s">
        <v>1476</v>
      </c>
      <c r="AS114" t="s">
        <v>1494</v>
      </c>
      <c r="AT114" t="s">
        <v>629</v>
      </c>
      <c r="AU114">
        <v>2011</v>
      </c>
      <c r="AV114">
        <v>21</v>
      </c>
      <c r="AW114">
        <v>5</v>
      </c>
      <c r="AX114" t="s">
        <v>74</v>
      </c>
      <c r="AY114" t="s">
        <v>74</v>
      </c>
      <c r="AZ114" t="s">
        <v>864</v>
      </c>
      <c r="BA114" t="s">
        <v>74</v>
      </c>
      <c r="BB114">
        <v>761</v>
      </c>
      <c r="BC114">
        <v>774</v>
      </c>
      <c r="BD114" t="s">
        <v>74</v>
      </c>
      <c r="BE114" t="s">
        <v>2300</v>
      </c>
      <c r="BF114" t="str">
        <f>HYPERLINK("http://dx.doi.org/10.1177/0959683610386982","http://dx.doi.org/10.1177/0959683610386982")</f>
        <v>http://dx.doi.org/10.1177/0959683610386982</v>
      </c>
      <c r="BG114" t="s">
        <v>74</v>
      </c>
      <c r="BH114" t="s">
        <v>74</v>
      </c>
      <c r="BI114">
        <v>14</v>
      </c>
      <c r="BJ114" t="s">
        <v>1496</v>
      </c>
      <c r="BK114" t="s">
        <v>100</v>
      </c>
      <c r="BL114" t="s">
        <v>1497</v>
      </c>
      <c r="BM114" t="s">
        <v>1498</v>
      </c>
      <c r="BN114" t="s">
        <v>74</v>
      </c>
      <c r="BO114" t="s">
        <v>74</v>
      </c>
      <c r="BP114" t="s">
        <v>74</v>
      </c>
      <c r="BQ114" t="s">
        <v>74</v>
      </c>
      <c r="BR114" t="s">
        <v>103</v>
      </c>
      <c r="BS114" t="s">
        <v>2301</v>
      </c>
      <c r="BT114" t="str">
        <f>HYPERLINK("https%3A%2F%2Fwww.webofscience.com%2Fwos%2Fwoscc%2Ffull-record%2FWOS:000293265900006","View Full Record in Web of Science")</f>
        <v>View Full Record in Web of Science</v>
      </c>
    </row>
    <row r="115" spans="1:72" x14ac:dyDescent="0.15">
      <c r="A115" t="s">
        <v>72</v>
      </c>
      <c r="B115" t="s">
        <v>2302</v>
      </c>
      <c r="C115" t="s">
        <v>74</v>
      </c>
      <c r="D115" t="s">
        <v>74</v>
      </c>
      <c r="E115" t="s">
        <v>74</v>
      </c>
      <c r="F115" t="s">
        <v>2303</v>
      </c>
      <c r="G115" t="s">
        <v>74</v>
      </c>
      <c r="H115" t="s">
        <v>74</v>
      </c>
      <c r="I115" t="s">
        <v>2304</v>
      </c>
      <c r="J115" t="s">
        <v>874</v>
      </c>
      <c r="K115" t="s">
        <v>74</v>
      </c>
      <c r="L115" t="s">
        <v>74</v>
      </c>
      <c r="M115" t="s">
        <v>78</v>
      </c>
      <c r="N115" t="s">
        <v>79</v>
      </c>
      <c r="O115" t="s">
        <v>74</v>
      </c>
      <c r="P115" t="s">
        <v>74</v>
      </c>
      <c r="Q115" t="s">
        <v>74</v>
      </c>
      <c r="R115" t="s">
        <v>74</v>
      </c>
      <c r="S115" t="s">
        <v>74</v>
      </c>
      <c r="T115" t="s">
        <v>74</v>
      </c>
      <c r="U115" t="s">
        <v>2305</v>
      </c>
      <c r="V115" t="s">
        <v>2306</v>
      </c>
      <c r="W115" t="s">
        <v>2307</v>
      </c>
      <c r="X115" t="s">
        <v>878</v>
      </c>
      <c r="Y115" t="s">
        <v>2308</v>
      </c>
      <c r="Z115" t="s">
        <v>2309</v>
      </c>
      <c r="AA115" t="s">
        <v>2310</v>
      </c>
      <c r="AB115" t="s">
        <v>2311</v>
      </c>
      <c r="AC115" t="s">
        <v>2312</v>
      </c>
      <c r="AD115" t="s">
        <v>240</v>
      </c>
      <c r="AE115" t="s">
        <v>2313</v>
      </c>
      <c r="AF115" t="s">
        <v>74</v>
      </c>
      <c r="AG115">
        <v>25</v>
      </c>
      <c r="AH115">
        <v>30</v>
      </c>
      <c r="AI115">
        <v>33</v>
      </c>
      <c r="AJ115">
        <v>0</v>
      </c>
      <c r="AK115">
        <v>7</v>
      </c>
      <c r="AL115" t="s">
        <v>885</v>
      </c>
      <c r="AM115" t="s">
        <v>886</v>
      </c>
      <c r="AN115" t="s">
        <v>887</v>
      </c>
      <c r="AO115" t="s">
        <v>888</v>
      </c>
      <c r="AP115" t="s">
        <v>74</v>
      </c>
      <c r="AQ115" t="s">
        <v>74</v>
      </c>
      <c r="AR115" t="s">
        <v>889</v>
      </c>
      <c r="AS115" t="s">
        <v>890</v>
      </c>
      <c r="AT115" t="s">
        <v>629</v>
      </c>
      <c r="AU115">
        <v>2011</v>
      </c>
      <c r="AV115">
        <v>61</v>
      </c>
      <c r="AW115" t="s">
        <v>74</v>
      </c>
      <c r="AX115">
        <v>8</v>
      </c>
      <c r="AY115" t="s">
        <v>74</v>
      </c>
      <c r="AZ115" t="s">
        <v>74</v>
      </c>
      <c r="BA115" t="s">
        <v>74</v>
      </c>
      <c r="BB115">
        <v>1849</v>
      </c>
      <c r="BC115">
        <v>1853</v>
      </c>
      <c r="BD115" t="s">
        <v>74</v>
      </c>
      <c r="BE115" t="s">
        <v>2314</v>
      </c>
      <c r="BF115" t="str">
        <f>HYPERLINK("http://dx.doi.org/10.1099/ijs.0.027128-0","http://dx.doi.org/10.1099/ijs.0.027128-0")</f>
        <v>http://dx.doi.org/10.1099/ijs.0.027128-0</v>
      </c>
      <c r="BG115" t="s">
        <v>74</v>
      </c>
      <c r="BH115" t="s">
        <v>74</v>
      </c>
      <c r="BI115">
        <v>5</v>
      </c>
      <c r="BJ115" t="s">
        <v>892</v>
      </c>
      <c r="BK115" t="s">
        <v>100</v>
      </c>
      <c r="BL115" t="s">
        <v>892</v>
      </c>
      <c r="BM115" t="s">
        <v>893</v>
      </c>
      <c r="BN115">
        <v>20817836</v>
      </c>
      <c r="BO115" t="s">
        <v>152</v>
      </c>
      <c r="BP115" t="s">
        <v>74</v>
      </c>
      <c r="BQ115" t="s">
        <v>74</v>
      </c>
      <c r="BR115" t="s">
        <v>103</v>
      </c>
      <c r="BS115" t="s">
        <v>2315</v>
      </c>
      <c r="BT115" t="str">
        <f>HYPERLINK("https%3A%2F%2Fwww.webofscience.com%2Fwos%2Fwoscc%2Ffull-record%2FWOS:000294514500012","View Full Record in Web of Science")</f>
        <v>View Full Record in Web of Science</v>
      </c>
    </row>
    <row r="116" spans="1:72" x14ac:dyDescent="0.15">
      <c r="A116" t="s">
        <v>72</v>
      </c>
      <c r="B116" t="s">
        <v>2316</v>
      </c>
      <c r="C116" t="s">
        <v>74</v>
      </c>
      <c r="D116" t="s">
        <v>74</v>
      </c>
      <c r="E116" t="s">
        <v>74</v>
      </c>
      <c r="F116" t="s">
        <v>2317</v>
      </c>
      <c r="G116" t="s">
        <v>74</v>
      </c>
      <c r="H116" t="s">
        <v>74</v>
      </c>
      <c r="I116" t="s">
        <v>2318</v>
      </c>
      <c r="J116" t="s">
        <v>913</v>
      </c>
      <c r="K116" t="s">
        <v>74</v>
      </c>
      <c r="L116" t="s">
        <v>74</v>
      </c>
      <c r="M116" t="s">
        <v>78</v>
      </c>
      <c r="N116" t="s">
        <v>2002</v>
      </c>
      <c r="O116" t="s">
        <v>74</v>
      </c>
      <c r="P116" t="s">
        <v>74</v>
      </c>
      <c r="Q116" t="s">
        <v>74</v>
      </c>
      <c r="R116" t="s">
        <v>74</v>
      </c>
      <c r="S116" t="s">
        <v>74</v>
      </c>
      <c r="T116" t="s">
        <v>74</v>
      </c>
      <c r="U116" t="s">
        <v>74</v>
      </c>
      <c r="V116" t="s">
        <v>74</v>
      </c>
      <c r="W116" t="s">
        <v>2319</v>
      </c>
      <c r="X116" t="s">
        <v>2320</v>
      </c>
      <c r="Y116" t="s">
        <v>2321</v>
      </c>
      <c r="Z116" t="s">
        <v>2322</v>
      </c>
      <c r="AA116" t="s">
        <v>2323</v>
      </c>
      <c r="AB116" t="s">
        <v>2324</v>
      </c>
      <c r="AC116" t="s">
        <v>2325</v>
      </c>
      <c r="AD116" t="s">
        <v>2005</v>
      </c>
      <c r="AE116" t="s">
        <v>74</v>
      </c>
      <c r="AF116" t="s">
        <v>74</v>
      </c>
      <c r="AG116">
        <v>3</v>
      </c>
      <c r="AH116">
        <v>0</v>
      </c>
      <c r="AI116">
        <v>0</v>
      </c>
      <c r="AJ116">
        <v>0</v>
      </c>
      <c r="AK116">
        <v>10</v>
      </c>
      <c r="AL116" t="s">
        <v>926</v>
      </c>
      <c r="AM116" t="s">
        <v>508</v>
      </c>
      <c r="AN116" t="s">
        <v>927</v>
      </c>
      <c r="AO116" t="s">
        <v>928</v>
      </c>
      <c r="AP116" t="s">
        <v>74</v>
      </c>
      <c r="AQ116" t="s">
        <v>74</v>
      </c>
      <c r="AR116" t="s">
        <v>929</v>
      </c>
      <c r="AS116" t="s">
        <v>930</v>
      </c>
      <c r="AT116" t="s">
        <v>629</v>
      </c>
      <c r="AU116">
        <v>2011</v>
      </c>
      <c r="AV116">
        <v>73</v>
      </c>
      <c r="AW116">
        <v>13</v>
      </c>
      <c r="AX116" t="s">
        <v>74</v>
      </c>
      <c r="AY116" t="s">
        <v>74</v>
      </c>
      <c r="AZ116" t="s">
        <v>74</v>
      </c>
      <c r="BA116" t="s">
        <v>74</v>
      </c>
      <c r="BB116">
        <v>2043</v>
      </c>
      <c r="BC116">
        <v>2043</v>
      </c>
      <c r="BD116" t="s">
        <v>74</v>
      </c>
      <c r="BE116" t="s">
        <v>2326</v>
      </c>
      <c r="BF116" t="str">
        <f>HYPERLINK("http://dx.doi.org/10.1016/j.jastp.2011.06.013","http://dx.doi.org/10.1016/j.jastp.2011.06.013")</f>
        <v>http://dx.doi.org/10.1016/j.jastp.2011.06.013</v>
      </c>
      <c r="BG116" t="s">
        <v>74</v>
      </c>
      <c r="BH116" t="s">
        <v>74</v>
      </c>
      <c r="BI116">
        <v>1</v>
      </c>
      <c r="BJ116" t="s">
        <v>932</v>
      </c>
      <c r="BK116" t="s">
        <v>100</v>
      </c>
      <c r="BL116" t="s">
        <v>932</v>
      </c>
      <c r="BM116" t="s">
        <v>933</v>
      </c>
      <c r="BN116" t="s">
        <v>74</v>
      </c>
      <c r="BO116" t="s">
        <v>74</v>
      </c>
      <c r="BP116" t="s">
        <v>74</v>
      </c>
      <c r="BQ116" t="s">
        <v>74</v>
      </c>
      <c r="BR116" t="s">
        <v>103</v>
      </c>
      <c r="BS116" t="s">
        <v>2327</v>
      </c>
      <c r="BT116" t="str">
        <f>HYPERLINK("https%3A%2F%2Fwww.webofscience.com%2Fwos%2Fwoscc%2Ffull-record%2FWOS:000294591800050","View Full Record in Web of Science")</f>
        <v>View Full Record in Web of Science</v>
      </c>
    </row>
    <row r="117" spans="1:72" x14ac:dyDescent="0.15">
      <c r="A117" t="s">
        <v>72</v>
      </c>
      <c r="B117" t="s">
        <v>2328</v>
      </c>
      <c r="C117" t="s">
        <v>74</v>
      </c>
      <c r="D117" t="s">
        <v>74</v>
      </c>
      <c r="E117" t="s">
        <v>74</v>
      </c>
      <c r="F117" t="s">
        <v>2329</v>
      </c>
      <c r="G117" t="s">
        <v>74</v>
      </c>
      <c r="H117" t="s">
        <v>74</v>
      </c>
      <c r="I117" t="s">
        <v>2330</v>
      </c>
      <c r="J117" t="s">
        <v>1263</v>
      </c>
      <c r="K117" t="s">
        <v>74</v>
      </c>
      <c r="L117" t="s">
        <v>74</v>
      </c>
      <c r="M117" t="s">
        <v>78</v>
      </c>
      <c r="N117" t="s">
        <v>79</v>
      </c>
      <c r="O117" t="s">
        <v>74</v>
      </c>
      <c r="P117" t="s">
        <v>74</v>
      </c>
      <c r="Q117" t="s">
        <v>74</v>
      </c>
      <c r="R117" t="s">
        <v>74</v>
      </c>
      <c r="S117" t="s">
        <v>74</v>
      </c>
      <c r="T117" t="s">
        <v>74</v>
      </c>
      <c r="U117" t="s">
        <v>2331</v>
      </c>
      <c r="V117" t="s">
        <v>2332</v>
      </c>
      <c r="W117" t="s">
        <v>2333</v>
      </c>
      <c r="X117" t="s">
        <v>2334</v>
      </c>
      <c r="Y117" t="s">
        <v>2335</v>
      </c>
      <c r="Z117" t="s">
        <v>2336</v>
      </c>
      <c r="AA117" t="s">
        <v>2337</v>
      </c>
      <c r="AB117" t="s">
        <v>74</v>
      </c>
      <c r="AC117" t="s">
        <v>2338</v>
      </c>
      <c r="AD117" t="s">
        <v>2148</v>
      </c>
      <c r="AE117" t="s">
        <v>2339</v>
      </c>
      <c r="AF117" t="s">
        <v>74</v>
      </c>
      <c r="AG117">
        <v>37</v>
      </c>
      <c r="AH117">
        <v>22</v>
      </c>
      <c r="AI117">
        <v>23</v>
      </c>
      <c r="AJ117">
        <v>1</v>
      </c>
      <c r="AK117">
        <v>8</v>
      </c>
      <c r="AL117" t="s">
        <v>1275</v>
      </c>
      <c r="AM117" t="s">
        <v>1276</v>
      </c>
      <c r="AN117" t="s">
        <v>1277</v>
      </c>
      <c r="AO117" t="s">
        <v>1278</v>
      </c>
      <c r="AP117" t="s">
        <v>1279</v>
      </c>
      <c r="AQ117" t="s">
        <v>74</v>
      </c>
      <c r="AR117" t="s">
        <v>1280</v>
      </c>
      <c r="AS117" t="s">
        <v>1281</v>
      </c>
      <c r="AT117" t="s">
        <v>629</v>
      </c>
      <c r="AU117">
        <v>2011</v>
      </c>
      <c r="AV117">
        <v>24</v>
      </c>
      <c r="AW117">
        <v>15</v>
      </c>
      <c r="AX117" t="s">
        <v>74</v>
      </c>
      <c r="AY117" t="s">
        <v>74</v>
      </c>
      <c r="AZ117" t="s">
        <v>74</v>
      </c>
      <c r="BA117" t="s">
        <v>74</v>
      </c>
      <c r="BB117">
        <v>3830</v>
      </c>
      <c r="BC117">
        <v>3849</v>
      </c>
      <c r="BD117" t="s">
        <v>74</v>
      </c>
      <c r="BE117" t="s">
        <v>2340</v>
      </c>
      <c r="BF117" t="str">
        <f>HYPERLINK("http://dx.doi.org/10.1175/2011JCLI3888.1","http://dx.doi.org/10.1175/2011JCLI3888.1")</f>
        <v>http://dx.doi.org/10.1175/2011JCLI3888.1</v>
      </c>
      <c r="BG117" t="s">
        <v>74</v>
      </c>
      <c r="BH117" t="s">
        <v>74</v>
      </c>
      <c r="BI117">
        <v>20</v>
      </c>
      <c r="BJ117" t="s">
        <v>248</v>
      </c>
      <c r="BK117" t="s">
        <v>100</v>
      </c>
      <c r="BL117" t="s">
        <v>248</v>
      </c>
      <c r="BM117" t="s">
        <v>1533</v>
      </c>
      <c r="BN117" t="s">
        <v>74</v>
      </c>
      <c r="BO117" t="s">
        <v>393</v>
      </c>
      <c r="BP117" t="s">
        <v>74</v>
      </c>
      <c r="BQ117" t="s">
        <v>74</v>
      </c>
      <c r="BR117" t="s">
        <v>103</v>
      </c>
      <c r="BS117" t="s">
        <v>2341</v>
      </c>
      <c r="BT117" t="str">
        <f>HYPERLINK("https%3A%2F%2Fwww.webofscience.com%2Fwos%2Fwoscc%2Ffull-record%2FWOS:000293823900004","View Full Record in Web of Science")</f>
        <v>View Full Record in Web of Science</v>
      </c>
    </row>
    <row r="118" spans="1:72" x14ac:dyDescent="0.15">
      <c r="A118" t="s">
        <v>72</v>
      </c>
      <c r="B118" t="s">
        <v>2342</v>
      </c>
      <c r="C118" t="s">
        <v>74</v>
      </c>
      <c r="D118" t="s">
        <v>74</v>
      </c>
      <c r="E118" t="s">
        <v>74</v>
      </c>
      <c r="F118" t="s">
        <v>2343</v>
      </c>
      <c r="G118" t="s">
        <v>74</v>
      </c>
      <c r="H118" t="s">
        <v>74</v>
      </c>
      <c r="I118" t="s">
        <v>2344</v>
      </c>
      <c r="J118" t="s">
        <v>1263</v>
      </c>
      <c r="K118" t="s">
        <v>74</v>
      </c>
      <c r="L118" t="s">
        <v>74</v>
      </c>
      <c r="M118" t="s">
        <v>78</v>
      </c>
      <c r="N118" t="s">
        <v>79</v>
      </c>
      <c r="O118" t="s">
        <v>74</v>
      </c>
      <c r="P118" t="s">
        <v>74</v>
      </c>
      <c r="Q118" t="s">
        <v>74</v>
      </c>
      <c r="R118" t="s">
        <v>74</v>
      </c>
      <c r="S118" t="s">
        <v>74</v>
      </c>
      <c r="T118" t="s">
        <v>74</v>
      </c>
      <c r="U118" t="s">
        <v>2345</v>
      </c>
      <c r="V118" t="s">
        <v>2346</v>
      </c>
      <c r="W118" t="s">
        <v>2347</v>
      </c>
      <c r="X118" t="s">
        <v>2348</v>
      </c>
      <c r="Y118" t="s">
        <v>2349</v>
      </c>
      <c r="Z118" t="s">
        <v>2350</v>
      </c>
      <c r="AA118" t="s">
        <v>2351</v>
      </c>
      <c r="AB118" t="s">
        <v>2352</v>
      </c>
      <c r="AC118" t="s">
        <v>2353</v>
      </c>
      <c r="AD118" t="s">
        <v>2354</v>
      </c>
      <c r="AE118" t="s">
        <v>2355</v>
      </c>
      <c r="AF118" t="s">
        <v>74</v>
      </c>
      <c r="AG118">
        <v>86</v>
      </c>
      <c r="AH118">
        <v>227</v>
      </c>
      <c r="AI118">
        <v>247</v>
      </c>
      <c r="AJ118">
        <v>1</v>
      </c>
      <c r="AK118">
        <v>39</v>
      </c>
      <c r="AL118" t="s">
        <v>1275</v>
      </c>
      <c r="AM118" t="s">
        <v>1276</v>
      </c>
      <c r="AN118" t="s">
        <v>1417</v>
      </c>
      <c r="AO118" t="s">
        <v>1278</v>
      </c>
      <c r="AP118" t="s">
        <v>1279</v>
      </c>
      <c r="AQ118" t="s">
        <v>74</v>
      </c>
      <c r="AR118" t="s">
        <v>1280</v>
      </c>
      <c r="AS118" t="s">
        <v>1281</v>
      </c>
      <c r="AT118" t="s">
        <v>629</v>
      </c>
      <c r="AU118">
        <v>2011</v>
      </c>
      <c r="AV118">
        <v>24</v>
      </c>
      <c r="AW118">
        <v>16</v>
      </c>
      <c r="AX118" t="s">
        <v>74</v>
      </c>
      <c r="AY118" t="s">
        <v>74</v>
      </c>
      <c r="AZ118" t="s">
        <v>74</v>
      </c>
      <c r="BA118" t="s">
        <v>74</v>
      </c>
      <c r="BB118">
        <v>4189</v>
      </c>
      <c r="BC118">
        <v>4209</v>
      </c>
      <c r="BD118" t="s">
        <v>74</v>
      </c>
      <c r="BE118" t="s">
        <v>2356</v>
      </c>
      <c r="BF118" t="str">
        <f>HYPERLINK("http://dx.doi.org/10.1175/2011JCLI4074.1","http://dx.doi.org/10.1175/2011JCLI4074.1")</f>
        <v>http://dx.doi.org/10.1175/2011JCLI4074.1</v>
      </c>
      <c r="BG118" t="s">
        <v>74</v>
      </c>
      <c r="BH118" t="s">
        <v>74</v>
      </c>
      <c r="BI118">
        <v>21</v>
      </c>
      <c r="BJ118" t="s">
        <v>248</v>
      </c>
      <c r="BK118" t="s">
        <v>100</v>
      </c>
      <c r="BL118" t="s">
        <v>248</v>
      </c>
      <c r="BM118" t="s">
        <v>1283</v>
      </c>
      <c r="BN118" t="s">
        <v>74</v>
      </c>
      <c r="BO118" t="s">
        <v>1051</v>
      </c>
      <c r="BP118" t="s">
        <v>74</v>
      </c>
      <c r="BQ118" t="s">
        <v>74</v>
      </c>
      <c r="BR118" t="s">
        <v>103</v>
      </c>
      <c r="BS118" t="s">
        <v>2357</v>
      </c>
      <c r="BT118" t="str">
        <f>HYPERLINK("https%3A%2F%2Fwww.webofscience.com%2Fwos%2Fwoscc%2Ffull-record%2FWOS:000294490600001","View Full Record in Web of Science")</f>
        <v>View Full Record in Web of Science</v>
      </c>
    </row>
    <row r="119" spans="1:72" x14ac:dyDescent="0.15">
      <c r="A119" t="s">
        <v>72</v>
      </c>
      <c r="B119" t="s">
        <v>2358</v>
      </c>
      <c r="C119" t="s">
        <v>74</v>
      </c>
      <c r="D119" t="s">
        <v>74</v>
      </c>
      <c r="E119" t="s">
        <v>74</v>
      </c>
      <c r="F119" t="s">
        <v>2359</v>
      </c>
      <c r="G119" t="s">
        <v>74</v>
      </c>
      <c r="H119" t="s">
        <v>74</v>
      </c>
      <c r="I119" t="s">
        <v>2360</v>
      </c>
      <c r="J119" t="s">
        <v>1263</v>
      </c>
      <c r="K119" t="s">
        <v>74</v>
      </c>
      <c r="L119" t="s">
        <v>74</v>
      </c>
      <c r="M119" t="s">
        <v>78</v>
      </c>
      <c r="N119" t="s">
        <v>79</v>
      </c>
      <c r="O119" t="s">
        <v>74</v>
      </c>
      <c r="P119" t="s">
        <v>74</v>
      </c>
      <c r="Q119" t="s">
        <v>74</v>
      </c>
      <c r="R119" t="s">
        <v>74</v>
      </c>
      <c r="S119" t="s">
        <v>74</v>
      </c>
      <c r="T119" t="s">
        <v>74</v>
      </c>
      <c r="U119" t="s">
        <v>2361</v>
      </c>
      <c r="V119" t="s">
        <v>2362</v>
      </c>
      <c r="W119" t="s">
        <v>2363</v>
      </c>
      <c r="X119" t="s">
        <v>2364</v>
      </c>
      <c r="Y119" t="s">
        <v>2365</v>
      </c>
      <c r="Z119" t="s">
        <v>2366</v>
      </c>
      <c r="AA119" t="s">
        <v>2367</v>
      </c>
      <c r="AB119" t="s">
        <v>2368</v>
      </c>
      <c r="AC119" t="s">
        <v>2369</v>
      </c>
      <c r="AD119" t="s">
        <v>2081</v>
      </c>
      <c r="AE119" t="s">
        <v>74</v>
      </c>
      <c r="AF119" t="s">
        <v>74</v>
      </c>
      <c r="AG119">
        <v>96</v>
      </c>
      <c r="AH119">
        <v>76</v>
      </c>
      <c r="AI119">
        <v>78</v>
      </c>
      <c r="AJ119">
        <v>0</v>
      </c>
      <c r="AK119">
        <v>34</v>
      </c>
      <c r="AL119" t="s">
        <v>1275</v>
      </c>
      <c r="AM119" t="s">
        <v>1276</v>
      </c>
      <c r="AN119" t="s">
        <v>1277</v>
      </c>
      <c r="AO119" t="s">
        <v>1278</v>
      </c>
      <c r="AP119" t="s">
        <v>74</v>
      </c>
      <c r="AQ119" t="s">
        <v>74</v>
      </c>
      <c r="AR119" t="s">
        <v>1280</v>
      </c>
      <c r="AS119" t="s">
        <v>1281</v>
      </c>
      <c r="AT119" t="s">
        <v>629</v>
      </c>
      <c r="AU119">
        <v>2011</v>
      </c>
      <c r="AV119">
        <v>24</v>
      </c>
      <c r="AW119">
        <v>16</v>
      </c>
      <c r="AX119" t="s">
        <v>74</v>
      </c>
      <c r="AY119" t="s">
        <v>74</v>
      </c>
      <c r="AZ119" t="s">
        <v>74</v>
      </c>
      <c r="BA119" t="s">
        <v>74</v>
      </c>
      <c r="BB119">
        <v>4230</v>
      </c>
      <c r="BC119">
        <v>4254</v>
      </c>
      <c r="BD119" t="s">
        <v>74</v>
      </c>
      <c r="BE119" t="s">
        <v>2370</v>
      </c>
      <c r="BF119" t="str">
        <f>HYPERLINK("http://dx.doi.org/10.1175/2011JCLI3919.1","http://dx.doi.org/10.1175/2011JCLI3919.1")</f>
        <v>http://dx.doi.org/10.1175/2011JCLI3919.1</v>
      </c>
      <c r="BG119" t="s">
        <v>74</v>
      </c>
      <c r="BH119" t="s">
        <v>74</v>
      </c>
      <c r="BI119">
        <v>25</v>
      </c>
      <c r="BJ119" t="s">
        <v>248</v>
      </c>
      <c r="BK119" t="s">
        <v>100</v>
      </c>
      <c r="BL119" t="s">
        <v>248</v>
      </c>
      <c r="BM119" t="s">
        <v>1283</v>
      </c>
      <c r="BN119" t="s">
        <v>74</v>
      </c>
      <c r="BO119" t="s">
        <v>2371</v>
      </c>
      <c r="BP119" t="s">
        <v>74</v>
      </c>
      <c r="BQ119" t="s">
        <v>74</v>
      </c>
      <c r="BR119" t="s">
        <v>103</v>
      </c>
      <c r="BS119" t="s">
        <v>2372</v>
      </c>
      <c r="BT119" t="str">
        <f>HYPERLINK("https%3A%2F%2Fwww.webofscience.com%2Fwos%2Fwoscc%2Ffull-record%2FWOS:000294490600003","View Full Record in Web of Science")</f>
        <v>View Full Record in Web of Science</v>
      </c>
    </row>
    <row r="120" spans="1:72" x14ac:dyDescent="0.15">
      <c r="A120" t="s">
        <v>72</v>
      </c>
      <c r="B120" t="s">
        <v>2373</v>
      </c>
      <c r="C120" t="s">
        <v>74</v>
      </c>
      <c r="D120" t="s">
        <v>74</v>
      </c>
      <c r="E120" t="s">
        <v>74</v>
      </c>
      <c r="F120" t="s">
        <v>2374</v>
      </c>
      <c r="G120" t="s">
        <v>74</v>
      </c>
      <c r="H120" t="s">
        <v>74</v>
      </c>
      <c r="I120" t="s">
        <v>2375</v>
      </c>
      <c r="J120" t="s">
        <v>2376</v>
      </c>
      <c r="K120" t="s">
        <v>74</v>
      </c>
      <c r="L120" t="s">
        <v>74</v>
      </c>
      <c r="M120" t="s">
        <v>78</v>
      </c>
      <c r="N120" t="s">
        <v>79</v>
      </c>
      <c r="O120" t="s">
        <v>74</v>
      </c>
      <c r="P120" t="s">
        <v>74</v>
      </c>
      <c r="Q120" t="s">
        <v>74</v>
      </c>
      <c r="R120" t="s">
        <v>74</v>
      </c>
      <c r="S120" t="s">
        <v>74</v>
      </c>
      <c r="T120" t="s">
        <v>2377</v>
      </c>
      <c r="U120" t="s">
        <v>2378</v>
      </c>
      <c r="V120" t="s">
        <v>2379</v>
      </c>
      <c r="W120" t="s">
        <v>2380</v>
      </c>
      <c r="X120" t="s">
        <v>2381</v>
      </c>
      <c r="Y120" t="s">
        <v>2382</v>
      </c>
      <c r="Z120" t="s">
        <v>2383</v>
      </c>
      <c r="AA120" t="s">
        <v>2384</v>
      </c>
      <c r="AB120" t="s">
        <v>2385</v>
      </c>
      <c r="AC120" t="s">
        <v>2386</v>
      </c>
      <c r="AD120" t="s">
        <v>2387</v>
      </c>
      <c r="AE120" t="s">
        <v>2388</v>
      </c>
      <c r="AF120" t="s">
        <v>74</v>
      </c>
      <c r="AG120">
        <v>36</v>
      </c>
      <c r="AH120">
        <v>52</v>
      </c>
      <c r="AI120">
        <v>58</v>
      </c>
      <c r="AJ120">
        <v>1</v>
      </c>
      <c r="AK120">
        <v>67</v>
      </c>
      <c r="AL120" t="s">
        <v>308</v>
      </c>
      <c r="AM120" t="s">
        <v>309</v>
      </c>
      <c r="AN120" t="s">
        <v>310</v>
      </c>
      <c r="AO120" t="s">
        <v>2389</v>
      </c>
      <c r="AP120" t="s">
        <v>2390</v>
      </c>
      <c r="AQ120" t="s">
        <v>74</v>
      </c>
      <c r="AR120" t="s">
        <v>2391</v>
      </c>
      <c r="AS120" t="s">
        <v>2392</v>
      </c>
      <c r="AT120" t="s">
        <v>629</v>
      </c>
      <c r="AU120">
        <v>2011</v>
      </c>
      <c r="AV120">
        <v>110</v>
      </c>
      <c r="AW120">
        <v>2</v>
      </c>
      <c r="AX120" t="s">
        <v>74</v>
      </c>
      <c r="AY120" t="s">
        <v>74</v>
      </c>
      <c r="AZ120" t="s">
        <v>74</v>
      </c>
      <c r="BA120" t="s">
        <v>74</v>
      </c>
      <c r="BB120">
        <v>146</v>
      </c>
      <c r="BC120">
        <v>154</v>
      </c>
      <c r="BD120" t="s">
        <v>74</v>
      </c>
      <c r="BE120" t="s">
        <v>2393</v>
      </c>
      <c r="BF120" t="str">
        <f>HYPERLINK("http://dx.doi.org/10.1016/j.gexplo.2011.05.001","http://dx.doi.org/10.1016/j.gexplo.2011.05.001")</f>
        <v>http://dx.doi.org/10.1016/j.gexplo.2011.05.001</v>
      </c>
      <c r="BG120" t="s">
        <v>74</v>
      </c>
      <c r="BH120" t="s">
        <v>74</v>
      </c>
      <c r="BI120">
        <v>9</v>
      </c>
      <c r="BJ120" t="s">
        <v>488</v>
      </c>
      <c r="BK120" t="s">
        <v>100</v>
      </c>
      <c r="BL120" t="s">
        <v>488</v>
      </c>
      <c r="BM120" t="s">
        <v>2394</v>
      </c>
      <c r="BN120" t="s">
        <v>74</v>
      </c>
      <c r="BO120" t="s">
        <v>74</v>
      </c>
      <c r="BP120" t="s">
        <v>74</v>
      </c>
      <c r="BQ120" t="s">
        <v>74</v>
      </c>
      <c r="BR120" t="s">
        <v>103</v>
      </c>
      <c r="BS120" t="s">
        <v>2395</v>
      </c>
      <c r="BT120" t="str">
        <f>HYPERLINK("https%3A%2F%2Fwww.webofscience.com%2Fwos%2Fwoscc%2Ffull-record%2FWOS:000294238400011","View Full Record in Web of Science")</f>
        <v>View Full Record in Web of Science</v>
      </c>
    </row>
    <row r="121" spans="1:72" x14ac:dyDescent="0.15">
      <c r="A121" t="s">
        <v>72</v>
      </c>
      <c r="B121" t="s">
        <v>2396</v>
      </c>
      <c r="C121" t="s">
        <v>74</v>
      </c>
      <c r="D121" t="s">
        <v>74</v>
      </c>
      <c r="E121" t="s">
        <v>74</v>
      </c>
      <c r="F121" t="s">
        <v>2397</v>
      </c>
      <c r="G121" t="s">
        <v>74</v>
      </c>
      <c r="H121" t="s">
        <v>74</v>
      </c>
      <c r="I121" t="s">
        <v>2398</v>
      </c>
      <c r="J121" t="s">
        <v>938</v>
      </c>
      <c r="K121" t="s">
        <v>74</v>
      </c>
      <c r="L121" t="s">
        <v>74</v>
      </c>
      <c r="M121" t="s">
        <v>78</v>
      </c>
      <c r="N121" t="s">
        <v>278</v>
      </c>
      <c r="O121" t="s">
        <v>74</v>
      </c>
      <c r="P121" t="s">
        <v>74</v>
      </c>
      <c r="Q121" t="s">
        <v>74</v>
      </c>
      <c r="R121" t="s">
        <v>74</v>
      </c>
      <c r="S121" t="s">
        <v>74</v>
      </c>
      <c r="T121" t="s">
        <v>2399</v>
      </c>
      <c r="U121" t="s">
        <v>2400</v>
      </c>
      <c r="V121" t="s">
        <v>2401</v>
      </c>
      <c r="W121" t="s">
        <v>2402</v>
      </c>
      <c r="X121" t="s">
        <v>2403</v>
      </c>
      <c r="Y121" t="s">
        <v>2404</v>
      </c>
      <c r="Z121" t="s">
        <v>2405</v>
      </c>
      <c r="AA121" t="s">
        <v>74</v>
      </c>
      <c r="AB121" t="s">
        <v>2406</v>
      </c>
      <c r="AC121" t="s">
        <v>74</v>
      </c>
      <c r="AD121" t="s">
        <v>74</v>
      </c>
      <c r="AE121" t="s">
        <v>74</v>
      </c>
      <c r="AF121" t="s">
        <v>74</v>
      </c>
      <c r="AG121">
        <v>51</v>
      </c>
      <c r="AH121">
        <v>36</v>
      </c>
      <c r="AI121">
        <v>43</v>
      </c>
      <c r="AJ121">
        <v>1</v>
      </c>
      <c r="AK121">
        <v>78</v>
      </c>
      <c r="AL121" t="s">
        <v>926</v>
      </c>
      <c r="AM121" t="s">
        <v>508</v>
      </c>
      <c r="AN121" t="s">
        <v>927</v>
      </c>
      <c r="AO121" t="s">
        <v>949</v>
      </c>
      <c r="AP121" t="s">
        <v>74</v>
      </c>
      <c r="AQ121" t="s">
        <v>74</v>
      </c>
      <c r="AR121" t="s">
        <v>951</v>
      </c>
      <c r="AS121" t="s">
        <v>952</v>
      </c>
      <c r="AT121" t="s">
        <v>629</v>
      </c>
      <c r="AU121">
        <v>2011</v>
      </c>
      <c r="AV121">
        <v>57</v>
      </c>
      <c r="AW121">
        <v>8</v>
      </c>
      <c r="AX121" t="s">
        <v>74</v>
      </c>
      <c r="AY121" t="s">
        <v>74</v>
      </c>
      <c r="AZ121" t="s">
        <v>864</v>
      </c>
      <c r="BA121" t="s">
        <v>74</v>
      </c>
      <c r="BB121">
        <v>1090</v>
      </c>
      <c r="BC121">
        <v>1095</v>
      </c>
      <c r="BD121" t="s">
        <v>74</v>
      </c>
      <c r="BE121" t="s">
        <v>2407</v>
      </c>
      <c r="BF121" t="str">
        <f>HYPERLINK("http://dx.doi.org/10.1016/j.jinsphys.2011.03.004","http://dx.doi.org/10.1016/j.jinsphys.2011.03.004")</f>
        <v>http://dx.doi.org/10.1016/j.jinsphys.2011.03.004</v>
      </c>
      <c r="BG121" t="s">
        <v>74</v>
      </c>
      <c r="BH121" t="s">
        <v>74</v>
      </c>
      <c r="BI121">
        <v>6</v>
      </c>
      <c r="BJ121" t="s">
        <v>954</v>
      </c>
      <c r="BK121" t="s">
        <v>100</v>
      </c>
      <c r="BL121" t="s">
        <v>954</v>
      </c>
      <c r="BM121" t="s">
        <v>955</v>
      </c>
      <c r="BN121">
        <v>21397607</v>
      </c>
      <c r="BO121" t="s">
        <v>74</v>
      </c>
      <c r="BP121" t="s">
        <v>74</v>
      </c>
      <c r="BQ121" t="s">
        <v>74</v>
      </c>
      <c r="BR121" t="s">
        <v>103</v>
      </c>
      <c r="BS121" t="s">
        <v>2408</v>
      </c>
      <c r="BT121" t="str">
        <f>HYPERLINK("https%3A%2F%2Fwww.webofscience.com%2Fwos%2Fwoscc%2Ffull-record%2FWOS:000294591600005","View Full Record in Web of Science")</f>
        <v>View Full Record in Web of Science</v>
      </c>
    </row>
    <row r="122" spans="1:72" x14ac:dyDescent="0.15">
      <c r="A122" t="s">
        <v>72</v>
      </c>
      <c r="B122" t="s">
        <v>2409</v>
      </c>
      <c r="C122" t="s">
        <v>74</v>
      </c>
      <c r="D122" t="s">
        <v>74</v>
      </c>
      <c r="E122" t="s">
        <v>74</v>
      </c>
      <c r="F122" t="s">
        <v>2410</v>
      </c>
      <c r="G122" t="s">
        <v>74</v>
      </c>
      <c r="H122" t="s">
        <v>74</v>
      </c>
      <c r="I122" t="s">
        <v>2411</v>
      </c>
      <c r="J122" t="s">
        <v>2412</v>
      </c>
      <c r="K122" t="s">
        <v>74</v>
      </c>
      <c r="L122" t="s">
        <v>74</v>
      </c>
      <c r="M122" t="s">
        <v>78</v>
      </c>
      <c r="N122" t="s">
        <v>79</v>
      </c>
      <c r="O122" t="s">
        <v>74</v>
      </c>
      <c r="P122" t="s">
        <v>74</v>
      </c>
      <c r="Q122" t="s">
        <v>74</v>
      </c>
      <c r="R122" t="s">
        <v>74</v>
      </c>
      <c r="S122" t="s">
        <v>74</v>
      </c>
      <c r="T122" t="s">
        <v>2413</v>
      </c>
      <c r="U122" t="s">
        <v>2414</v>
      </c>
      <c r="V122" t="s">
        <v>2415</v>
      </c>
      <c r="W122" t="s">
        <v>2416</v>
      </c>
      <c r="X122" t="s">
        <v>2417</v>
      </c>
      <c r="Y122" t="s">
        <v>2418</v>
      </c>
      <c r="Z122" t="s">
        <v>2419</v>
      </c>
      <c r="AA122" t="s">
        <v>74</v>
      </c>
      <c r="AB122" t="s">
        <v>74</v>
      </c>
      <c r="AC122" t="s">
        <v>2420</v>
      </c>
      <c r="AD122" t="s">
        <v>2421</v>
      </c>
      <c r="AE122" t="s">
        <v>2422</v>
      </c>
      <c r="AF122" t="s">
        <v>74</v>
      </c>
      <c r="AG122">
        <v>46</v>
      </c>
      <c r="AH122">
        <v>13</v>
      </c>
      <c r="AI122">
        <v>16</v>
      </c>
      <c r="AJ122">
        <v>2</v>
      </c>
      <c r="AK122">
        <v>31</v>
      </c>
      <c r="AL122" t="s">
        <v>1441</v>
      </c>
      <c r="AM122" t="s">
        <v>1442</v>
      </c>
      <c r="AN122" t="s">
        <v>1443</v>
      </c>
      <c r="AO122" t="s">
        <v>2423</v>
      </c>
      <c r="AP122" t="s">
        <v>2424</v>
      </c>
      <c r="AQ122" t="s">
        <v>74</v>
      </c>
      <c r="AR122" t="s">
        <v>2425</v>
      </c>
      <c r="AS122" t="s">
        <v>2426</v>
      </c>
      <c r="AT122" t="s">
        <v>629</v>
      </c>
      <c r="AU122">
        <v>2011</v>
      </c>
      <c r="AV122">
        <v>46</v>
      </c>
      <c r="AW122">
        <v>2</v>
      </c>
      <c r="AX122" t="s">
        <v>74</v>
      </c>
      <c r="AY122" t="s">
        <v>74</v>
      </c>
      <c r="AZ122" t="s">
        <v>74</v>
      </c>
      <c r="BA122" t="s">
        <v>74</v>
      </c>
      <c r="BB122">
        <v>257</v>
      </c>
      <c r="BC122">
        <v>272</v>
      </c>
      <c r="BD122" t="s">
        <v>74</v>
      </c>
      <c r="BE122" t="s">
        <v>2427</v>
      </c>
      <c r="BF122" t="str">
        <f>HYPERLINK("http://dx.doi.org/10.1007/s10933-011-9537-6","http://dx.doi.org/10.1007/s10933-011-9537-6")</f>
        <v>http://dx.doi.org/10.1007/s10933-011-9537-6</v>
      </c>
      <c r="BG122" t="s">
        <v>74</v>
      </c>
      <c r="BH122" t="s">
        <v>74</v>
      </c>
      <c r="BI122">
        <v>16</v>
      </c>
      <c r="BJ122" t="s">
        <v>2428</v>
      </c>
      <c r="BK122" t="s">
        <v>100</v>
      </c>
      <c r="BL122" t="s">
        <v>2429</v>
      </c>
      <c r="BM122" t="s">
        <v>2430</v>
      </c>
      <c r="BN122" t="s">
        <v>74</v>
      </c>
      <c r="BO122" t="s">
        <v>74</v>
      </c>
      <c r="BP122" t="s">
        <v>74</v>
      </c>
      <c r="BQ122" t="s">
        <v>74</v>
      </c>
      <c r="BR122" t="s">
        <v>103</v>
      </c>
      <c r="BS122" t="s">
        <v>2431</v>
      </c>
      <c r="BT122" t="str">
        <f>HYPERLINK("https%3A%2F%2Fwww.webofscience.com%2Fwos%2Fwoscc%2Ffull-record%2FWOS:000293145000007","View Full Record in Web of Science")</f>
        <v>View Full Record in Web of Science</v>
      </c>
    </row>
    <row r="123" spans="1:72" x14ac:dyDescent="0.15">
      <c r="A123" t="s">
        <v>72</v>
      </c>
      <c r="B123" t="s">
        <v>2432</v>
      </c>
      <c r="C123" t="s">
        <v>74</v>
      </c>
      <c r="D123" t="s">
        <v>74</v>
      </c>
      <c r="E123" t="s">
        <v>74</v>
      </c>
      <c r="F123" t="s">
        <v>2433</v>
      </c>
      <c r="G123" t="s">
        <v>74</v>
      </c>
      <c r="H123" t="s">
        <v>74</v>
      </c>
      <c r="I123" t="s">
        <v>2434</v>
      </c>
      <c r="J123" t="s">
        <v>1289</v>
      </c>
      <c r="K123" t="s">
        <v>74</v>
      </c>
      <c r="L123" t="s">
        <v>74</v>
      </c>
      <c r="M123" t="s">
        <v>78</v>
      </c>
      <c r="N123" t="s">
        <v>79</v>
      </c>
      <c r="O123" t="s">
        <v>74</v>
      </c>
      <c r="P123" t="s">
        <v>74</v>
      </c>
      <c r="Q123" t="s">
        <v>74</v>
      </c>
      <c r="R123" t="s">
        <v>74</v>
      </c>
      <c r="S123" t="s">
        <v>74</v>
      </c>
      <c r="T123" t="s">
        <v>74</v>
      </c>
      <c r="U123" t="s">
        <v>2435</v>
      </c>
      <c r="V123" t="s">
        <v>2436</v>
      </c>
      <c r="W123" t="s">
        <v>2437</v>
      </c>
      <c r="X123" t="s">
        <v>2015</v>
      </c>
      <c r="Y123" t="s">
        <v>2438</v>
      </c>
      <c r="Z123" t="s">
        <v>2439</v>
      </c>
      <c r="AA123" t="s">
        <v>2440</v>
      </c>
      <c r="AB123" t="s">
        <v>74</v>
      </c>
      <c r="AC123" t="s">
        <v>2441</v>
      </c>
      <c r="AD123" t="s">
        <v>2067</v>
      </c>
      <c r="AE123" t="s">
        <v>74</v>
      </c>
      <c r="AF123" t="s">
        <v>74</v>
      </c>
      <c r="AG123">
        <v>35</v>
      </c>
      <c r="AH123">
        <v>4</v>
      </c>
      <c r="AI123">
        <v>5</v>
      </c>
      <c r="AJ123">
        <v>0</v>
      </c>
      <c r="AK123">
        <v>5</v>
      </c>
      <c r="AL123" t="s">
        <v>1275</v>
      </c>
      <c r="AM123" t="s">
        <v>1276</v>
      </c>
      <c r="AN123" t="s">
        <v>1277</v>
      </c>
      <c r="AO123" t="s">
        <v>1301</v>
      </c>
      <c r="AP123" t="s">
        <v>74</v>
      </c>
      <c r="AQ123" t="s">
        <v>74</v>
      </c>
      <c r="AR123" t="s">
        <v>1303</v>
      </c>
      <c r="AS123" t="s">
        <v>1304</v>
      </c>
      <c r="AT123" t="s">
        <v>629</v>
      </c>
      <c r="AU123">
        <v>2011</v>
      </c>
      <c r="AV123">
        <v>41</v>
      </c>
      <c r="AW123">
        <v>8</v>
      </c>
      <c r="AX123" t="s">
        <v>74</v>
      </c>
      <c r="AY123" t="s">
        <v>74</v>
      </c>
      <c r="AZ123" t="s">
        <v>74</v>
      </c>
      <c r="BA123" t="s">
        <v>74</v>
      </c>
      <c r="BB123">
        <v>1465</v>
      </c>
      <c r="BC123">
        <v>1483</v>
      </c>
      <c r="BD123" t="s">
        <v>74</v>
      </c>
      <c r="BE123" t="s">
        <v>2442</v>
      </c>
      <c r="BF123" t="str">
        <f>HYPERLINK("http://dx.doi.org/10.1175/2011JPO4532.1","http://dx.doi.org/10.1175/2011JPO4532.1")</f>
        <v>http://dx.doi.org/10.1175/2011JPO4532.1</v>
      </c>
      <c r="BG123" t="s">
        <v>74</v>
      </c>
      <c r="BH123" t="s">
        <v>74</v>
      </c>
      <c r="BI123">
        <v>19</v>
      </c>
      <c r="BJ123" t="s">
        <v>271</v>
      </c>
      <c r="BK123" t="s">
        <v>100</v>
      </c>
      <c r="BL123" t="s">
        <v>271</v>
      </c>
      <c r="BM123" t="s">
        <v>1306</v>
      </c>
      <c r="BN123" t="s">
        <v>74</v>
      </c>
      <c r="BO123" t="s">
        <v>594</v>
      </c>
      <c r="BP123" t="s">
        <v>74</v>
      </c>
      <c r="BQ123" t="s">
        <v>74</v>
      </c>
      <c r="BR123" t="s">
        <v>103</v>
      </c>
      <c r="BS123" t="s">
        <v>2443</v>
      </c>
      <c r="BT123" t="str">
        <f>HYPERLINK("https%3A%2F%2Fwww.webofscience.com%2Fwos%2Fwoscc%2Ffull-record%2FWOS:000294411600003","View Full Record in Web of Science")</f>
        <v>View Full Record in Web of Science</v>
      </c>
    </row>
    <row r="124" spans="1:72" x14ac:dyDescent="0.15">
      <c r="A124" t="s">
        <v>72</v>
      </c>
      <c r="B124" t="s">
        <v>2444</v>
      </c>
      <c r="C124" t="s">
        <v>74</v>
      </c>
      <c r="D124" t="s">
        <v>74</v>
      </c>
      <c r="E124" t="s">
        <v>74</v>
      </c>
      <c r="F124" t="s">
        <v>2445</v>
      </c>
      <c r="G124" t="s">
        <v>74</v>
      </c>
      <c r="H124" t="s">
        <v>74</v>
      </c>
      <c r="I124" t="s">
        <v>2446</v>
      </c>
      <c r="J124" t="s">
        <v>807</v>
      </c>
      <c r="K124" t="s">
        <v>74</v>
      </c>
      <c r="L124" t="s">
        <v>74</v>
      </c>
      <c r="M124" t="s">
        <v>78</v>
      </c>
      <c r="N124" t="s">
        <v>79</v>
      </c>
      <c r="O124" t="s">
        <v>74</v>
      </c>
      <c r="P124" t="s">
        <v>74</v>
      </c>
      <c r="Q124" t="s">
        <v>74</v>
      </c>
      <c r="R124" t="s">
        <v>74</v>
      </c>
      <c r="S124" t="s">
        <v>74</v>
      </c>
      <c r="T124" t="s">
        <v>2447</v>
      </c>
      <c r="U124" t="s">
        <v>2448</v>
      </c>
      <c r="V124" t="s">
        <v>2449</v>
      </c>
      <c r="W124" t="s">
        <v>2450</v>
      </c>
      <c r="X124" t="s">
        <v>2451</v>
      </c>
      <c r="Y124" t="s">
        <v>2452</v>
      </c>
      <c r="Z124" t="s">
        <v>74</v>
      </c>
      <c r="AA124" t="s">
        <v>74</v>
      </c>
      <c r="AB124" t="s">
        <v>74</v>
      </c>
      <c r="AC124" t="s">
        <v>2453</v>
      </c>
      <c r="AD124" t="s">
        <v>2453</v>
      </c>
      <c r="AE124" t="s">
        <v>2454</v>
      </c>
      <c r="AF124" t="s">
        <v>74</v>
      </c>
      <c r="AG124">
        <v>49</v>
      </c>
      <c r="AH124">
        <v>6</v>
      </c>
      <c r="AI124">
        <v>7</v>
      </c>
      <c r="AJ124">
        <v>0</v>
      </c>
      <c r="AK124">
        <v>16</v>
      </c>
      <c r="AL124" t="s">
        <v>819</v>
      </c>
      <c r="AM124" t="s">
        <v>820</v>
      </c>
      <c r="AN124" t="s">
        <v>821</v>
      </c>
      <c r="AO124" t="s">
        <v>822</v>
      </c>
      <c r="AP124" t="s">
        <v>841</v>
      </c>
      <c r="AQ124" t="s">
        <v>74</v>
      </c>
      <c r="AR124" t="s">
        <v>823</v>
      </c>
      <c r="AS124" t="s">
        <v>824</v>
      </c>
      <c r="AT124" t="s">
        <v>629</v>
      </c>
      <c r="AU124">
        <v>2011</v>
      </c>
      <c r="AV124">
        <v>78</v>
      </c>
      <c r="AW124">
        <v>2</v>
      </c>
      <c r="AX124" t="s">
        <v>74</v>
      </c>
      <c r="AY124" t="s">
        <v>74</v>
      </c>
      <c r="AZ124" t="s">
        <v>74</v>
      </c>
      <c r="BA124" t="s">
        <v>74</v>
      </c>
      <c r="BB124">
        <v>109</v>
      </c>
      <c r="BC124">
        <v>116</v>
      </c>
      <c r="BD124" t="s">
        <v>74</v>
      </c>
      <c r="BE124" t="s">
        <v>2455</v>
      </c>
      <c r="BF124" t="str">
        <f>HYPERLINK("http://dx.doi.org/10.1007/s12594-011-0079-3","http://dx.doi.org/10.1007/s12594-011-0079-3")</f>
        <v>http://dx.doi.org/10.1007/s12594-011-0079-3</v>
      </c>
      <c r="BG124" t="s">
        <v>74</v>
      </c>
      <c r="BH124" t="s">
        <v>74</v>
      </c>
      <c r="BI124">
        <v>8</v>
      </c>
      <c r="BJ124" t="s">
        <v>130</v>
      </c>
      <c r="BK124" t="s">
        <v>100</v>
      </c>
      <c r="BL124" t="s">
        <v>131</v>
      </c>
      <c r="BM124" t="s">
        <v>826</v>
      </c>
      <c r="BN124" t="s">
        <v>74</v>
      </c>
      <c r="BO124" t="s">
        <v>74</v>
      </c>
      <c r="BP124" t="s">
        <v>74</v>
      </c>
      <c r="BQ124" t="s">
        <v>74</v>
      </c>
      <c r="BR124" t="s">
        <v>103</v>
      </c>
      <c r="BS124" t="s">
        <v>2456</v>
      </c>
      <c r="BT124" t="str">
        <f>HYPERLINK("https%3A%2F%2Fwww.webofscience.com%2Fwos%2Fwoscc%2Ffull-record%2FWOS:000295168200002","View Full Record in Web of Science")</f>
        <v>View Full Record in Web of Science</v>
      </c>
    </row>
    <row r="125" spans="1:72" x14ac:dyDescent="0.15">
      <c r="A125" t="s">
        <v>72</v>
      </c>
      <c r="B125" t="s">
        <v>2457</v>
      </c>
      <c r="C125" t="s">
        <v>74</v>
      </c>
      <c r="D125" t="s">
        <v>74</v>
      </c>
      <c r="E125" t="s">
        <v>74</v>
      </c>
      <c r="F125" t="s">
        <v>2458</v>
      </c>
      <c r="G125" t="s">
        <v>74</v>
      </c>
      <c r="H125" t="s">
        <v>74</v>
      </c>
      <c r="I125" t="s">
        <v>2459</v>
      </c>
      <c r="J125" t="s">
        <v>2460</v>
      </c>
      <c r="K125" t="s">
        <v>74</v>
      </c>
      <c r="L125" t="s">
        <v>74</v>
      </c>
      <c r="M125" t="s">
        <v>2461</v>
      </c>
      <c r="N125" t="s">
        <v>79</v>
      </c>
      <c r="O125" t="s">
        <v>74</v>
      </c>
      <c r="P125" t="s">
        <v>74</v>
      </c>
      <c r="Q125" t="s">
        <v>74</v>
      </c>
      <c r="R125" t="s">
        <v>74</v>
      </c>
      <c r="S125" t="s">
        <v>74</v>
      </c>
      <c r="T125" t="s">
        <v>2462</v>
      </c>
      <c r="U125" t="s">
        <v>74</v>
      </c>
      <c r="V125" t="s">
        <v>2463</v>
      </c>
      <c r="W125" t="s">
        <v>2464</v>
      </c>
      <c r="X125" t="s">
        <v>2465</v>
      </c>
      <c r="Y125" t="s">
        <v>2466</v>
      </c>
      <c r="Z125" t="s">
        <v>2467</v>
      </c>
      <c r="AA125" t="s">
        <v>74</v>
      </c>
      <c r="AB125" t="s">
        <v>74</v>
      </c>
      <c r="AC125" t="s">
        <v>74</v>
      </c>
      <c r="AD125" t="s">
        <v>74</v>
      </c>
      <c r="AE125" t="s">
        <v>74</v>
      </c>
      <c r="AF125" t="s">
        <v>74</v>
      </c>
      <c r="AG125">
        <v>23</v>
      </c>
      <c r="AH125">
        <v>1</v>
      </c>
      <c r="AI125">
        <v>1</v>
      </c>
      <c r="AJ125">
        <v>0</v>
      </c>
      <c r="AK125">
        <v>2</v>
      </c>
      <c r="AL125" t="s">
        <v>2468</v>
      </c>
      <c r="AM125" t="s">
        <v>2469</v>
      </c>
      <c r="AN125" t="s">
        <v>2470</v>
      </c>
      <c r="AO125" t="s">
        <v>2471</v>
      </c>
      <c r="AP125" t="s">
        <v>2472</v>
      </c>
      <c r="AQ125" t="s">
        <v>74</v>
      </c>
      <c r="AR125" t="s">
        <v>2473</v>
      </c>
      <c r="AS125" t="s">
        <v>2474</v>
      </c>
      <c r="AT125" t="s">
        <v>629</v>
      </c>
      <c r="AU125">
        <v>2011</v>
      </c>
      <c r="AV125">
        <v>47</v>
      </c>
      <c r="AW125">
        <v>4</v>
      </c>
      <c r="AX125" t="s">
        <v>74</v>
      </c>
      <c r="AY125" t="s">
        <v>74</v>
      </c>
      <c r="AZ125" t="s">
        <v>74</v>
      </c>
      <c r="BA125" t="s">
        <v>74</v>
      </c>
      <c r="BB125">
        <v>363</v>
      </c>
      <c r="BC125">
        <v>369</v>
      </c>
      <c r="BD125" t="s">
        <v>74</v>
      </c>
      <c r="BE125" t="s">
        <v>74</v>
      </c>
      <c r="BF125" t="s">
        <v>74</v>
      </c>
      <c r="BG125" t="s">
        <v>74</v>
      </c>
      <c r="BH125" t="s">
        <v>74</v>
      </c>
      <c r="BI125">
        <v>7</v>
      </c>
      <c r="BJ125" t="s">
        <v>130</v>
      </c>
      <c r="BK125" t="s">
        <v>2132</v>
      </c>
      <c r="BL125" t="s">
        <v>131</v>
      </c>
      <c r="BM125" t="s">
        <v>2475</v>
      </c>
      <c r="BN125" t="s">
        <v>74</v>
      </c>
      <c r="BO125" t="s">
        <v>74</v>
      </c>
      <c r="BP125" t="s">
        <v>74</v>
      </c>
      <c r="BQ125" t="s">
        <v>74</v>
      </c>
      <c r="BR125" t="s">
        <v>103</v>
      </c>
      <c r="BS125" t="s">
        <v>2476</v>
      </c>
      <c r="BT125" t="str">
        <f>HYPERLINK("https%3A%2F%2Fwww.webofscience.com%2Fwos%2Fwoscc%2Ffull-record%2FWOS:000454017500003","View Full Record in Web of Science")</f>
        <v>View Full Record in Web of Science</v>
      </c>
    </row>
    <row r="126" spans="1:72" x14ac:dyDescent="0.15">
      <c r="A126" t="s">
        <v>72</v>
      </c>
      <c r="B126" t="s">
        <v>2477</v>
      </c>
      <c r="C126" t="s">
        <v>74</v>
      </c>
      <c r="D126" t="s">
        <v>74</v>
      </c>
      <c r="E126" t="s">
        <v>74</v>
      </c>
      <c r="F126" t="s">
        <v>2478</v>
      </c>
      <c r="G126" t="s">
        <v>74</v>
      </c>
      <c r="H126" t="s">
        <v>74</v>
      </c>
      <c r="I126" t="s">
        <v>2479</v>
      </c>
      <c r="J126" t="s">
        <v>2480</v>
      </c>
      <c r="K126" t="s">
        <v>74</v>
      </c>
      <c r="L126" t="s">
        <v>74</v>
      </c>
      <c r="M126" t="s">
        <v>78</v>
      </c>
      <c r="N126" t="s">
        <v>79</v>
      </c>
      <c r="O126" t="s">
        <v>74</v>
      </c>
      <c r="P126" t="s">
        <v>74</v>
      </c>
      <c r="Q126" t="s">
        <v>74</v>
      </c>
      <c r="R126" t="s">
        <v>74</v>
      </c>
      <c r="S126" t="s">
        <v>74</v>
      </c>
      <c r="T126" t="s">
        <v>2481</v>
      </c>
      <c r="U126" t="s">
        <v>2482</v>
      </c>
      <c r="V126" t="s">
        <v>2483</v>
      </c>
      <c r="W126" t="s">
        <v>2484</v>
      </c>
      <c r="X126" t="s">
        <v>2485</v>
      </c>
      <c r="Y126" t="s">
        <v>2486</v>
      </c>
      <c r="Z126" t="s">
        <v>2487</v>
      </c>
      <c r="AA126" t="s">
        <v>2488</v>
      </c>
      <c r="AB126" t="s">
        <v>2489</v>
      </c>
      <c r="AC126" t="s">
        <v>2490</v>
      </c>
      <c r="AD126" t="s">
        <v>2491</v>
      </c>
      <c r="AE126" t="s">
        <v>2492</v>
      </c>
      <c r="AF126" t="s">
        <v>74</v>
      </c>
      <c r="AG126">
        <v>57</v>
      </c>
      <c r="AH126">
        <v>52</v>
      </c>
      <c r="AI126">
        <v>58</v>
      </c>
      <c r="AJ126">
        <v>0</v>
      </c>
      <c r="AK126">
        <v>56</v>
      </c>
      <c r="AL126" t="s">
        <v>1571</v>
      </c>
      <c r="AM126" t="s">
        <v>1572</v>
      </c>
      <c r="AN126" t="s">
        <v>1573</v>
      </c>
      <c r="AO126" t="s">
        <v>2493</v>
      </c>
      <c r="AP126" t="s">
        <v>74</v>
      </c>
      <c r="AQ126" t="s">
        <v>74</v>
      </c>
      <c r="AR126" t="s">
        <v>2480</v>
      </c>
      <c r="AS126" t="s">
        <v>2494</v>
      </c>
      <c r="AT126" t="s">
        <v>629</v>
      </c>
      <c r="AU126">
        <v>2011</v>
      </c>
      <c r="AV126">
        <v>46</v>
      </c>
      <c r="AW126">
        <v>8</v>
      </c>
      <c r="AX126" t="s">
        <v>74</v>
      </c>
      <c r="AY126" t="s">
        <v>74</v>
      </c>
      <c r="AZ126" t="s">
        <v>74</v>
      </c>
      <c r="BA126" t="s">
        <v>74</v>
      </c>
      <c r="BB126">
        <v>709</v>
      </c>
      <c r="BC126">
        <v>721</v>
      </c>
      <c r="BD126" t="s">
        <v>74</v>
      </c>
      <c r="BE126" t="s">
        <v>2495</v>
      </c>
      <c r="BF126" t="str">
        <f>HYPERLINK("http://dx.doi.org/10.1007/s11745-011-3566-9","http://dx.doi.org/10.1007/s11745-011-3566-9")</f>
        <v>http://dx.doi.org/10.1007/s11745-011-3566-9</v>
      </c>
      <c r="BG126" t="s">
        <v>74</v>
      </c>
      <c r="BH126" t="s">
        <v>74</v>
      </c>
      <c r="BI126">
        <v>13</v>
      </c>
      <c r="BJ126" t="s">
        <v>2496</v>
      </c>
      <c r="BK126" t="s">
        <v>100</v>
      </c>
      <c r="BL126" t="s">
        <v>2496</v>
      </c>
      <c r="BM126" t="s">
        <v>2497</v>
      </c>
      <c r="BN126">
        <v>21567302</v>
      </c>
      <c r="BO126" t="s">
        <v>74</v>
      </c>
      <c r="BP126" t="s">
        <v>74</v>
      </c>
      <c r="BQ126" t="s">
        <v>74</v>
      </c>
      <c r="BR126" t="s">
        <v>103</v>
      </c>
      <c r="BS126" t="s">
        <v>2498</v>
      </c>
      <c r="BT126" t="str">
        <f>HYPERLINK("https%3A%2F%2Fwww.webofscience.com%2Fwos%2Fwoscc%2Ffull-record%2FWOS:000292568000005","View Full Record in Web of Science")</f>
        <v>View Full Record in Web of Science</v>
      </c>
    </row>
    <row r="127" spans="1:72" x14ac:dyDescent="0.15">
      <c r="A127" t="s">
        <v>72</v>
      </c>
      <c r="B127" t="s">
        <v>2499</v>
      </c>
      <c r="C127" t="s">
        <v>74</v>
      </c>
      <c r="D127" t="s">
        <v>74</v>
      </c>
      <c r="E127" t="s">
        <v>74</v>
      </c>
      <c r="F127" t="s">
        <v>2500</v>
      </c>
      <c r="G127" t="s">
        <v>74</v>
      </c>
      <c r="H127" t="s">
        <v>74</v>
      </c>
      <c r="I127" t="s">
        <v>2501</v>
      </c>
      <c r="J127" t="s">
        <v>1562</v>
      </c>
      <c r="K127" t="s">
        <v>74</v>
      </c>
      <c r="L127" t="s">
        <v>74</v>
      </c>
      <c r="M127" t="s">
        <v>78</v>
      </c>
      <c r="N127" t="s">
        <v>79</v>
      </c>
      <c r="O127" t="s">
        <v>74</v>
      </c>
      <c r="P127" t="s">
        <v>74</v>
      </c>
      <c r="Q127" t="s">
        <v>74</v>
      </c>
      <c r="R127" t="s">
        <v>74</v>
      </c>
      <c r="S127" t="s">
        <v>74</v>
      </c>
      <c r="T127" t="s">
        <v>74</v>
      </c>
      <c r="U127" t="s">
        <v>2502</v>
      </c>
      <c r="V127" t="s">
        <v>2503</v>
      </c>
      <c r="W127" t="s">
        <v>2504</v>
      </c>
      <c r="X127" t="s">
        <v>2505</v>
      </c>
      <c r="Y127" t="s">
        <v>2506</v>
      </c>
      <c r="Z127" t="s">
        <v>2507</v>
      </c>
      <c r="AA127" t="s">
        <v>2508</v>
      </c>
      <c r="AB127" t="s">
        <v>2509</v>
      </c>
      <c r="AC127" t="s">
        <v>2510</v>
      </c>
      <c r="AD127" t="s">
        <v>2511</v>
      </c>
      <c r="AE127" t="s">
        <v>2512</v>
      </c>
      <c r="AF127" t="s">
        <v>74</v>
      </c>
      <c r="AG127">
        <v>28</v>
      </c>
      <c r="AH127">
        <v>9</v>
      </c>
      <c r="AI127">
        <v>10</v>
      </c>
      <c r="AJ127">
        <v>1</v>
      </c>
      <c r="AK127">
        <v>22</v>
      </c>
      <c r="AL127" t="s">
        <v>1441</v>
      </c>
      <c r="AM127" t="s">
        <v>91</v>
      </c>
      <c r="AN127" t="s">
        <v>1595</v>
      </c>
      <c r="AO127" t="s">
        <v>1574</v>
      </c>
      <c r="AP127" t="s">
        <v>74</v>
      </c>
      <c r="AQ127" t="s">
        <v>74</v>
      </c>
      <c r="AR127" t="s">
        <v>1576</v>
      </c>
      <c r="AS127" t="s">
        <v>1577</v>
      </c>
      <c r="AT127" t="s">
        <v>629</v>
      </c>
      <c r="AU127">
        <v>2011</v>
      </c>
      <c r="AV127">
        <v>158</v>
      </c>
      <c r="AW127">
        <v>8</v>
      </c>
      <c r="AX127" t="s">
        <v>74</v>
      </c>
      <c r="AY127" t="s">
        <v>74</v>
      </c>
      <c r="AZ127" t="s">
        <v>74</v>
      </c>
      <c r="BA127" t="s">
        <v>74</v>
      </c>
      <c r="BB127">
        <v>1805</v>
      </c>
      <c r="BC127">
        <v>1813</v>
      </c>
      <c r="BD127" t="s">
        <v>74</v>
      </c>
      <c r="BE127" t="s">
        <v>2513</v>
      </c>
      <c r="BF127" t="str">
        <f>HYPERLINK("http://dx.doi.org/10.1007/s00227-011-1693-8","http://dx.doi.org/10.1007/s00227-011-1693-8")</f>
        <v>http://dx.doi.org/10.1007/s00227-011-1693-8</v>
      </c>
      <c r="BG127" t="s">
        <v>74</v>
      </c>
      <c r="BH127" t="s">
        <v>74</v>
      </c>
      <c r="BI127">
        <v>9</v>
      </c>
      <c r="BJ127" t="s">
        <v>700</v>
      </c>
      <c r="BK127" t="s">
        <v>100</v>
      </c>
      <c r="BL127" t="s">
        <v>700</v>
      </c>
      <c r="BM127" t="s">
        <v>1579</v>
      </c>
      <c r="BN127" t="s">
        <v>74</v>
      </c>
      <c r="BO127" t="s">
        <v>1025</v>
      </c>
      <c r="BP127" t="s">
        <v>74</v>
      </c>
      <c r="BQ127" t="s">
        <v>74</v>
      </c>
      <c r="BR127" t="s">
        <v>103</v>
      </c>
      <c r="BS127" t="s">
        <v>2514</v>
      </c>
      <c r="BT127" t="str">
        <f>HYPERLINK("https%3A%2F%2Fwww.webofscience.com%2Fwos%2Fwoscc%2Ffull-record%2FWOS:000293001400012","View Full Record in Web of Science")</f>
        <v>View Full Record in Web of Science</v>
      </c>
    </row>
    <row r="128" spans="1:72" x14ac:dyDescent="0.15">
      <c r="A128" t="s">
        <v>72</v>
      </c>
      <c r="B128" t="s">
        <v>2515</v>
      </c>
      <c r="C128" t="s">
        <v>74</v>
      </c>
      <c r="D128" t="s">
        <v>74</v>
      </c>
      <c r="E128" t="s">
        <v>74</v>
      </c>
      <c r="F128" t="s">
        <v>2516</v>
      </c>
      <c r="G128" t="s">
        <v>74</v>
      </c>
      <c r="H128" t="s">
        <v>74</v>
      </c>
      <c r="I128" t="s">
        <v>2517</v>
      </c>
      <c r="J128" t="s">
        <v>2518</v>
      </c>
      <c r="K128" t="s">
        <v>74</v>
      </c>
      <c r="L128" t="s">
        <v>74</v>
      </c>
      <c r="M128" t="s">
        <v>78</v>
      </c>
      <c r="N128" t="s">
        <v>79</v>
      </c>
      <c r="O128" t="s">
        <v>74</v>
      </c>
      <c r="P128" t="s">
        <v>74</v>
      </c>
      <c r="Q128" t="s">
        <v>74</v>
      </c>
      <c r="R128" t="s">
        <v>74</v>
      </c>
      <c r="S128" t="s">
        <v>74</v>
      </c>
      <c r="T128" t="s">
        <v>74</v>
      </c>
      <c r="U128" t="s">
        <v>2519</v>
      </c>
      <c r="V128" t="s">
        <v>2520</v>
      </c>
      <c r="W128" t="s">
        <v>2521</v>
      </c>
      <c r="X128" t="s">
        <v>2522</v>
      </c>
      <c r="Y128" t="s">
        <v>2523</v>
      </c>
      <c r="Z128" t="s">
        <v>2524</v>
      </c>
      <c r="AA128" t="s">
        <v>2525</v>
      </c>
      <c r="AB128" t="s">
        <v>2526</v>
      </c>
      <c r="AC128" t="s">
        <v>2527</v>
      </c>
      <c r="AD128" t="s">
        <v>2528</v>
      </c>
      <c r="AE128" t="s">
        <v>2529</v>
      </c>
      <c r="AF128" t="s">
        <v>74</v>
      </c>
      <c r="AG128">
        <v>67</v>
      </c>
      <c r="AH128">
        <v>57</v>
      </c>
      <c r="AI128">
        <v>65</v>
      </c>
      <c r="AJ128">
        <v>2</v>
      </c>
      <c r="AK128">
        <v>37</v>
      </c>
      <c r="AL128" t="s">
        <v>1441</v>
      </c>
      <c r="AM128" t="s">
        <v>91</v>
      </c>
      <c r="AN128" t="s">
        <v>1595</v>
      </c>
      <c r="AO128" t="s">
        <v>2530</v>
      </c>
      <c r="AP128" t="s">
        <v>2531</v>
      </c>
      <c r="AQ128" t="s">
        <v>74</v>
      </c>
      <c r="AR128" t="s">
        <v>2532</v>
      </c>
      <c r="AS128" t="s">
        <v>2533</v>
      </c>
      <c r="AT128" t="s">
        <v>629</v>
      </c>
      <c r="AU128">
        <v>2011</v>
      </c>
      <c r="AV128">
        <v>62</v>
      </c>
      <c r="AW128">
        <v>2</v>
      </c>
      <c r="AX128" t="s">
        <v>74</v>
      </c>
      <c r="AY128" t="s">
        <v>74</v>
      </c>
      <c r="AZ128" t="s">
        <v>74</v>
      </c>
      <c r="BA128" t="s">
        <v>74</v>
      </c>
      <c r="BB128">
        <v>399</v>
      </c>
      <c r="BC128">
        <v>413</v>
      </c>
      <c r="BD128" t="s">
        <v>74</v>
      </c>
      <c r="BE128" t="s">
        <v>2534</v>
      </c>
      <c r="BF128" t="str">
        <f>HYPERLINK("http://dx.doi.org/10.1007/s00248-011-9842-7","http://dx.doi.org/10.1007/s00248-011-9842-7")</f>
        <v>http://dx.doi.org/10.1007/s00248-011-9842-7</v>
      </c>
      <c r="BG128" t="s">
        <v>74</v>
      </c>
      <c r="BH128" t="s">
        <v>74</v>
      </c>
      <c r="BI128">
        <v>15</v>
      </c>
      <c r="BJ128" t="s">
        <v>2535</v>
      </c>
      <c r="BK128" t="s">
        <v>100</v>
      </c>
      <c r="BL128" t="s">
        <v>2536</v>
      </c>
      <c r="BM128" t="s">
        <v>2537</v>
      </c>
      <c r="BN128">
        <v>21424822</v>
      </c>
      <c r="BO128" t="s">
        <v>702</v>
      </c>
      <c r="BP128" t="s">
        <v>74</v>
      </c>
      <c r="BQ128" t="s">
        <v>74</v>
      </c>
      <c r="BR128" t="s">
        <v>103</v>
      </c>
      <c r="BS128" t="s">
        <v>2538</v>
      </c>
      <c r="BT128" t="str">
        <f>HYPERLINK("https%3A%2F%2Fwww.webofscience.com%2Fwos%2Fwoscc%2Ffull-record%2FWOS:000293964000014","View Full Record in Web of Science")</f>
        <v>View Full Record in Web of Science</v>
      </c>
    </row>
    <row r="129" spans="1:72" x14ac:dyDescent="0.15">
      <c r="A129" t="s">
        <v>72</v>
      </c>
      <c r="B129" t="s">
        <v>2539</v>
      </c>
      <c r="C129" t="s">
        <v>74</v>
      </c>
      <c r="D129" t="s">
        <v>74</v>
      </c>
      <c r="E129" t="s">
        <v>74</v>
      </c>
      <c r="F129" t="s">
        <v>2540</v>
      </c>
      <c r="G129" t="s">
        <v>74</v>
      </c>
      <c r="H129" t="s">
        <v>74</v>
      </c>
      <c r="I129" t="s">
        <v>2541</v>
      </c>
      <c r="J129" t="s">
        <v>2542</v>
      </c>
      <c r="K129" t="s">
        <v>74</v>
      </c>
      <c r="L129" t="s">
        <v>74</v>
      </c>
      <c r="M129" t="s">
        <v>78</v>
      </c>
      <c r="N129" t="s">
        <v>79</v>
      </c>
      <c r="O129" t="s">
        <v>74</v>
      </c>
      <c r="P129" t="s">
        <v>74</v>
      </c>
      <c r="Q129" t="s">
        <v>74</v>
      </c>
      <c r="R129" t="s">
        <v>74</v>
      </c>
      <c r="S129" t="s">
        <v>74</v>
      </c>
      <c r="T129" t="s">
        <v>2543</v>
      </c>
      <c r="U129" t="s">
        <v>2544</v>
      </c>
      <c r="V129" t="s">
        <v>2545</v>
      </c>
      <c r="W129" t="s">
        <v>2546</v>
      </c>
      <c r="X129" t="s">
        <v>1566</v>
      </c>
      <c r="Y129" t="s">
        <v>2547</v>
      </c>
      <c r="Z129" t="s">
        <v>2548</v>
      </c>
      <c r="AA129" t="s">
        <v>2549</v>
      </c>
      <c r="AB129" t="s">
        <v>2550</v>
      </c>
      <c r="AC129" t="s">
        <v>2551</v>
      </c>
      <c r="AD129" t="s">
        <v>2551</v>
      </c>
      <c r="AE129" t="s">
        <v>2552</v>
      </c>
      <c r="AF129" t="s">
        <v>74</v>
      </c>
      <c r="AG129">
        <v>113</v>
      </c>
      <c r="AH129">
        <v>91</v>
      </c>
      <c r="AI129">
        <v>98</v>
      </c>
      <c r="AJ129">
        <v>0</v>
      </c>
      <c r="AK129">
        <v>55</v>
      </c>
      <c r="AL129" t="s">
        <v>1323</v>
      </c>
      <c r="AM129" t="s">
        <v>1324</v>
      </c>
      <c r="AN129" t="s">
        <v>1325</v>
      </c>
      <c r="AO129" t="s">
        <v>2553</v>
      </c>
      <c r="AP129" t="s">
        <v>2554</v>
      </c>
      <c r="AQ129" t="s">
        <v>74</v>
      </c>
      <c r="AR129" t="s">
        <v>2555</v>
      </c>
      <c r="AS129" t="s">
        <v>2556</v>
      </c>
      <c r="AT129" t="s">
        <v>629</v>
      </c>
      <c r="AU129">
        <v>2011</v>
      </c>
      <c r="AV129">
        <v>20</v>
      </c>
      <c r="AW129">
        <v>16</v>
      </c>
      <c r="AX129" t="s">
        <v>74</v>
      </c>
      <c r="AY129" t="s">
        <v>74</v>
      </c>
      <c r="AZ129" t="s">
        <v>74</v>
      </c>
      <c r="BA129" t="s">
        <v>74</v>
      </c>
      <c r="BB129">
        <v>3439</v>
      </c>
      <c r="BC129">
        <v>3454</v>
      </c>
      <c r="BD129" t="s">
        <v>74</v>
      </c>
      <c r="BE129" t="s">
        <v>2557</v>
      </c>
      <c r="BF129" t="str">
        <f>HYPERLINK("http://dx.doi.org/10.1111/j.1365-294X.2011.05173.x","http://dx.doi.org/10.1111/j.1365-294X.2011.05173.x")</f>
        <v>http://dx.doi.org/10.1111/j.1365-294X.2011.05173.x</v>
      </c>
      <c r="BG129" t="s">
        <v>74</v>
      </c>
      <c r="BH129" t="s">
        <v>74</v>
      </c>
      <c r="BI129">
        <v>16</v>
      </c>
      <c r="BJ129" t="s">
        <v>2558</v>
      </c>
      <c r="BK129" t="s">
        <v>100</v>
      </c>
      <c r="BL129" t="s">
        <v>2559</v>
      </c>
      <c r="BM129" t="s">
        <v>2560</v>
      </c>
      <c r="BN129">
        <v>21733028</v>
      </c>
      <c r="BO129" t="s">
        <v>74</v>
      </c>
      <c r="BP129" t="s">
        <v>74</v>
      </c>
      <c r="BQ129" t="s">
        <v>74</v>
      </c>
      <c r="BR129" t="s">
        <v>103</v>
      </c>
      <c r="BS129" t="s">
        <v>2561</v>
      </c>
      <c r="BT129" t="str">
        <f>HYPERLINK("https%3A%2F%2Fwww.webofscience.com%2Fwos%2Fwoscc%2Ffull-record%2FWOS:000293750000011","View Full Record in Web of Science")</f>
        <v>View Full Record in Web of Science</v>
      </c>
    </row>
    <row r="130" spans="1:72" x14ac:dyDescent="0.15">
      <c r="A130" t="s">
        <v>72</v>
      </c>
      <c r="B130" t="s">
        <v>2562</v>
      </c>
      <c r="C130" t="s">
        <v>74</v>
      </c>
      <c r="D130" t="s">
        <v>74</v>
      </c>
      <c r="E130" t="s">
        <v>74</v>
      </c>
      <c r="F130" t="s">
        <v>2563</v>
      </c>
      <c r="G130" t="s">
        <v>74</v>
      </c>
      <c r="H130" t="s">
        <v>74</v>
      </c>
      <c r="I130" t="s">
        <v>2564</v>
      </c>
      <c r="J130" t="s">
        <v>2565</v>
      </c>
      <c r="K130" t="s">
        <v>74</v>
      </c>
      <c r="L130" t="s">
        <v>74</v>
      </c>
      <c r="M130" t="s">
        <v>78</v>
      </c>
      <c r="N130" t="s">
        <v>278</v>
      </c>
      <c r="O130" t="s">
        <v>74</v>
      </c>
      <c r="P130" t="s">
        <v>74</v>
      </c>
      <c r="Q130" t="s">
        <v>74</v>
      </c>
      <c r="R130" t="s">
        <v>74</v>
      </c>
      <c r="S130" t="s">
        <v>74</v>
      </c>
      <c r="T130" t="s">
        <v>74</v>
      </c>
      <c r="U130" t="s">
        <v>2566</v>
      </c>
      <c r="V130" t="s">
        <v>2567</v>
      </c>
      <c r="W130" t="s">
        <v>2568</v>
      </c>
      <c r="X130" t="s">
        <v>2569</v>
      </c>
      <c r="Y130" t="s">
        <v>2570</v>
      </c>
      <c r="Z130" t="s">
        <v>2571</v>
      </c>
      <c r="AA130" t="s">
        <v>2572</v>
      </c>
      <c r="AB130" t="s">
        <v>2573</v>
      </c>
      <c r="AC130" t="s">
        <v>2574</v>
      </c>
      <c r="AD130" t="s">
        <v>2575</v>
      </c>
      <c r="AE130" t="s">
        <v>2576</v>
      </c>
      <c r="AF130" t="s">
        <v>74</v>
      </c>
      <c r="AG130">
        <v>104</v>
      </c>
      <c r="AH130">
        <v>234</v>
      </c>
      <c r="AI130">
        <v>277</v>
      </c>
      <c r="AJ130">
        <v>0</v>
      </c>
      <c r="AK130">
        <v>227</v>
      </c>
      <c r="AL130" t="s">
        <v>2577</v>
      </c>
      <c r="AM130" t="s">
        <v>91</v>
      </c>
      <c r="AN130" t="s">
        <v>2578</v>
      </c>
      <c r="AO130" t="s">
        <v>2579</v>
      </c>
      <c r="AP130" t="s">
        <v>2580</v>
      </c>
      <c r="AQ130" t="s">
        <v>74</v>
      </c>
      <c r="AR130" t="s">
        <v>2581</v>
      </c>
      <c r="AS130" t="s">
        <v>2582</v>
      </c>
      <c r="AT130" t="s">
        <v>629</v>
      </c>
      <c r="AU130">
        <v>2011</v>
      </c>
      <c r="AV130">
        <v>4</v>
      </c>
      <c r="AW130">
        <v>8</v>
      </c>
      <c r="AX130" t="s">
        <v>74</v>
      </c>
      <c r="AY130" t="s">
        <v>74</v>
      </c>
      <c r="AZ130" t="s">
        <v>74</v>
      </c>
      <c r="BA130" t="s">
        <v>74</v>
      </c>
      <c r="BB130">
        <v>506</v>
      </c>
      <c r="BC130">
        <v>513</v>
      </c>
      <c r="BD130" t="s">
        <v>74</v>
      </c>
      <c r="BE130" t="s">
        <v>2583</v>
      </c>
      <c r="BF130" t="str">
        <f>HYPERLINK("http://dx.doi.org/10.1038/NGEO1194","http://dx.doi.org/10.1038/NGEO1194")</f>
        <v>http://dx.doi.org/10.1038/NGEO1194</v>
      </c>
      <c r="BG130" t="s">
        <v>74</v>
      </c>
      <c r="BH130" t="s">
        <v>74</v>
      </c>
      <c r="BI130">
        <v>8</v>
      </c>
      <c r="BJ130" t="s">
        <v>130</v>
      </c>
      <c r="BK130" t="s">
        <v>100</v>
      </c>
      <c r="BL130" t="s">
        <v>131</v>
      </c>
      <c r="BM130" t="s">
        <v>2584</v>
      </c>
      <c r="BN130" t="s">
        <v>74</v>
      </c>
      <c r="BO130" t="s">
        <v>74</v>
      </c>
      <c r="BP130" t="s">
        <v>74</v>
      </c>
      <c r="BQ130" t="s">
        <v>74</v>
      </c>
      <c r="BR130" t="s">
        <v>103</v>
      </c>
      <c r="BS130" t="s">
        <v>2585</v>
      </c>
      <c r="BT130" t="str">
        <f>HYPERLINK("https%3A%2F%2Fwww.webofscience.com%2Fwos%2Fwoscc%2Ffull-record%2FWOS:000293277100010","View Full Record in Web of Science")</f>
        <v>View Full Record in Web of Science</v>
      </c>
    </row>
    <row r="131" spans="1:72" x14ac:dyDescent="0.15">
      <c r="A131" t="s">
        <v>72</v>
      </c>
      <c r="B131" t="s">
        <v>2586</v>
      </c>
      <c r="C131" t="s">
        <v>74</v>
      </c>
      <c r="D131" t="s">
        <v>74</v>
      </c>
      <c r="E131" t="s">
        <v>74</v>
      </c>
      <c r="F131" t="s">
        <v>2587</v>
      </c>
      <c r="G131" t="s">
        <v>74</v>
      </c>
      <c r="H131" t="s">
        <v>74</v>
      </c>
      <c r="I131" t="s">
        <v>2588</v>
      </c>
      <c r="J131" t="s">
        <v>2565</v>
      </c>
      <c r="K131" t="s">
        <v>74</v>
      </c>
      <c r="L131" t="s">
        <v>74</v>
      </c>
      <c r="M131" t="s">
        <v>78</v>
      </c>
      <c r="N131" t="s">
        <v>79</v>
      </c>
      <c r="O131" t="s">
        <v>74</v>
      </c>
      <c r="P131" t="s">
        <v>74</v>
      </c>
      <c r="Q131" t="s">
        <v>74</v>
      </c>
      <c r="R131" t="s">
        <v>74</v>
      </c>
      <c r="S131" t="s">
        <v>74</v>
      </c>
      <c r="T131" t="s">
        <v>74</v>
      </c>
      <c r="U131" t="s">
        <v>2589</v>
      </c>
      <c r="V131" t="s">
        <v>2590</v>
      </c>
      <c r="W131" t="s">
        <v>2591</v>
      </c>
      <c r="X131" t="s">
        <v>2592</v>
      </c>
      <c r="Y131" t="s">
        <v>2593</v>
      </c>
      <c r="Z131" t="s">
        <v>2594</v>
      </c>
      <c r="AA131" t="s">
        <v>2595</v>
      </c>
      <c r="AB131" t="s">
        <v>2596</v>
      </c>
      <c r="AC131" t="s">
        <v>2597</v>
      </c>
      <c r="AD131" t="s">
        <v>2598</v>
      </c>
      <c r="AE131" t="s">
        <v>2599</v>
      </c>
      <c r="AF131" t="s">
        <v>74</v>
      </c>
      <c r="AG131">
        <v>24</v>
      </c>
      <c r="AH131">
        <v>466</v>
      </c>
      <c r="AI131">
        <v>523</v>
      </c>
      <c r="AJ131">
        <v>3</v>
      </c>
      <c r="AK131">
        <v>133</v>
      </c>
      <c r="AL131" t="s">
        <v>2577</v>
      </c>
      <c r="AM131" t="s">
        <v>91</v>
      </c>
      <c r="AN131" t="s">
        <v>2578</v>
      </c>
      <c r="AO131" t="s">
        <v>2579</v>
      </c>
      <c r="AP131" t="s">
        <v>2580</v>
      </c>
      <c r="AQ131" t="s">
        <v>74</v>
      </c>
      <c r="AR131" t="s">
        <v>2581</v>
      </c>
      <c r="AS131" t="s">
        <v>2582</v>
      </c>
      <c r="AT131" t="s">
        <v>629</v>
      </c>
      <c r="AU131">
        <v>2011</v>
      </c>
      <c r="AV131">
        <v>4</v>
      </c>
      <c r="AW131">
        <v>8</v>
      </c>
      <c r="AX131" t="s">
        <v>74</v>
      </c>
      <c r="AY131" t="s">
        <v>74</v>
      </c>
      <c r="AZ131" t="s">
        <v>74</v>
      </c>
      <c r="BA131" t="s">
        <v>74</v>
      </c>
      <c r="BB131">
        <v>519</v>
      </c>
      <c r="BC131">
        <v>523</v>
      </c>
      <c r="BD131" t="s">
        <v>74</v>
      </c>
      <c r="BE131" t="s">
        <v>2600</v>
      </c>
      <c r="BF131" t="str">
        <f>HYPERLINK("http://dx.doi.org/10.1038/NGEO1188","http://dx.doi.org/10.1038/NGEO1188")</f>
        <v>http://dx.doi.org/10.1038/NGEO1188</v>
      </c>
      <c r="BG131" t="s">
        <v>74</v>
      </c>
      <c r="BH131" t="s">
        <v>74</v>
      </c>
      <c r="BI131">
        <v>5</v>
      </c>
      <c r="BJ131" t="s">
        <v>130</v>
      </c>
      <c r="BK131" t="s">
        <v>100</v>
      </c>
      <c r="BL131" t="s">
        <v>131</v>
      </c>
      <c r="BM131" t="s">
        <v>2584</v>
      </c>
      <c r="BN131" t="s">
        <v>74</v>
      </c>
      <c r="BO131" t="s">
        <v>74</v>
      </c>
      <c r="BP131" t="s">
        <v>74</v>
      </c>
      <c r="BQ131" t="s">
        <v>74</v>
      </c>
      <c r="BR131" t="s">
        <v>103</v>
      </c>
      <c r="BS131" t="s">
        <v>2601</v>
      </c>
      <c r="BT131" t="str">
        <f>HYPERLINK("https%3A%2F%2Fwww.webofscience.com%2Fwos%2Fwoscc%2Ffull-record%2FWOS:000293277100012","View Full Record in Web of Science")</f>
        <v>View Full Record in Web of Science</v>
      </c>
    </row>
    <row r="132" spans="1:72" x14ac:dyDescent="0.15">
      <c r="A132" t="s">
        <v>72</v>
      </c>
      <c r="B132" t="s">
        <v>2602</v>
      </c>
      <c r="C132" t="s">
        <v>74</v>
      </c>
      <c r="D132" t="s">
        <v>74</v>
      </c>
      <c r="E132" t="s">
        <v>74</v>
      </c>
      <c r="F132" t="s">
        <v>2603</v>
      </c>
      <c r="G132" t="s">
        <v>74</v>
      </c>
      <c r="H132" t="s">
        <v>74</v>
      </c>
      <c r="I132" t="s">
        <v>2604</v>
      </c>
      <c r="J132" t="s">
        <v>1889</v>
      </c>
      <c r="K132" t="s">
        <v>74</v>
      </c>
      <c r="L132" t="s">
        <v>74</v>
      </c>
      <c r="M132" t="s">
        <v>78</v>
      </c>
      <c r="N132" t="s">
        <v>79</v>
      </c>
      <c r="O132" t="s">
        <v>74</v>
      </c>
      <c r="P132" t="s">
        <v>74</v>
      </c>
      <c r="Q132" t="s">
        <v>74</v>
      </c>
      <c r="R132" t="s">
        <v>74</v>
      </c>
      <c r="S132" t="s">
        <v>74</v>
      </c>
      <c r="T132" t="s">
        <v>2605</v>
      </c>
      <c r="U132" t="s">
        <v>2606</v>
      </c>
      <c r="V132" t="s">
        <v>2607</v>
      </c>
      <c r="W132" t="s">
        <v>2608</v>
      </c>
      <c r="X132" t="s">
        <v>2609</v>
      </c>
      <c r="Y132" t="s">
        <v>2610</v>
      </c>
      <c r="Z132" t="s">
        <v>2611</v>
      </c>
      <c r="AA132" t="s">
        <v>2612</v>
      </c>
      <c r="AB132" t="s">
        <v>2613</v>
      </c>
      <c r="AC132" t="s">
        <v>2614</v>
      </c>
      <c r="AD132" t="s">
        <v>2615</v>
      </c>
      <c r="AE132" t="s">
        <v>2616</v>
      </c>
      <c r="AF132" t="s">
        <v>74</v>
      </c>
      <c r="AG132">
        <v>97</v>
      </c>
      <c r="AH132">
        <v>14</v>
      </c>
      <c r="AI132">
        <v>17</v>
      </c>
      <c r="AJ132">
        <v>1</v>
      </c>
      <c r="AK132">
        <v>37</v>
      </c>
      <c r="AL132" t="s">
        <v>1441</v>
      </c>
      <c r="AM132" t="s">
        <v>91</v>
      </c>
      <c r="AN132" t="s">
        <v>1902</v>
      </c>
      <c r="AO132" t="s">
        <v>1903</v>
      </c>
      <c r="AP132" t="s">
        <v>1904</v>
      </c>
      <c r="AQ132" t="s">
        <v>74</v>
      </c>
      <c r="AR132" t="s">
        <v>1905</v>
      </c>
      <c r="AS132" t="s">
        <v>1906</v>
      </c>
      <c r="AT132" t="s">
        <v>629</v>
      </c>
      <c r="AU132">
        <v>2011</v>
      </c>
      <c r="AV132">
        <v>34</v>
      </c>
      <c r="AW132">
        <v>8</v>
      </c>
      <c r="AX132" t="s">
        <v>74</v>
      </c>
      <c r="AY132" t="s">
        <v>74</v>
      </c>
      <c r="AZ132" t="s">
        <v>74</v>
      </c>
      <c r="BA132" t="s">
        <v>74</v>
      </c>
      <c r="BB132">
        <v>1175</v>
      </c>
      <c r="BC132">
        <v>1195</v>
      </c>
      <c r="BD132" t="s">
        <v>74</v>
      </c>
      <c r="BE132" t="s">
        <v>2617</v>
      </c>
      <c r="BF132" t="str">
        <f>HYPERLINK("http://dx.doi.org/10.1007/s00300-011-0980-7","http://dx.doi.org/10.1007/s00300-011-0980-7")</f>
        <v>http://dx.doi.org/10.1007/s00300-011-0980-7</v>
      </c>
      <c r="BG132" t="s">
        <v>74</v>
      </c>
      <c r="BH132" t="s">
        <v>74</v>
      </c>
      <c r="BI132">
        <v>21</v>
      </c>
      <c r="BJ132" t="s">
        <v>1908</v>
      </c>
      <c r="BK132" t="s">
        <v>100</v>
      </c>
      <c r="BL132" t="s">
        <v>1909</v>
      </c>
      <c r="BM132" t="s">
        <v>1910</v>
      </c>
      <c r="BN132" t="s">
        <v>74</v>
      </c>
      <c r="BO132" t="s">
        <v>1025</v>
      </c>
      <c r="BP132" t="s">
        <v>74</v>
      </c>
      <c r="BQ132" t="s">
        <v>74</v>
      </c>
      <c r="BR132" t="s">
        <v>103</v>
      </c>
      <c r="BS132" t="s">
        <v>2618</v>
      </c>
      <c r="BT132" t="str">
        <f>HYPERLINK("https%3A%2F%2Fwww.webofscience.com%2Fwos%2Fwoscc%2Ffull-record%2FWOS:000292887600008","View Full Record in Web of Science")</f>
        <v>View Full Record in Web of Science</v>
      </c>
    </row>
    <row r="133" spans="1:72" x14ac:dyDescent="0.15">
      <c r="A133" t="s">
        <v>72</v>
      </c>
      <c r="B133" t="s">
        <v>2619</v>
      </c>
      <c r="C133" t="s">
        <v>74</v>
      </c>
      <c r="D133" t="s">
        <v>74</v>
      </c>
      <c r="E133" t="s">
        <v>74</v>
      </c>
      <c r="F133" t="s">
        <v>2620</v>
      </c>
      <c r="G133" t="s">
        <v>74</v>
      </c>
      <c r="H133" t="s">
        <v>74</v>
      </c>
      <c r="I133" t="s">
        <v>2621</v>
      </c>
      <c r="J133" t="s">
        <v>1889</v>
      </c>
      <c r="K133" t="s">
        <v>74</v>
      </c>
      <c r="L133" t="s">
        <v>74</v>
      </c>
      <c r="M133" t="s">
        <v>78</v>
      </c>
      <c r="N133" t="s">
        <v>79</v>
      </c>
      <c r="O133" t="s">
        <v>74</v>
      </c>
      <c r="P133" t="s">
        <v>74</v>
      </c>
      <c r="Q133" t="s">
        <v>74</v>
      </c>
      <c r="R133" t="s">
        <v>74</v>
      </c>
      <c r="S133" t="s">
        <v>74</v>
      </c>
      <c r="T133" t="s">
        <v>2622</v>
      </c>
      <c r="U133" t="s">
        <v>2623</v>
      </c>
      <c r="V133" t="s">
        <v>2624</v>
      </c>
      <c r="W133" t="s">
        <v>2625</v>
      </c>
      <c r="X133" t="s">
        <v>2626</v>
      </c>
      <c r="Y133" t="s">
        <v>2627</v>
      </c>
      <c r="Z133" t="s">
        <v>2628</v>
      </c>
      <c r="AA133" t="s">
        <v>2629</v>
      </c>
      <c r="AB133" t="s">
        <v>2630</v>
      </c>
      <c r="AC133" t="s">
        <v>2631</v>
      </c>
      <c r="AD133" t="s">
        <v>2632</v>
      </c>
      <c r="AE133" t="s">
        <v>2633</v>
      </c>
      <c r="AF133" t="s">
        <v>74</v>
      </c>
      <c r="AG133">
        <v>35</v>
      </c>
      <c r="AH133">
        <v>12</v>
      </c>
      <c r="AI133">
        <v>14</v>
      </c>
      <c r="AJ133">
        <v>1</v>
      </c>
      <c r="AK133">
        <v>15</v>
      </c>
      <c r="AL133" t="s">
        <v>1441</v>
      </c>
      <c r="AM133" t="s">
        <v>91</v>
      </c>
      <c r="AN133" t="s">
        <v>1595</v>
      </c>
      <c r="AO133" t="s">
        <v>1903</v>
      </c>
      <c r="AP133" t="s">
        <v>1904</v>
      </c>
      <c r="AQ133" t="s">
        <v>74</v>
      </c>
      <c r="AR133" t="s">
        <v>1905</v>
      </c>
      <c r="AS133" t="s">
        <v>1906</v>
      </c>
      <c r="AT133" t="s">
        <v>629</v>
      </c>
      <c r="AU133">
        <v>2011</v>
      </c>
      <c r="AV133">
        <v>34</v>
      </c>
      <c r="AW133">
        <v>8</v>
      </c>
      <c r="AX133" t="s">
        <v>74</v>
      </c>
      <c r="AY133" t="s">
        <v>74</v>
      </c>
      <c r="AZ133" t="s">
        <v>74</v>
      </c>
      <c r="BA133" t="s">
        <v>74</v>
      </c>
      <c r="BB133">
        <v>1211</v>
      </c>
      <c r="BC133">
        <v>1220</v>
      </c>
      <c r="BD133" t="s">
        <v>74</v>
      </c>
      <c r="BE133" t="s">
        <v>2634</v>
      </c>
      <c r="BF133" t="str">
        <f>HYPERLINK("http://dx.doi.org/10.1007/s00300-011-0982-5","http://dx.doi.org/10.1007/s00300-011-0982-5")</f>
        <v>http://dx.doi.org/10.1007/s00300-011-0982-5</v>
      </c>
      <c r="BG133" t="s">
        <v>74</v>
      </c>
      <c r="BH133" t="s">
        <v>74</v>
      </c>
      <c r="BI133">
        <v>10</v>
      </c>
      <c r="BJ133" t="s">
        <v>1908</v>
      </c>
      <c r="BK133" t="s">
        <v>100</v>
      </c>
      <c r="BL133" t="s">
        <v>1909</v>
      </c>
      <c r="BM133" t="s">
        <v>1910</v>
      </c>
      <c r="BN133" t="s">
        <v>74</v>
      </c>
      <c r="BO133" t="s">
        <v>74</v>
      </c>
      <c r="BP133" t="s">
        <v>74</v>
      </c>
      <c r="BQ133" t="s">
        <v>74</v>
      </c>
      <c r="BR133" t="s">
        <v>103</v>
      </c>
      <c r="BS133" t="s">
        <v>2635</v>
      </c>
      <c r="BT133" t="str">
        <f>HYPERLINK("https%3A%2F%2Fwww.webofscience.com%2Fwos%2Fwoscc%2Ffull-record%2FWOS:000292887600010","View Full Record in Web of Science")</f>
        <v>View Full Record in Web of Science</v>
      </c>
    </row>
    <row r="134" spans="1:72" x14ac:dyDescent="0.15">
      <c r="A134" t="s">
        <v>72</v>
      </c>
      <c r="B134" t="s">
        <v>2636</v>
      </c>
      <c r="C134" t="s">
        <v>74</v>
      </c>
      <c r="D134" t="s">
        <v>74</v>
      </c>
      <c r="E134" t="s">
        <v>74</v>
      </c>
      <c r="F134" t="s">
        <v>2637</v>
      </c>
      <c r="G134" t="s">
        <v>74</v>
      </c>
      <c r="H134" t="s">
        <v>74</v>
      </c>
      <c r="I134" t="s">
        <v>2638</v>
      </c>
      <c r="J134" t="s">
        <v>1889</v>
      </c>
      <c r="K134" t="s">
        <v>74</v>
      </c>
      <c r="L134" t="s">
        <v>74</v>
      </c>
      <c r="M134" t="s">
        <v>78</v>
      </c>
      <c r="N134" t="s">
        <v>79</v>
      </c>
      <c r="O134" t="s">
        <v>74</v>
      </c>
      <c r="P134" t="s">
        <v>74</v>
      </c>
      <c r="Q134" t="s">
        <v>74</v>
      </c>
      <c r="R134" t="s">
        <v>74</v>
      </c>
      <c r="S134" t="s">
        <v>74</v>
      </c>
      <c r="T134" t="s">
        <v>2639</v>
      </c>
      <c r="U134" t="s">
        <v>2640</v>
      </c>
      <c r="V134" t="s">
        <v>2641</v>
      </c>
      <c r="W134" t="s">
        <v>2642</v>
      </c>
      <c r="X134" t="s">
        <v>2643</v>
      </c>
      <c r="Y134" t="s">
        <v>2644</v>
      </c>
      <c r="Z134" t="s">
        <v>2645</v>
      </c>
      <c r="AA134" t="s">
        <v>2646</v>
      </c>
      <c r="AB134" t="s">
        <v>2647</v>
      </c>
      <c r="AC134" t="s">
        <v>2648</v>
      </c>
      <c r="AD134" t="s">
        <v>2649</v>
      </c>
      <c r="AE134" t="s">
        <v>2650</v>
      </c>
      <c r="AF134" t="s">
        <v>74</v>
      </c>
      <c r="AG134">
        <v>50</v>
      </c>
      <c r="AH134">
        <v>17</v>
      </c>
      <c r="AI134">
        <v>20</v>
      </c>
      <c r="AJ134">
        <v>0</v>
      </c>
      <c r="AK134">
        <v>21</v>
      </c>
      <c r="AL134" t="s">
        <v>1441</v>
      </c>
      <c r="AM134" t="s">
        <v>91</v>
      </c>
      <c r="AN134" t="s">
        <v>1595</v>
      </c>
      <c r="AO134" t="s">
        <v>1903</v>
      </c>
      <c r="AP134" t="s">
        <v>1904</v>
      </c>
      <c r="AQ134" t="s">
        <v>74</v>
      </c>
      <c r="AR134" t="s">
        <v>1905</v>
      </c>
      <c r="AS134" t="s">
        <v>1906</v>
      </c>
      <c r="AT134" t="s">
        <v>629</v>
      </c>
      <c r="AU134">
        <v>2011</v>
      </c>
      <c r="AV134">
        <v>34</v>
      </c>
      <c r="AW134">
        <v>8</v>
      </c>
      <c r="AX134" t="s">
        <v>74</v>
      </c>
      <c r="AY134" t="s">
        <v>74</v>
      </c>
      <c r="AZ134" t="s">
        <v>74</v>
      </c>
      <c r="BA134" t="s">
        <v>74</v>
      </c>
      <c r="BB134">
        <v>1221</v>
      </c>
      <c r="BC134">
        <v>1229</v>
      </c>
      <c r="BD134" t="s">
        <v>74</v>
      </c>
      <c r="BE134" t="s">
        <v>2651</v>
      </c>
      <c r="BF134" t="str">
        <f>HYPERLINK("http://dx.doi.org/10.1007/s00300-011-0984-3","http://dx.doi.org/10.1007/s00300-011-0984-3")</f>
        <v>http://dx.doi.org/10.1007/s00300-011-0984-3</v>
      </c>
      <c r="BG134" t="s">
        <v>74</v>
      </c>
      <c r="BH134" t="s">
        <v>74</v>
      </c>
      <c r="BI134">
        <v>9</v>
      </c>
      <c r="BJ134" t="s">
        <v>1908</v>
      </c>
      <c r="BK134" t="s">
        <v>100</v>
      </c>
      <c r="BL134" t="s">
        <v>1909</v>
      </c>
      <c r="BM134" t="s">
        <v>1910</v>
      </c>
      <c r="BN134" t="s">
        <v>74</v>
      </c>
      <c r="BO134" t="s">
        <v>74</v>
      </c>
      <c r="BP134" t="s">
        <v>74</v>
      </c>
      <c r="BQ134" t="s">
        <v>74</v>
      </c>
      <c r="BR134" t="s">
        <v>103</v>
      </c>
      <c r="BS134" t="s">
        <v>2652</v>
      </c>
      <c r="BT134" t="str">
        <f>HYPERLINK("https%3A%2F%2Fwww.webofscience.com%2Fwos%2Fwoscc%2Ffull-record%2FWOS:000292887600011","View Full Record in Web of Science")</f>
        <v>View Full Record in Web of Science</v>
      </c>
    </row>
    <row r="135" spans="1:72" x14ac:dyDescent="0.15">
      <c r="A135" t="s">
        <v>72</v>
      </c>
      <c r="B135" t="s">
        <v>2653</v>
      </c>
      <c r="C135" t="s">
        <v>74</v>
      </c>
      <c r="D135" t="s">
        <v>74</v>
      </c>
      <c r="E135" t="s">
        <v>74</v>
      </c>
      <c r="F135" t="s">
        <v>2654</v>
      </c>
      <c r="G135" t="s">
        <v>74</v>
      </c>
      <c r="H135" t="s">
        <v>74</v>
      </c>
      <c r="I135" t="s">
        <v>2655</v>
      </c>
      <c r="J135" t="s">
        <v>2656</v>
      </c>
      <c r="K135" t="s">
        <v>74</v>
      </c>
      <c r="L135" t="s">
        <v>74</v>
      </c>
      <c r="M135" t="s">
        <v>78</v>
      </c>
      <c r="N135" t="s">
        <v>79</v>
      </c>
      <c r="O135" t="s">
        <v>74</v>
      </c>
      <c r="P135" t="s">
        <v>74</v>
      </c>
      <c r="Q135" t="s">
        <v>74</v>
      </c>
      <c r="R135" t="s">
        <v>74</v>
      </c>
      <c r="S135" t="s">
        <v>74</v>
      </c>
      <c r="T135" t="s">
        <v>2657</v>
      </c>
      <c r="U135" t="s">
        <v>2658</v>
      </c>
      <c r="V135" t="s">
        <v>2659</v>
      </c>
      <c r="W135" t="s">
        <v>2660</v>
      </c>
      <c r="X135" t="s">
        <v>2661</v>
      </c>
      <c r="Y135" t="s">
        <v>2662</v>
      </c>
      <c r="Z135" t="s">
        <v>2663</v>
      </c>
      <c r="AA135" t="s">
        <v>2664</v>
      </c>
      <c r="AB135" t="s">
        <v>2665</v>
      </c>
      <c r="AC135" t="s">
        <v>2666</v>
      </c>
      <c r="AD135" t="s">
        <v>2667</v>
      </c>
      <c r="AE135" t="s">
        <v>2668</v>
      </c>
      <c r="AF135" t="s">
        <v>74</v>
      </c>
      <c r="AG135">
        <v>78</v>
      </c>
      <c r="AH135">
        <v>20</v>
      </c>
      <c r="AI135">
        <v>24</v>
      </c>
      <c r="AJ135">
        <v>0</v>
      </c>
      <c r="AK135">
        <v>11</v>
      </c>
      <c r="AL135" t="s">
        <v>2669</v>
      </c>
      <c r="AM135" t="s">
        <v>309</v>
      </c>
      <c r="AN135" t="s">
        <v>2670</v>
      </c>
      <c r="AO135" t="s">
        <v>2671</v>
      </c>
      <c r="AP135" t="s">
        <v>2672</v>
      </c>
      <c r="AQ135" t="s">
        <v>74</v>
      </c>
      <c r="AR135" t="s">
        <v>2673</v>
      </c>
      <c r="AS135" t="s">
        <v>2674</v>
      </c>
      <c r="AT135" t="s">
        <v>629</v>
      </c>
      <c r="AU135">
        <v>2011</v>
      </c>
      <c r="AV135">
        <v>5</v>
      </c>
      <c r="AW135">
        <v>2</v>
      </c>
      <c r="AX135" t="s">
        <v>74</v>
      </c>
      <c r="AY135" t="s">
        <v>74</v>
      </c>
      <c r="AZ135" t="s">
        <v>74</v>
      </c>
      <c r="BA135" t="s">
        <v>74</v>
      </c>
      <c r="BB135">
        <v>75</v>
      </c>
      <c r="BC135">
        <v>87</v>
      </c>
      <c r="BD135" t="s">
        <v>74</v>
      </c>
      <c r="BE135" t="s">
        <v>2675</v>
      </c>
      <c r="BF135" t="str">
        <f>HYPERLINK("http://dx.doi.org/10.1016/j.polar.2011.04.009","http://dx.doi.org/10.1016/j.polar.2011.04.009")</f>
        <v>http://dx.doi.org/10.1016/j.polar.2011.04.009</v>
      </c>
      <c r="BG135" t="s">
        <v>74</v>
      </c>
      <c r="BH135" t="s">
        <v>74</v>
      </c>
      <c r="BI135">
        <v>13</v>
      </c>
      <c r="BJ135" t="s">
        <v>2676</v>
      </c>
      <c r="BK135" t="s">
        <v>100</v>
      </c>
      <c r="BL135" t="s">
        <v>343</v>
      </c>
      <c r="BM135" t="s">
        <v>2677</v>
      </c>
      <c r="BN135" t="s">
        <v>74</v>
      </c>
      <c r="BO135" t="s">
        <v>2678</v>
      </c>
      <c r="BP135" t="s">
        <v>74</v>
      </c>
      <c r="BQ135" t="s">
        <v>74</v>
      </c>
      <c r="BR135" t="s">
        <v>103</v>
      </c>
      <c r="BS135" t="s">
        <v>2679</v>
      </c>
      <c r="BT135" t="str">
        <f>HYPERLINK("https%3A%2F%2Fwww.webofscience.com%2Fwos%2Fwoscc%2Ffull-record%2FWOS:000209057800001","View Full Record in Web of Science")</f>
        <v>View Full Record in Web of Science</v>
      </c>
    </row>
    <row r="136" spans="1:72" x14ac:dyDescent="0.15">
      <c r="A136" t="s">
        <v>72</v>
      </c>
      <c r="B136" t="s">
        <v>2680</v>
      </c>
      <c r="C136" t="s">
        <v>74</v>
      </c>
      <c r="D136" t="s">
        <v>74</v>
      </c>
      <c r="E136" t="s">
        <v>74</v>
      </c>
      <c r="F136" t="s">
        <v>2681</v>
      </c>
      <c r="G136" t="s">
        <v>74</v>
      </c>
      <c r="H136" t="s">
        <v>74</v>
      </c>
      <c r="I136" t="s">
        <v>2682</v>
      </c>
      <c r="J136" t="s">
        <v>2656</v>
      </c>
      <c r="K136" t="s">
        <v>74</v>
      </c>
      <c r="L136" t="s">
        <v>74</v>
      </c>
      <c r="M136" t="s">
        <v>78</v>
      </c>
      <c r="N136" t="s">
        <v>79</v>
      </c>
      <c r="O136" t="s">
        <v>74</v>
      </c>
      <c r="P136" t="s">
        <v>74</v>
      </c>
      <c r="Q136" t="s">
        <v>74</v>
      </c>
      <c r="R136" t="s">
        <v>74</v>
      </c>
      <c r="S136" t="s">
        <v>74</v>
      </c>
      <c r="T136" t="s">
        <v>2683</v>
      </c>
      <c r="U136" t="s">
        <v>2684</v>
      </c>
      <c r="V136" t="s">
        <v>2685</v>
      </c>
      <c r="W136" t="s">
        <v>2686</v>
      </c>
      <c r="X136" t="s">
        <v>2687</v>
      </c>
      <c r="Y136" t="s">
        <v>2688</v>
      </c>
      <c r="Z136" t="s">
        <v>2689</v>
      </c>
      <c r="AA136" t="s">
        <v>2690</v>
      </c>
      <c r="AB136" t="s">
        <v>2691</v>
      </c>
      <c r="AC136" t="s">
        <v>2692</v>
      </c>
      <c r="AD136" t="s">
        <v>2693</v>
      </c>
      <c r="AE136" t="s">
        <v>2694</v>
      </c>
      <c r="AF136" t="s">
        <v>74</v>
      </c>
      <c r="AG136">
        <v>30</v>
      </c>
      <c r="AH136">
        <v>26</v>
      </c>
      <c r="AI136">
        <v>28</v>
      </c>
      <c r="AJ136">
        <v>0</v>
      </c>
      <c r="AK136">
        <v>6</v>
      </c>
      <c r="AL136" t="s">
        <v>308</v>
      </c>
      <c r="AM136" t="s">
        <v>309</v>
      </c>
      <c r="AN136" t="s">
        <v>310</v>
      </c>
      <c r="AO136" t="s">
        <v>2671</v>
      </c>
      <c r="AP136" t="s">
        <v>2672</v>
      </c>
      <c r="AQ136" t="s">
        <v>74</v>
      </c>
      <c r="AR136" t="s">
        <v>2673</v>
      </c>
      <c r="AS136" t="s">
        <v>2674</v>
      </c>
      <c r="AT136" t="s">
        <v>629</v>
      </c>
      <c r="AU136">
        <v>2011</v>
      </c>
      <c r="AV136">
        <v>5</v>
      </c>
      <c r="AW136">
        <v>2</v>
      </c>
      <c r="AX136" t="s">
        <v>74</v>
      </c>
      <c r="AY136" t="s">
        <v>74</v>
      </c>
      <c r="AZ136" t="s">
        <v>74</v>
      </c>
      <c r="BA136" t="s">
        <v>74</v>
      </c>
      <c r="BB136">
        <v>88</v>
      </c>
      <c r="BC136">
        <v>103</v>
      </c>
      <c r="BD136" t="s">
        <v>74</v>
      </c>
      <c r="BE136" t="s">
        <v>2695</v>
      </c>
      <c r="BF136" t="str">
        <f>HYPERLINK("http://dx.doi.org/10.1016/j.polar.2011.04.008","http://dx.doi.org/10.1016/j.polar.2011.04.008")</f>
        <v>http://dx.doi.org/10.1016/j.polar.2011.04.008</v>
      </c>
      <c r="BG136" t="s">
        <v>74</v>
      </c>
      <c r="BH136" t="s">
        <v>74</v>
      </c>
      <c r="BI136">
        <v>16</v>
      </c>
      <c r="BJ136" t="s">
        <v>2676</v>
      </c>
      <c r="BK136" t="s">
        <v>100</v>
      </c>
      <c r="BL136" t="s">
        <v>343</v>
      </c>
      <c r="BM136" t="s">
        <v>2677</v>
      </c>
      <c r="BN136" t="s">
        <v>74</v>
      </c>
      <c r="BO136" t="s">
        <v>74</v>
      </c>
      <c r="BP136" t="s">
        <v>74</v>
      </c>
      <c r="BQ136" t="s">
        <v>74</v>
      </c>
      <c r="BR136" t="s">
        <v>103</v>
      </c>
      <c r="BS136" t="s">
        <v>2696</v>
      </c>
      <c r="BT136" t="str">
        <f>HYPERLINK("https%3A%2F%2Fwww.webofscience.com%2Fwos%2Fwoscc%2Ffull-record%2FWOS:000209057800002","View Full Record in Web of Science")</f>
        <v>View Full Record in Web of Science</v>
      </c>
    </row>
    <row r="137" spans="1:72" x14ac:dyDescent="0.15">
      <c r="A137" t="s">
        <v>72</v>
      </c>
      <c r="B137" t="s">
        <v>2697</v>
      </c>
      <c r="C137" t="s">
        <v>74</v>
      </c>
      <c r="D137" t="s">
        <v>74</v>
      </c>
      <c r="E137" t="s">
        <v>74</v>
      </c>
      <c r="F137" t="s">
        <v>2698</v>
      </c>
      <c r="G137" t="s">
        <v>74</v>
      </c>
      <c r="H137" t="s">
        <v>74</v>
      </c>
      <c r="I137" t="s">
        <v>2699</v>
      </c>
      <c r="J137" t="s">
        <v>2656</v>
      </c>
      <c r="K137" t="s">
        <v>74</v>
      </c>
      <c r="L137" t="s">
        <v>74</v>
      </c>
      <c r="M137" t="s">
        <v>78</v>
      </c>
      <c r="N137" t="s">
        <v>79</v>
      </c>
      <c r="O137" t="s">
        <v>74</v>
      </c>
      <c r="P137" t="s">
        <v>74</v>
      </c>
      <c r="Q137" t="s">
        <v>74</v>
      </c>
      <c r="R137" t="s">
        <v>74</v>
      </c>
      <c r="S137" t="s">
        <v>74</v>
      </c>
      <c r="T137" t="s">
        <v>2700</v>
      </c>
      <c r="U137" t="s">
        <v>2701</v>
      </c>
      <c r="V137" t="s">
        <v>2702</v>
      </c>
      <c r="W137" t="s">
        <v>2703</v>
      </c>
      <c r="X137" t="s">
        <v>2704</v>
      </c>
      <c r="Y137" t="s">
        <v>2705</v>
      </c>
      <c r="Z137" t="s">
        <v>2706</v>
      </c>
      <c r="AA137" t="s">
        <v>2707</v>
      </c>
      <c r="AB137" t="s">
        <v>2708</v>
      </c>
      <c r="AC137" t="s">
        <v>2709</v>
      </c>
      <c r="AD137" t="s">
        <v>2710</v>
      </c>
      <c r="AE137" t="s">
        <v>2711</v>
      </c>
      <c r="AF137" t="s">
        <v>74</v>
      </c>
      <c r="AG137">
        <v>54</v>
      </c>
      <c r="AH137">
        <v>4</v>
      </c>
      <c r="AI137">
        <v>5</v>
      </c>
      <c r="AJ137">
        <v>0</v>
      </c>
      <c r="AK137">
        <v>9</v>
      </c>
      <c r="AL137" t="s">
        <v>308</v>
      </c>
      <c r="AM137" t="s">
        <v>309</v>
      </c>
      <c r="AN137" t="s">
        <v>310</v>
      </c>
      <c r="AO137" t="s">
        <v>2671</v>
      </c>
      <c r="AP137" t="s">
        <v>2672</v>
      </c>
      <c r="AQ137" t="s">
        <v>74</v>
      </c>
      <c r="AR137" t="s">
        <v>2673</v>
      </c>
      <c r="AS137" t="s">
        <v>2674</v>
      </c>
      <c r="AT137" t="s">
        <v>629</v>
      </c>
      <c r="AU137">
        <v>2011</v>
      </c>
      <c r="AV137">
        <v>5</v>
      </c>
      <c r="AW137">
        <v>2</v>
      </c>
      <c r="AX137" t="s">
        <v>74</v>
      </c>
      <c r="AY137" t="s">
        <v>74</v>
      </c>
      <c r="AZ137" t="s">
        <v>74</v>
      </c>
      <c r="BA137" t="s">
        <v>74</v>
      </c>
      <c r="BB137">
        <v>104</v>
      </c>
      <c r="BC137">
        <v>117</v>
      </c>
      <c r="BD137" t="s">
        <v>74</v>
      </c>
      <c r="BE137" t="s">
        <v>2712</v>
      </c>
      <c r="BF137" t="str">
        <f>HYPERLINK("http://dx.doi.org/10.1016/j.polar.2011.04.007","http://dx.doi.org/10.1016/j.polar.2011.04.007")</f>
        <v>http://dx.doi.org/10.1016/j.polar.2011.04.007</v>
      </c>
      <c r="BG137" t="s">
        <v>74</v>
      </c>
      <c r="BH137" t="s">
        <v>74</v>
      </c>
      <c r="BI137">
        <v>14</v>
      </c>
      <c r="BJ137" t="s">
        <v>2676</v>
      </c>
      <c r="BK137" t="s">
        <v>100</v>
      </c>
      <c r="BL137" t="s">
        <v>343</v>
      </c>
      <c r="BM137" t="s">
        <v>2677</v>
      </c>
      <c r="BN137" t="s">
        <v>74</v>
      </c>
      <c r="BO137" t="s">
        <v>74</v>
      </c>
      <c r="BP137" t="s">
        <v>74</v>
      </c>
      <c r="BQ137" t="s">
        <v>74</v>
      </c>
      <c r="BR137" t="s">
        <v>103</v>
      </c>
      <c r="BS137" t="s">
        <v>2713</v>
      </c>
      <c r="BT137" t="str">
        <f>HYPERLINK("https%3A%2F%2Fwww.webofscience.com%2Fwos%2Fwoscc%2Ffull-record%2FWOS:000209057800003","View Full Record in Web of Science")</f>
        <v>View Full Record in Web of Science</v>
      </c>
    </row>
    <row r="138" spans="1:72" x14ac:dyDescent="0.15">
      <c r="A138" t="s">
        <v>72</v>
      </c>
      <c r="B138" t="s">
        <v>2714</v>
      </c>
      <c r="C138" t="s">
        <v>74</v>
      </c>
      <c r="D138" t="s">
        <v>74</v>
      </c>
      <c r="E138" t="s">
        <v>74</v>
      </c>
      <c r="F138" t="s">
        <v>2715</v>
      </c>
      <c r="G138" t="s">
        <v>74</v>
      </c>
      <c r="H138" t="s">
        <v>74</v>
      </c>
      <c r="I138" t="s">
        <v>2716</v>
      </c>
      <c r="J138" t="s">
        <v>2656</v>
      </c>
      <c r="K138" t="s">
        <v>74</v>
      </c>
      <c r="L138" t="s">
        <v>74</v>
      </c>
      <c r="M138" t="s">
        <v>78</v>
      </c>
      <c r="N138" t="s">
        <v>79</v>
      </c>
      <c r="O138" t="s">
        <v>74</v>
      </c>
      <c r="P138" t="s">
        <v>74</v>
      </c>
      <c r="Q138" t="s">
        <v>74</v>
      </c>
      <c r="R138" t="s">
        <v>74</v>
      </c>
      <c r="S138" t="s">
        <v>74</v>
      </c>
      <c r="T138" t="s">
        <v>2717</v>
      </c>
      <c r="U138" t="s">
        <v>2718</v>
      </c>
      <c r="V138" t="s">
        <v>2719</v>
      </c>
      <c r="W138" t="s">
        <v>2720</v>
      </c>
      <c r="X138" t="s">
        <v>2721</v>
      </c>
      <c r="Y138" t="s">
        <v>2722</v>
      </c>
      <c r="Z138" t="s">
        <v>2723</v>
      </c>
      <c r="AA138" t="s">
        <v>2664</v>
      </c>
      <c r="AB138" t="s">
        <v>2724</v>
      </c>
      <c r="AC138" t="s">
        <v>2725</v>
      </c>
      <c r="AD138" t="s">
        <v>2725</v>
      </c>
      <c r="AE138" t="s">
        <v>2726</v>
      </c>
      <c r="AF138" t="s">
        <v>74</v>
      </c>
      <c r="AG138">
        <v>25</v>
      </c>
      <c r="AH138">
        <v>11</v>
      </c>
      <c r="AI138">
        <v>12</v>
      </c>
      <c r="AJ138">
        <v>1</v>
      </c>
      <c r="AK138">
        <v>9</v>
      </c>
      <c r="AL138" t="s">
        <v>2669</v>
      </c>
      <c r="AM138" t="s">
        <v>309</v>
      </c>
      <c r="AN138" t="s">
        <v>2670</v>
      </c>
      <c r="AO138" t="s">
        <v>2671</v>
      </c>
      <c r="AP138" t="s">
        <v>2672</v>
      </c>
      <c r="AQ138" t="s">
        <v>74</v>
      </c>
      <c r="AR138" t="s">
        <v>2673</v>
      </c>
      <c r="AS138" t="s">
        <v>2674</v>
      </c>
      <c r="AT138" t="s">
        <v>629</v>
      </c>
      <c r="AU138">
        <v>2011</v>
      </c>
      <c r="AV138">
        <v>5</v>
      </c>
      <c r="AW138">
        <v>2</v>
      </c>
      <c r="AX138" t="s">
        <v>74</v>
      </c>
      <c r="AY138" t="s">
        <v>74</v>
      </c>
      <c r="AZ138" t="s">
        <v>74</v>
      </c>
      <c r="BA138" t="s">
        <v>74</v>
      </c>
      <c r="BB138">
        <v>118</v>
      </c>
      <c r="BC138">
        <v>133</v>
      </c>
      <c r="BD138" t="s">
        <v>74</v>
      </c>
      <c r="BE138" t="s">
        <v>2727</v>
      </c>
      <c r="BF138" t="str">
        <f>HYPERLINK("http://dx.doi.org/10.1016/j.polar.2011.03.001","http://dx.doi.org/10.1016/j.polar.2011.03.001")</f>
        <v>http://dx.doi.org/10.1016/j.polar.2011.03.001</v>
      </c>
      <c r="BG138" t="s">
        <v>74</v>
      </c>
      <c r="BH138" t="s">
        <v>74</v>
      </c>
      <c r="BI138">
        <v>16</v>
      </c>
      <c r="BJ138" t="s">
        <v>2676</v>
      </c>
      <c r="BK138" t="s">
        <v>100</v>
      </c>
      <c r="BL138" t="s">
        <v>343</v>
      </c>
      <c r="BM138" t="s">
        <v>2677</v>
      </c>
      <c r="BN138" t="s">
        <v>74</v>
      </c>
      <c r="BO138" t="s">
        <v>702</v>
      </c>
      <c r="BP138" t="s">
        <v>74</v>
      </c>
      <c r="BQ138" t="s">
        <v>74</v>
      </c>
      <c r="BR138" t="s">
        <v>103</v>
      </c>
      <c r="BS138" t="s">
        <v>2728</v>
      </c>
      <c r="BT138" t="str">
        <f>HYPERLINK("https%3A%2F%2Fwww.webofscience.com%2Fwos%2Fwoscc%2Ffull-record%2FWOS:000209057800004","View Full Record in Web of Science")</f>
        <v>View Full Record in Web of Science</v>
      </c>
    </row>
    <row r="139" spans="1:72" x14ac:dyDescent="0.15">
      <c r="A139" t="s">
        <v>72</v>
      </c>
      <c r="B139" t="s">
        <v>2729</v>
      </c>
      <c r="C139" t="s">
        <v>74</v>
      </c>
      <c r="D139" t="s">
        <v>74</v>
      </c>
      <c r="E139" t="s">
        <v>74</v>
      </c>
      <c r="F139" t="s">
        <v>2730</v>
      </c>
      <c r="G139" t="s">
        <v>74</v>
      </c>
      <c r="H139" t="s">
        <v>74</v>
      </c>
      <c r="I139" t="s">
        <v>2731</v>
      </c>
      <c r="J139" t="s">
        <v>2656</v>
      </c>
      <c r="K139" t="s">
        <v>74</v>
      </c>
      <c r="L139" t="s">
        <v>74</v>
      </c>
      <c r="M139" t="s">
        <v>78</v>
      </c>
      <c r="N139" t="s">
        <v>79</v>
      </c>
      <c r="O139" t="s">
        <v>74</v>
      </c>
      <c r="P139" t="s">
        <v>74</v>
      </c>
      <c r="Q139" t="s">
        <v>74</v>
      </c>
      <c r="R139" t="s">
        <v>74</v>
      </c>
      <c r="S139" t="s">
        <v>74</v>
      </c>
      <c r="T139" t="s">
        <v>2732</v>
      </c>
      <c r="U139" t="s">
        <v>2733</v>
      </c>
      <c r="V139" t="s">
        <v>2734</v>
      </c>
      <c r="W139" t="s">
        <v>2735</v>
      </c>
      <c r="X139" t="s">
        <v>2736</v>
      </c>
      <c r="Y139" t="s">
        <v>2737</v>
      </c>
      <c r="Z139" t="s">
        <v>1955</v>
      </c>
      <c r="AA139" t="s">
        <v>74</v>
      </c>
      <c r="AB139" t="s">
        <v>2738</v>
      </c>
      <c r="AC139" t="s">
        <v>74</v>
      </c>
      <c r="AD139" t="s">
        <v>74</v>
      </c>
      <c r="AE139" t="s">
        <v>74</v>
      </c>
      <c r="AF139" t="s">
        <v>74</v>
      </c>
      <c r="AG139">
        <v>39</v>
      </c>
      <c r="AH139">
        <v>17</v>
      </c>
      <c r="AI139">
        <v>18</v>
      </c>
      <c r="AJ139">
        <v>0</v>
      </c>
      <c r="AK139">
        <v>18</v>
      </c>
      <c r="AL139" t="s">
        <v>308</v>
      </c>
      <c r="AM139" t="s">
        <v>309</v>
      </c>
      <c r="AN139" t="s">
        <v>310</v>
      </c>
      <c r="AO139" t="s">
        <v>2671</v>
      </c>
      <c r="AP139" t="s">
        <v>2672</v>
      </c>
      <c r="AQ139" t="s">
        <v>74</v>
      </c>
      <c r="AR139" t="s">
        <v>2673</v>
      </c>
      <c r="AS139" t="s">
        <v>2674</v>
      </c>
      <c r="AT139" t="s">
        <v>629</v>
      </c>
      <c r="AU139">
        <v>2011</v>
      </c>
      <c r="AV139">
        <v>5</v>
      </c>
      <c r="AW139">
        <v>2</v>
      </c>
      <c r="AX139" t="s">
        <v>74</v>
      </c>
      <c r="AY139" t="s">
        <v>74</v>
      </c>
      <c r="AZ139" t="s">
        <v>74</v>
      </c>
      <c r="BA139" t="s">
        <v>74</v>
      </c>
      <c r="BB139">
        <v>134</v>
      </c>
      <c r="BC139">
        <v>145</v>
      </c>
      <c r="BD139" t="s">
        <v>74</v>
      </c>
      <c r="BE139" t="s">
        <v>2739</v>
      </c>
      <c r="BF139" t="str">
        <f>HYPERLINK("http://dx.doi.org/10.1016/j.polar.2011.04.003","http://dx.doi.org/10.1016/j.polar.2011.04.003")</f>
        <v>http://dx.doi.org/10.1016/j.polar.2011.04.003</v>
      </c>
      <c r="BG139" t="s">
        <v>74</v>
      </c>
      <c r="BH139" t="s">
        <v>74</v>
      </c>
      <c r="BI139">
        <v>12</v>
      </c>
      <c r="BJ139" t="s">
        <v>2676</v>
      </c>
      <c r="BK139" t="s">
        <v>100</v>
      </c>
      <c r="BL139" t="s">
        <v>343</v>
      </c>
      <c r="BM139" t="s">
        <v>2677</v>
      </c>
      <c r="BN139" t="s">
        <v>74</v>
      </c>
      <c r="BO139" t="s">
        <v>1284</v>
      </c>
      <c r="BP139" t="s">
        <v>74</v>
      </c>
      <c r="BQ139" t="s">
        <v>74</v>
      </c>
      <c r="BR139" t="s">
        <v>103</v>
      </c>
      <c r="BS139" t="s">
        <v>2740</v>
      </c>
      <c r="BT139" t="str">
        <f>HYPERLINK("https%3A%2F%2Fwww.webofscience.com%2Fwos%2Fwoscc%2Ffull-record%2FWOS:000209057800005","View Full Record in Web of Science")</f>
        <v>View Full Record in Web of Science</v>
      </c>
    </row>
    <row r="140" spans="1:72" x14ac:dyDescent="0.15">
      <c r="A140" t="s">
        <v>72</v>
      </c>
      <c r="B140" t="s">
        <v>2741</v>
      </c>
      <c r="C140" t="s">
        <v>74</v>
      </c>
      <c r="D140" t="s">
        <v>74</v>
      </c>
      <c r="E140" t="s">
        <v>74</v>
      </c>
      <c r="F140" t="s">
        <v>2742</v>
      </c>
      <c r="G140" t="s">
        <v>74</v>
      </c>
      <c r="H140" t="s">
        <v>74</v>
      </c>
      <c r="I140" t="s">
        <v>2743</v>
      </c>
      <c r="J140" t="s">
        <v>2656</v>
      </c>
      <c r="K140" t="s">
        <v>74</v>
      </c>
      <c r="L140" t="s">
        <v>74</v>
      </c>
      <c r="M140" t="s">
        <v>78</v>
      </c>
      <c r="N140" t="s">
        <v>79</v>
      </c>
      <c r="O140" t="s">
        <v>74</v>
      </c>
      <c r="P140" t="s">
        <v>74</v>
      </c>
      <c r="Q140" t="s">
        <v>74</v>
      </c>
      <c r="R140" t="s">
        <v>74</v>
      </c>
      <c r="S140" t="s">
        <v>74</v>
      </c>
      <c r="T140" t="s">
        <v>2744</v>
      </c>
      <c r="U140" t="s">
        <v>2745</v>
      </c>
      <c r="V140" t="s">
        <v>2746</v>
      </c>
      <c r="W140" t="s">
        <v>2747</v>
      </c>
      <c r="X140" t="s">
        <v>2748</v>
      </c>
      <c r="Y140" t="s">
        <v>2749</v>
      </c>
      <c r="Z140" t="s">
        <v>2750</v>
      </c>
      <c r="AA140" t="s">
        <v>2751</v>
      </c>
      <c r="AB140" t="s">
        <v>74</v>
      </c>
      <c r="AC140" t="s">
        <v>2752</v>
      </c>
      <c r="AD140" t="s">
        <v>2753</v>
      </c>
      <c r="AE140" t="s">
        <v>2754</v>
      </c>
      <c r="AF140" t="s">
        <v>74</v>
      </c>
      <c r="AG140">
        <v>56</v>
      </c>
      <c r="AH140">
        <v>11</v>
      </c>
      <c r="AI140">
        <v>12</v>
      </c>
      <c r="AJ140">
        <v>0</v>
      </c>
      <c r="AK140">
        <v>11</v>
      </c>
      <c r="AL140" t="s">
        <v>308</v>
      </c>
      <c r="AM140" t="s">
        <v>309</v>
      </c>
      <c r="AN140" t="s">
        <v>310</v>
      </c>
      <c r="AO140" t="s">
        <v>2671</v>
      </c>
      <c r="AP140" t="s">
        <v>2672</v>
      </c>
      <c r="AQ140" t="s">
        <v>74</v>
      </c>
      <c r="AR140" t="s">
        <v>2673</v>
      </c>
      <c r="AS140" t="s">
        <v>2674</v>
      </c>
      <c r="AT140" t="s">
        <v>629</v>
      </c>
      <c r="AU140">
        <v>2011</v>
      </c>
      <c r="AV140">
        <v>5</v>
      </c>
      <c r="AW140">
        <v>2</v>
      </c>
      <c r="AX140" t="s">
        <v>74</v>
      </c>
      <c r="AY140" t="s">
        <v>74</v>
      </c>
      <c r="AZ140" t="s">
        <v>74</v>
      </c>
      <c r="BA140" t="s">
        <v>74</v>
      </c>
      <c r="BB140">
        <v>146</v>
      </c>
      <c r="BC140">
        <v>165</v>
      </c>
      <c r="BD140" t="s">
        <v>74</v>
      </c>
      <c r="BE140" t="s">
        <v>2755</v>
      </c>
      <c r="BF140" t="str">
        <f>HYPERLINK("http://dx.doi.org/10.1016/j.polar.2011.04.006","http://dx.doi.org/10.1016/j.polar.2011.04.006")</f>
        <v>http://dx.doi.org/10.1016/j.polar.2011.04.006</v>
      </c>
      <c r="BG140" t="s">
        <v>74</v>
      </c>
      <c r="BH140" t="s">
        <v>74</v>
      </c>
      <c r="BI140">
        <v>20</v>
      </c>
      <c r="BJ140" t="s">
        <v>2676</v>
      </c>
      <c r="BK140" t="s">
        <v>100</v>
      </c>
      <c r="BL140" t="s">
        <v>343</v>
      </c>
      <c r="BM140" t="s">
        <v>2677</v>
      </c>
      <c r="BN140" t="s">
        <v>74</v>
      </c>
      <c r="BO140" t="s">
        <v>1284</v>
      </c>
      <c r="BP140" t="s">
        <v>74</v>
      </c>
      <c r="BQ140" t="s">
        <v>74</v>
      </c>
      <c r="BR140" t="s">
        <v>103</v>
      </c>
      <c r="BS140" t="s">
        <v>2756</v>
      </c>
      <c r="BT140" t="str">
        <f>HYPERLINK("https%3A%2F%2Fwww.webofscience.com%2Fwos%2Fwoscc%2Ffull-record%2FWOS:000209057800006","View Full Record in Web of Science")</f>
        <v>View Full Record in Web of Science</v>
      </c>
    </row>
    <row r="141" spans="1:72" x14ac:dyDescent="0.15">
      <c r="A141" t="s">
        <v>72</v>
      </c>
      <c r="B141" t="s">
        <v>2757</v>
      </c>
      <c r="C141" t="s">
        <v>74</v>
      </c>
      <c r="D141" t="s">
        <v>74</v>
      </c>
      <c r="E141" t="s">
        <v>74</v>
      </c>
      <c r="F141" t="s">
        <v>2758</v>
      </c>
      <c r="G141" t="s">
        <v>74</v>
      </c>
      <c r="H141" t="s">
        <v>74</v>
      </c>
      <c r="I141" t="s">
        <v>2759</v>
      </c>
      <c r="J141" t="s">
        <v>2656</v>
      </c>
      <c r="K141" t="s">
        <v>74</v>
      </c>
      <c r="L141" t="s">
        <v>74</v>
      </c>
      <c r="M141" t="s">
        <v>78</v>
      </c>
      <c r="N141" t="s">
        <v>79</v>
      </c>
      <c r="O141" t="s">
        <v>74</v>
      </c>
      <c r="P141" t="s">
        <v>74</v>
      </c>
      <c r="Q141" t="s">
        <v>74</v>
      </c>
      <c r="R141" t="s">
        <v>74</v>
      </c>
      <c r="S141" t="s">
        <v>74</v>
      </c>
      <c r="T141" t="s">
        <v>2760</v>
      </c>
      <c r="U141" t="s">
        <v>2761</v>
      </c>
      <c r="V141" t="s">
        <v>2762</v>
      </c>
      <c r="W141" t="s">
        <v>2763</v>
      </c>
      <c r="X141" t="s">
        <v>2764</v>
      </c>
      <c r="Y141" t="s">
        <v>2765</v>
      </c>
      <c r="Z141" t="s">
        <v>2766</v>
      </c>
      <c r="AA141" t="s">
        <v>2664</v>
      </c>
      <c r="AB141" t="s">
        <v>74</v>
      </c>
      <c r="AC141" t="s">
        <v>2767</v>
      </c>
      <c r="AD141" t="s">
        <v>2768</v>
      </c>
      <c r="AE141" t="s">
        <v>2769</v>
      </c>
      <c r="AF141" t="s">
        <v>74</v>
      </c>
      <c r="AG141">
        <v>42</v>
      </c>
      <c r="AH141">
        <v>7</v>
      </c>
      <c r="AI141">
        <v>7</v>
      </c>
      <c r="AJ141">
        <v>0</v>
      </c>
      <c r="AK141">
        <v>7</v>
      </c>
      <c r="AL141" t="s">
        <v>2669</v>
      </c>
      <c r="AM141" t="s">
        <v>309</v>
      </c>
      <c r="AN141" t="s">
        <v>2670</v>
      </c>
      <c r="AO141" t="s">
        <v>2671</v>
      </c>
      <c r="AP141" t="s">
        <v>2672</v>
      </c>
      <c r="AQ141" t="s">
        <v>74</v>
      </c>
      <c r="AR141" t="s">
        <v>2673</v>
      </c>
      <c r="AS141" t="s">
        <v>2674</v>
      </c>
      <c r="AT141" t="s">
        <v>629</v>
      </c>
      <c r="AU141">
        <v>2011</v>
      </c>
      <c r="AV141">
        <v>5</v>
      </c>
      <c r="AW141">
        <v>2</v>
      </c>
      <c r="AX141" t="s">
        <v>74</v>
      </c>
      <c r="AY141" t="s">
        <v>74</v>
      </c>
      <c r="AZ141" t="s">
        <v>74</v>
      </c>
      <c r="BA141" t="s">
        <v>74</v>
      </c>
      <c r="BB141">
        <v>166</v>
      </c>
      <c r="BC141">
        <v>178</v>
      </c>
      <c r="BD141" t="s">
        <v>74</v>
      </c>
      <c r="BE141" t="s">
        <v>2770</v>
      </c>
      <c r="BF141" t="str">
        <f>HYPERLINK("http://dx.doi.org/10.1016/j.polar.2011.03.006","http://dx.doi.org/10.1016/j.polar.2011.03.006")</f>
        <v>http://dx.doi.org/10.1016/j.polar.2011.03.006</v>
      </c>
      <c r="BG141" t="s">
        <v>74</v>
      </c>
      <c r="BH141" t="s">
        <v>74</v>
      </c>
      <c r="BI141">
        <v>13</v>
      </c>
      <c r="BJ141" t="s">
        <v>2676</v>
      </c>
      <c r="BK141" t="s">
        <v>100</v>
      </c>
      <c r="BL141" t="s">
        <v>343</v>
      </c>
      <c r="BM141" t="s">
        <v>2677</v>
      </c>
      <c r="BN141" t="s">
        <v>74</v>
      </c>
      <c r="BO141" t="s">
        <v>2678</v>
      </c>
      <c r="BP141" t="s">
        <v>74</v>
      </c>
      <c r="BQ141" t="s">
        <v>74</v>
      </c>
      <c r="BR141" t="s">
        <v>103</v>
      </c>
      <c r="BS141" t="s">
        <v>2771</v>
      </c>
      <c r="BT141" t="str">
        <f>HYPERLINK("https%3A%2F%2Fwww.webofscience.com%2Fwos%2Fwoscc%2Ffull-record%2FWOS:000209057800007","View Full Record in Web of Science")</f>
        <v>View Full Record in Web of Science</v>
      </c>
    </row>
    <row r="142" spans="1:72" x14ac:dyDescent="0.15">
      <c r="A142" t="s">
        <v>72</v>
      </c>
      <c r="B142" t="s">
        <v>2772</v>
      </c>
      <c r="C142" t="s">
        <v>74</v>
      </c>
      <c r="D142" t="s">
        <v>74</v>
      </c>
      <c r="E142" t="s">
        <v>74</v>
      </c>
      <c r="F142" t="s">
        <v>2773</v>
      </c>
      <c r="G142" t="s">
        <v>74</v>
      </c>
      <c r="H142" t="s">
        <v>74</v>
      </c>
      <c r="I142" t="s">
        <v>2774</v>
      </c>
      <c r="J142" t="s">
        <v>2656</v>
      </c>
      <c r="K142" t="s">
        <v>74</v>
      </c>
      <c r="L142" t="s">
        <v>74</v>
      </c>
      <c r="M142" t="s">
        <v>78</v>
      </c>
      <c r="N142" t="s">
        <v>79</v>
      </c>
      <c r="O142" t="s">
        <v>74</v>
      </c>
      <c r="P142" t="s">
        <v>74</v>
      </c>
      <c r="Q142" t="s">
        <v>74</v>
      </c>
      <c r="R142" t="s">
        <v>74</v>
      </c>
      <c r="S142" t="s">
        <v>74</v>
      </c>
      <c r="T142" t="s">
        <v>2775</v>
      </c>
      <c r="U142" t="s">
        <v>74</v>
      </c>
      <c r="V142" t="s">
        <v>2776</v>
      </c>
      <c r="W142" t="s">
        <v>2777</v>
      </c>
      <c r="X142" t="s">
        <v>2778</v>
      </c>
      <c r="Y142" t="s">
        <v>2779</v>
      </c>
      <c r="Z142" t="s">
        <v>2780</v>
      </c>
      <c r="AA142" t="s">
        <v>2781</v>
      </c>
      <c r="AB142" t="s">
        <v>74</v>
      </c>
      <c r="AC142" t="s">
        <v>74</v>
      </c>
      <c r="AD142" t="s">
        <v>74</v>
      </c>
      <c r="AE142" t="s">
        <v>74</v>
      </c>
      <c r="AF142" t="s">
        <v>74</v>
      </c>
      <c r="AG142">
        <v>33</v>
      </c>
      <c r="AH142">
        <v>6</v>
      </c>
      <c r="AI142">
        <v>6</v>
      </c>
      <c r="AJ142">
        <v>0</v>
      </c>
      <c r="AK142">
        <v>6</v>
      </c>
      <c r="AL142" t="s">
        <v>2669</v>
      </c>
      <c r="AM142" t="s">
        <v>309</v>
      </c>
      <c r="AN142" t="s">
        <v>2670</v>
      </c>
      <c r="AO142" t="s">
        <v>2671</v>
      </c>
      <c r="AP142" t="s">
        <v>2672</v>
      </c>
      <c r="AQ142" t="s">
        <v>74</v>
      </c>
      <c r="AR142" t="s">
        <v>2673</v>
      </c>
      <c r="AS142" t="s">
        <v>2674</v>
      </c>
      <c r="AT142" t="s">
        <v>629</v>
      </c>
      <c r="AU142">
        <v>2011</v>
      </c>
      <c r="AV142">
        <v>5</v>
      </c>
      <c r="AW142">
        <v>2</v>
      </c>
      <c r="AX142" t="s">
        <v>74</v>
      </c>
      <c r="AY142" t="s">
        <v>74</v>
      </c>
      <c r="AZ142" t="s">
        <v>74</v>
      </c>
      <c r="BA142" t="s">
        <v>74</v>
      </c>
      <c r="BB142">
        <v>179</v>
      </c>
      <c r="BC142">
        <v>186</v>
      </c>
      <c r="BD142" t="s">
        <v>74</v>
      </c>
      <c r="BE142" t="s">
        <v>2782</v>
      </c>
      <c r="BF142" t="str">
        <f>HYPERLINK("http://dx.doi.org/10.1016/j.polar.2011.04.005","http://dx.doi.org/10.1016/j.polar.2011.04.005")</f>
        <v>http://dx.doi.org/10.1016/j.polar.2011.04.005</v>
      </c>
      <c r="BG142" t="s">
        <v>74</v>
      </c>
      <c r="BH142" t="s">
        <v>74</v>
      </c>
      <c r="BI142">
        <v>8</v>
      </c>
      <c r="BJ142" t="s">
        <v>2676</v>
      </c>
      <c r="BK142" t="s">
        <v>100</v>
      </c>
      <c r="BL142" t="s">
        <v>343</v>
      </c>
      <c r="BM142" t="s">
        <v>2677</v>
      </c>
      <c r="BN142" t="s">
        <v>74</v>
      </c>
      <c r="BO142" t="s">
        <v>1284</v>
      </c>
      <c r="BP142" t="s">
        <v>74</v>
      </c>
      <c r="BQ142" t="s">
        <v>74</v>
      </c>
      <c r="BR142" t="s">
        <v>103</v>
      </c>
      <c r="BS142" t="s">
        <v>2783</v>
      </c>
      <c r="BT142" t="str">
        <f>HYPERLINK("https%3A%2F%2Fwww.webofscience.com%2Fwos%2Fwoscc%2Ffull-record%2FWOS:000209057800008","View Full Record in Web of Science")</f>
        <v>View Full Record in Web of Science</v>
      </c>
    </row>
    <row r="143" spans="1:72" x14ac:dyDescent="0.15">
      <c r="A143" t="s">
        <v>72</v>
      </c>
      <c r="B143" t="s">
        <v>2784</v>
      </c>
      <c r="C143" t="s">
        <v>74</v>
      </c>
      <c r="D143" t="s">
        <v>74</v>
      </c>
      <c r="E143" t="s">
        <v>74</v>
      </c>
      <c r="F143" t="s">
        <v>2785</v>
      </c>
      <c r="G143" t="s">
        <v>74</v>
      </c>
      <c r="H143" t="s">
        <v>74</v>
      </c>
      <c r="I143" t="s">
        <v>2786</v>
      </c>
      <c r="J143" t="s">
        <v>2656</v>
      </c>
      <c r="K143" t="s">
        <v>74</v>
      </c>
      <c r="L143" t="s">
        <v>74</v>
      </c>
      <c r="M143" t="s">
        <v>78</v>
      </c>
      <c r="N143" t="s">
        <v>79</v>
      </c>
      <c r="O143" t="s">
        <v>74</v>
      </c>
      <c r="P143" t="s">
        <v>74</v>
      </c>
      <c r="Q143" t="s">
        <v>74</v>
      </c>
      <c r="R143" t="s">
        <v>74</v>
      </c>
      <c r="S143" t="s">
        <v>74</v>
      </c>
      <c r="T143" t="s">
        <v>2787</v>
      </c>
      <c r="U143" t="s">
        <v>2788</v>
      </c>
      <c r="V143" t="s">
        <v>2789</v>
      </c>
      <c r="W143" t="s">
        <v>2790</v>
      </c>
      <c r="X143" t="s">
        <v>2778</v>
      </c>
      <c r="Y143" t="s">
        <v>2779</v>
      </c>
      <c r="Z143" t="s">
        <v>2780</v>
      </c>
      <c r="AA143" t="s">
        <v>2791</v>
      </c>
      <c r="AB143" t="s">
        <v>74</v>
      </c>
      <c r="AC143" t="s">
        <v>74</v>
      </c>
      <c r="AD143" t="s">
        <v>74</v>
      </c>
      <c r="AE143" t="s">
        <v>74</v>
      </c>
      <c r="AF143" t="s">
        <v>74</v>
      </c>
      <c r="AG143">
        <v>38</v>
      </c>
      <c r="AH143">
        <v>21</v>
      </c>
      <c r="AI143">
        <v>27</v>
      </c>
      <c r="AJ143">
        <v>1</v>
      </c>
      <c r="AK143">
        <v>15</v>
      </c>
      <c r="AL143" t="s">
        <v>308</v>
      </c>
      <c r="AM143" t="s">
        <v>309</v>
      </c>
      <c r="AN143" t="s">
        <v>310</v>
      </c>
      <c r="AO143" t="s">
        <v>2671</v>
      </c>
      <c r="AP143" t="s">
        <v>2672</v>
      </c>
      <c r="AQ143" t="s">
        <v>74</v>
      </c>
      <c r="AR143" t="s">
        <v>2673</v>
      </c>
      <c r="AS143" t="s">
        <v>2674</v>
      </c>
      <c r="AT143" t="s">
        <v>629</v>
      </c>
      <c r="AU143">
        <v>2011</v>
      </c>
      <c r="AV143">
        <v>5</v>
      </c>
      <c r="AW143">
        <v>2</v>
      </c>
      <c r="AX143" t="s">
        <v>74</v>
      </c>
      <c r="AY143" t="s">
        <v>74</v>
      </c>
      <c r="AZ143" t="s">
        <v>74</v>
      </c>
      <c r="BA143" t="s">
        <v>74</v>
      </c>
      <c r="BB143">
        <v>187</v>
      </c>
      <c r="BC143">
        <v>194</v>
      </c>
      <c r="BD143" t="s">
        <v>74</v>
      </c>
      <c r="BE143" t="s">
        <v>2792</v>
      </c>
      <c r="BF143" t="str">
        <f>HYPERLINK("http://dx.doi.org/10.1016/j.polar.2011.04.002","http://dx.doi.org/10.1016/j.polar.2011.04.002")</f>
        <v>http://dx.doi.org/10.1016/j.polar.2011.04.002</v>
      </c>
      <c r="BG143" t="s">
        <v>74</v>
      </c>
      <c r="BH143" t="s">
        <v>74</v>
      </c>
      <c r="BI143">
        <v>8</v>
      </c>
      <c r="BJ143" t="s">
        <v>2676</v>
      </c>
      <c r="BK143" t="s">
        <v>100</v>
      </c>
      <c r="BL143" t="s">
        <v>343</v>
      </c>
      <c r="BM143" t="s">
        <v>2677</v>
      </c>
      <c r="BN143" t="s">
        <v>74</v>
      </c>
      <c r="BO143" t="s">
        <v>1284</v>
      </c>
      <c r="BP143" t="s">
        <v>74</v>
      </c>
      <c r="BQ143" t="s">
        <v>74</v>
      </c>
      <c r="BR143" t="s">
        <v>103</v>
      </c>
      <c r="BS143" t="s">
        <v>2793</v>
      </c>
      <c r="BT143" t="str">
        <f>HYPERLINK("https%3A%2F%2Fwww.webofscience.com%2Fwos%2Fwoscc%2Ffull-record%2FWOS:000209057800009","View Full Record in Web of Science")</f>
        <v>View Full Record in Web of Science</v>
      </c>
    </row>
    <row r="144" spans="1:72" x14ac:dyDescent="0.15">
      <c r="A144" t="s">
        <v>72</v>
      </c>
      <c r="B144" t="s">
        <v>2794</v>
      </c>
      <c r="C144" t="s">
        <v>74</v>
      </c>
      <c r="D144" t="s">
        <v>74</v>
      </c>
      <c r="E144" t="s">
        <v>74</v>
      </c>
      <c r="F144" t="s">
        <v>2795</v>
      </c>
      <c r="G144" t="s">
        <v>74</v>
      </c>
      <c r="H144" t="s">
        <v>74</v>
      </c>
      <c r="I144" t="s">
        <v>2796</v>
      </c>
      <c r="J144" t="s">
        <v>2656</v>
      </c>
      <c r="K144" t="s">
        <v>74</v>
      </c>
      <c r="L144" t="s">
        <v>74</v>
      </c>
      <c r="M144" t="s">
        <v>78</v>
      </c>
      <c r="N144" t="s">
        <v>79</v>
      </c>
      <c r="O144" t="s">
        <v>74</v>
      </c>
      <c r="P144" t="s">
        <v>74</v>
      </c>
      <c r="Q144" t="s">
        <v>74</v>
      </c>
      <c r="R144" t="s">
        <v>74</v>
      </c>
      <c r="S144" t="s">
        <v>74</v>
      </c>
      <c r="T144" t="s">
        <v>2797</v>
      </c>
      <c r="U144" t="s">
        <v>74</v>
      </c>
      <c r="V144" t="s">
        <v>2798</v>
      </c>
      <c r="W144" t="s">
        <v>2799</v>
      </c>
      <c r="X144" t="s">
        <v>2800</v>
      </c>
      <c r="Y144" t="s">
        <v>2801</v>
      </c>
      <c r="Z144" t="s">
        <v>2802</v>
      </c>
      <c r="AA144" t="s">
        <v>2803</v>
      </c>
      <c r="AB144" t="s">
        <v>74</v>
      </c>
      <c r="AC144" t="s">
        <v>2804</v>
      </c>
      <c r="AD144" t="s">
        <v>2805</v>
      </c>
      <c r="AE144" t="s">
        <v>2806</v>
      </c>
      <c r="AF144" t="s">
        <v>74</v>
      </c>
      <c r="AG144">
        <v>55</v>
      </c>
      <c r="AH144">
        <v>15</v>
      </c>
      <c r="AI144">
        <v>15</v>
      </c>
      <c r="AJ144">
        <v>1</v>
      </c>
      <c r="AK144">
        <v>18</v>
      </c>
      <c r="AL144" t="s">
        <v>2669</v>
      </c>
      <c r="AM144" t="s">
        <v>309</v>
      </c>
      <c r="AN144" t="s">
        <v>2670</v>
      </c>
      <c r="AO144" t="s">
        <v>2671</v>
      </c>
      <c r="AP144" t="s">
        <v>2672</v>
      </c>
      <c r="AQ144" t="s">
        <v>74</v>
      </c>
      <c r="AR144" t="s">
        <v>2673</v>
      </c>
      <c r="AS144" t="s">
        <v>2674</v>
      </c>
      <c r="AT144" t="s">
        <v>629</v>
      </c>
      <c r="AU144">
        <v>2011</v>
      </c>
      <c r="AV144">
        <v>5</v>
      </c>
      <c r="AW144">
        <v>2</v>
      </c>
      <c r="AX144" t="s">
        <v>74</v>
      </c>
      <c r="AY144" t="s">
        <v>74</v>
      </c>
      <c r="AZ144" t="s">
        <v>74</v>
      </c>
      <c r="BA144" t="s">
        <v>74</v>
      </c>
      <c r="BB144">
        <v>195</v>
      </c>
      <c r="BC144">
        <v>210</v>
      </c>
      <c r="BD144" t="s">
        <v>74</v>
      </c>
      <c r="BE144" t="s">
        <v>2807</v>
      </c>
      <c r="BF144" t="str">
        <f>HYPERLINK("http://dx.doi.org/10.1016/j.polar.2011.03.003","http://dx.doi.org/10.1016/j.polar.2011.03.003")</f>
        <v>http://dx.doi.org/10.1016/j.polar.2011.03.003</v>
      </c>
      <c r="BG144" t="s">
        <v>74</v>
      </c>
      <c r="BH144" t="s">
        <v>74</v>
      </c>
      <c r="BI144">
        <v>16</v>
      </c>
      <c r="BJ144" t="s">
        <v>2676</v>
      </c>
      <c r="BK144" t="s">
        <v>100</v>
      </c>
      <c r="BL144" t="s">
        <v>343</v>
      </c>
      <c r="BM144" t="s">
        <v>2677</v>
      </c>
      <c r="BN144" t="s">
        <v>74</v>
      </c>
      <c r="BO144" t="s">
        <v>74</v>
      </c>
      <c r="BP144" t="s">
        <v>74</v>
      </c>
      <c r="BQ144" t="s">
        <v>74</v>
      </c>
      <c r="BR144" t="s">
        <v>103</v>
      </c>
      <c r="BS144" t="s">
        <v>2808</v>
      </c>
      <c r="BT144" t="str">
        <f>HYPERLINK("https%3A%2F%2Fwww.webofscience.com%2Fwos%2Fwoscc%2Ffull-record%2FWOS:000209057800010","View Full Record in Web of Science")</f>
        <v>View Full Record in Web of Science</v>
      </c>
    </row>
    <row r="145" spans="1:72" x14ac:dyDescent="0.15">
      <c r="A145" t="s">
        <v>72</v>
      </c>
      <c r="B145" t="s">
        <v>2809</v>
      </c>
      <c r="C145" t="s">
        <v>74</v>
      </c>
      <c r="D145" t="s">
        <v>74</v>
      </c>
      <c r="E145" t="s">
        <v>74</v>
      </c>
      <c r="F145" t="s">
        <v>2810</v>
      </c>
      <c r="G145" t="s">
        <v>74</v>
      </c>
      <c r="H145" t="s">
        <v>74</v>
      </c>
      <c r="I145" t="s">
        <v>2811</v>
      </c>
      <c r="J145" t="s">
        <v>2656</v>
      </c>
      <c r="K145" t="s">
        <v>74</v>
      </c>
      <c r="L145" t="s">
        <v>74</v>
      </c>
      <c r="M145" t="s">
        <v>78</v>
      </c>
      <c r="N145" t="s">
        <v>79</v>
      </c>
      <c r="O145" t="s">
        <v>74</v>
      </c>
      <c r="P145" t="s">
        <v>74</v>
      </c>
      <c r="Q145" t="s">
        <v>74</v>
      </c>
      <c r="R145" t="s">
        <v>74</v>
      </c>
      <c r="S145" t="s">
        <v>74</v>
      </c>
      <c r="T145" t="s">
        <v>2812</v>
      </c>
      <c r="U145" t="s">
        <v>2813</v>
      </c>
      <c r="V145" t="s">
        <v>2814</v>
      </c>
      <c r="W145" t="s">
        <v>2815</v>
      </c>
      <c r="X145" t="s">
        <v>2816</v>
      </c>
      <c r="Y145" t="s">
        <v>2817</v>
      </c>
      <c r="Z145" t="s">
        <v>2818</v>
      </c>
      <c r="AA145" t="s">
        <v>2664</v>
      </c>
      <c r="AB145" t="s">
        <v>74</v>
      </c>
      <c r="AC145" t="s">
        <v>2819</v>
      </c>
      <c r="AD145" t="s">
        <v>2820</v>
      </c>
      <c r="AE145" t="s">
        <v>2821</v>
      </c>
      <c r="AF145" t="s">
        <v>74</v>
      </c>
      <c r="AG145">
        <v>61</v>
      </c>
      <c r="AH145">
        <v>21</v>
      </c>
      <c r="AI145">
        <v>22</v>
      </c>
      <c r="AJ145">
        <v>1</v>
      </c>
      <c r="AK145">
        <v>15</v>
      </c>
      <c r="AL145" t="s">
        <v>308</v>
      </c>
      <c r="AM145" t="s">
        <v>309</v>
      </c>
      <c r="AN145" t="s">
        <v>310</v>
      </c>
      <c r="AO145" t="s">
        <v>2671</v>
      </c>
      <c r="AP145" t="s">
        <v>2672</v>
      </c>
      <c r="AQ145" t="s">
        <v>74</v>
      </c>
      <c r="AR145" t="s">
        <v>2673</v>
      </c>
      <c r="AS145" t="s">
        <v>2674</v>
      </c>
      <c r="AT145" t="s">
        <v>629</v>
      </c>
      <c r="AU145">
        <v>2011</v>
      </c>
      <c r="AV145">
        <v>5</v>
      </c>
      <c r="AW145">
        <v>2</v>
      </c>
      <c r="AX145" t="s">
        <v>74</v>
      </c>
      <c r="AY145" t="s">
        <v>74</v>
      </c>
      <c r="AZ145" t="s">
        <v>74</v>
      </c>
      <c r="BA145" t="s">
        <v>74</v>
      </c>
      <c r="BB145">
        <v>211</v>
      </c>
      <c r="BC145">
        <v>224</v>
      </c>
      <c r="BD145" t="s">
        <v>74</v>
      </c>
      <c r="BE145" t="s">
        <v>2822</v>
      </c>
      <c r="BF145" t="str">
        <f>HYPERLINK("http://dx.doi.org/10.1016/j.polar.2011.04.001","http://dx.doi.org/10.1016/j.polar.2011.04.001")</f>
        <v>http://dx.doi.org/10.1016/j.polar.2011.04.001</v>
      </c>
      <c r="BG145" t="s">
        <v>74</v>
      </c>
      <c r="BH145" t="s">
        <v>74</v>
      </c>
      <c r="BI145">
        <v>14</v>
      </c>
      <c r="BJ145" t="s">
        <v>2676</v>
      </c>
      <c r="BK145" t="s">
        <v>100</v>
      </c>
      <c r="BL145" t="s">
        <v>343</v>
      </c>
      <c r="BM145" t="s">
        <v>2677</v>
      </c>
      <c r="BN145" t="s">
        <v>74</v>
      </c>
      <c r="BO145" t="s">
        <v>1557</v>
      </c>
      <c r="BP145" t="s">
        <v>74</v>
      </c>
      <c r="BQ145" t="s">
        <v>74</v>
      </c>
      <c r="BR145" t="s">
        <v>103</v>
      </c>
      <c r="BS145" t="s">
        <v>2823</v>
      </c>
      <c r="BT145" t="str">
        <f>HYPERLINK("https%3A%2F%2Fwww.webofscience.com%2Fwos%2Fwoscc%2Ffull-record%2FWOS:000209057800011","View Full Record in Web of Science")</f>
        <v>View Full Record in Web of Science</v>
      </c>
    </row>
    <row r="146" spans="1:72" x14ac:dyDescent="0.15">
      <c r="A146" t="s">
        <v>72</v>
      </c>
      <c r="B146" t="s">
        <v>2824</v>
      </c>
      <c r="C146" t="s">
        <v>74</v>
      </c>
      <c r="D146" t="s">
        <v>74</v>
      </c>
      <c r="E146" t="s">
        <v>74</v>
      </c>
      <c r="F146" t="s">
        <v>2825</v>
      </c>
      <c r="G146" t="s">
        <v>74</v>
      </c>
      <c r="H146" t="s">
        <v>74</v>
      </c>
      <c r="I146" t="s">
        <v>2826</v>
      </c>
      <c r="J146" t="s">
        <v>2656</v>
      </c>
      <c r="K146" t="s">
        <v>74</v>
      </c>
      <c r="L146" t="s">
        <v>74</v>
      </c>
      <c r="M146" t="s">
        <v>78</v>
      </c>
      <c r="N146" t="s">
        <v>79</v>
      </c>
      <c r="O146" t="s">
        <v>74</v>
      </c>
      <c r="P146" t="s">
        <v>74</v>
      </c>
      <c r="Q146" t="s">
        <v>74</v>
      </c>
      <c r="R146" t="s">
        <v>74</v>
      </c>
      <c r="S146" t="s">
        <v>74</v>
      </c>
      <c r="T146" t="s">
        <v>2827</v>
      </c>
      <c r="U146" t="s">
        <v>74</v>
      </c>
      <c r="V146" t="s">
        <v>2828</v>
      </c>
      <c r="W146" t="s">
        <v>2829</v>
      </c>
      <c r="X146" t="s">
        <v>2830</v>
      </c>
      <c r="Y146" t="s">
        <v>2831</v>
      </c>
      <c r="Z146" t="s">
        <v>2802</v>
      </c>
      <c r="AA146" t="s">
        <v>2832</v>
      </c>
      <c r="AB146" t="s">
        <v>2833</v>
      </c>
      <c r="AC146" t="s">
        <v>2834</v>
      </c>
      <c r="AD146" t="s">
        <v>2835</v>
      </c>
      <c r="AE146" t="s">
        <v>2836</v>
      </c>
      <c r="AF146" t="s">
        <v>74</v>
      </c>
      <c r="AG146">
        <v>43</v>
      </c>
      <c r="AH146">
        <v>29</v>
      </c>
      <c r="AI146">
        <v>31</v>
      </c>
      <c r="AJ146">
        <v>0</v>
      </c>
      <c r="AK146">
        <v>7</v>
      </c>
      <c r="AL146" t="s">
        <v>2669</v>
      </c>
      <c r="AM146" t="s">
        <v>309</v>
      </c>
      <c r="AN146" t="s">
        <v>2670</v>
      </c>
      <c r="AO146" t="s">
        <v>2671</v>
      </c>
      <c r="AP146" t="s">
        <v>2672</v>
      </c>
      <c r="AQ146" t="s">
        <v>74</v>
      </c>
      <c r="AR146" t="s">
        <v>2673</v>
      </c>
      <c r="AS146" t="s">
        <v>2674</v>
      </c>
      <c r="AT146" t="s">
        <v>629</v>
      </c>
      <c r="AU146">
        <v>2011</v>
      </c>
      <c r="AV146">
        <v>5</v>
      </c>
      <c r="AW146">
        <v>2</v>
      </c>
      <c r="AX146" t="s">
        <v>74</v>
      </c>
      <c r="AY146" t="s">
        <v>74</v>
      </c>
      <c r="AZ146" t="s">
        <v>74</v>
      </c>
      <c r="BA146" t="s">
        <v>74</v>
      </c>
      <c r="BB146">
        <v>225</v>
      </c>
      <c r="BC146">
        <v>238</v>
      </c>
      <c r="BD146" t="s">
        <v>74</v>
      </c>
      <c r="BE146" t="s">
        <v>2837</v>
      </c>
      <c r="BF146" t="str">
        <f>HYPERLINK("http://dx.doi.org/10.1016/j.polar.2011.02.003","http://dx.doi.org/10.1016/j.polar.2011.02.003")</f>
        <v>http://dx.doi.org/10.1016/j.polar.2011.02.003</v>
      </c>
      <c r="BG146" t="s">
        <v>74</v>
      </c>
      <c r="BH146" t="s">
        <v>74</v>
      </c>
      <c r="BI146">
        <v>14</v>
      </c>
      <c r="BJ146" t="s">
        <v>2676</v>
      </c>
      <c r="BK146" t="s">
        <v>100</v>
      </c>
      <c r="BL146" t="s">
        <v>343</v>
      </c>
      <c r="BM146" t="s">
        <v>2677</v>
      </c>
      <c r="BN146" t="s">
        <v>74</v>
      </c>
      <c r="BO146" t="s">
        <v>702</v>
      </c>
      <c r="BP146" t="s">
        <v>74</v>
      </c>
      <c r="BQ146" t="s">
        <v>74</v>
      </c>
      <c r="BR146" t="s">
        <v>103</v>
      </c>
      <c r="BS146" t="s">
        <v>2838</v>
      </c>
      <c r="BT146" t="str">
        <f>HYPERLINK("https%3A%2F%2Fwww.webofscience.com%2Fwos%2Fwoscc%2Ffull-record%2FWOS:000209057800012","View Full Record in Web of Science")</f>
        <v>View Full Record in Web of Science</v>
      </c>
    </row>
    <row r="147" spans="1:72" x14ac:dyDescent="0.15">
      <c r="A147" t="s">
        <v>72</v>
      </c>
      <c r="B147" t="s">
        <v>2839</v>
      </c>
      <c r="C147" t="s">
        <v>74</v>
      </c>
      <c r="D147" t="s">
        <v>74</v>
      </c>
      <c r="E147" t="s">
        <v>74</v>
      </c>
      <c r="F147" t="s">
        <v>2840</v>
      </c>
      <c r="G147" t="s">
        <v>74</v>
      </c>
      <c r="H147" t="s">
        <v>74</v>
      </c>
      <c r="I147" t="s">
        <v>2841</v>
      </c>
      <c r="J147" t="s">
        <v>2656</v>
      </c>
      <c r="K147" t="s">
        <v>74</v>
      </c>
      <c r="L147" t="s">
        <v>74</v>
      </c>
      <c r="M147" t="s">
        <v>78</v>
      </c>
      <c r="N147" t="s">
        <v>79</v>
      </c>
      <c r="O147" t="s">
        <v>74</v>
      </c>
      <c r="P147" t="s">
        <v>74</v>
      </c>
      <c r="Q147" t="s">
        <v>74</v>
      </c>
      <c r="R147" t="s">
        <v>74</v>
      </c>
      <c r="S147" t="s">
        <v>74</v>
      </c>
      <c r="T147" t="s">
        <v>2842</v>
      </c>
      <c r="U147" t="s">
        <v>74</v>
      </c>
      <c r="V147" t="s">
        <v>2843</v>
      </c>
      <c r="W147" t="s">
        <v>2844</v>
      </c>
      <c r="X147" t="s">
        <v>2845</v>
      </c>
      <c r="Y147" t="s">
        <v>2846</v>
      </c>
      <c r="Z147" t="s">
        <v>2766</v>
      </c>
      <c r="AA147" t="s">
        <v>2664</v>
      </c>
      <c r="AB147" t="s">
        <v>74</v>
      </c>
      <c r="AC147" t="s">
        <v>2847</v>
      </c>
      <c r="AD147" t="s">
        <v>2848</v>
      </c>
      <c r="AE147" t="s">
        <v>2849</v>
      </c>
      <c r="AF147" t="s">
        <v>74</v>
      </c>
      <c r="AG147">
        <v>49</v>
      </c>
      <c r="AH147">
        <v>18</v>
      </c>
      <c r="AI147">
        <v>18</v>
      </c>
      <c r="AJ147">
        <v>0</v>
      </c>
      <c r="AK147">
        <v>9</v>
      </c>
      <c r="AL147" t="s">
        <v>2669</v>
      </c>
      <c r="AM147" t="s">
        <v>309</v>
      </c>
      <c r="AN147" t="s">
        <v>2670</v>
      </c>
      <c r="AO147" t="s">
        <v>2671</v>
      </c>
      <c r="AP147" t="s">
        <v>2672</v>
      </c>
      <c r="AQ147" t="s">
        <v>74</v>
      </c>
      <c r="AR147" t="s">
        <v>2673</v>
      </c>
      <c r="AS147" t="s">
        <v>2674</v>
      </c>
      <c r="AT147" t="s">
        <v>629</v>
      </c>
      <c r="AU147">
        <v>2011</v>
      </c>
      <c r="AV147">
        <v>5</v>
      </c>
      <c r="AW147">
        <v>2</v>
      </c>
      <c r="AX147" t="s">
        <v>74</v>
      </c>
      <c r="AY147" t="s">
        <v>74</v>
      </c>
      <c r="AZ147" t="s">
        <v>74</v>
      </c>
      <c r="BA147" t="s">
        <v>74</v>
      </c>
      <c r="BB147">
        <v>239</v>
      </c>
      <c r="BC147">
        <v>251</v>
      </c>
      <c r="BD147" t="s">
        <v>74</v>
      </c>
      <c r="BE147" t="s">
        <v>2850</v>
      </c>
      <c r="BF147" t="str">
        <f>HYPERLINK("http://dx.doi.org/10.1016/j.polar.2010.12.005","http://dx.doi.org/10.1016/j.polar.2010.12.005")</f>
        <v>http://dx.doi.org/10.1016/j.polar.2010.12.005</v>
      </c>
      <c r="BG147" t="s">
        <v>74</v>
      </c>
      <c r="BH147" t="s">
        <v>74</v>
      </c>
      <c r="BI147">
        <v>13</v>
      </c>
      <c r="BJ147" t="s">
        <v>2676</v>
      </c>
      <c r="BK147" t="s">
        <v>100</v>
      </c>
      <c r="BL147" t="s">
        <v>343</v>
      </c>
      <c r="BM147" t="s">
        <v>2677</v>
      </c>
      <c r="BN147" t="s">
        <v>74</v>
      </c>
      <c r="BO147" t="s">
        <v>702</v>
      </c>
      <c r="BP147" t="s">
        <v>74</v>
      </c>
      <c r="BQ147" t="s">
        <v>74</v>
      </c>
      <c r="BR147" t="s">
        <v>103</v>
      </c>
      <c r="BS147" t="s">
        <v>2851</v>
      </c>
      <c r="BT147" t="str">
        <f>HYPERLINK("https%3A%2F%2Fwww.webofscience.com%2Fwos%2Fwoscc%2Ffull-record%2FWOS:000209057800013","View Full Record in Web of Science")</f>
        <v>View Full Record in Web of Science</v>
      </c>
    </row>
    <row r="148" spans="1:72" x14ac:dyDescent="0.15">
      <c r="A148" t="s">
        <v>72</v>
      </c>
      <c r="B148" t="s">
        <v>2852</v>
      </c>
      <c r="C148" t="s">
        <v>74</v>
      </c>
      <c r="D148" t="s">
        <v>74</v>
      </c>
      <c r="E148" t="s">
        <v>74</v>
      </c>
      <c r="F148" t="s">
        <v>2853</v>
      </c>
      <c r="G148" t="s">
        <v>74</v>
      </c>
      <c r="H148" t="s">
        <v>74</v>
      </c>
      <c r="I148" t="s">
        <v>2854</v>
      </c>
      <c r="J148" t="s">
        <v>2656</v>
      </c>
      <c r="K148" t="s">
        <v>74</v>
      </c>
      <c r="L148" t="s">
        <v>74</v>
      </c>
      <c r="M148" t="s">
        <v>78</v>
      </c>
      <c r="N148" t="s">
        <v>79</v>
      </c>
      <c r="O148" t="s">
        <v>74</v>
      </c>
      <c r="P148" t="s">
        <v>74</v>
      </c>
      <c r="Q148" t="s">
        <v>74</v>
      </c>
      <c r="R148" t="s">
        <v>74</v>
      </c>
      <c r="S148" t="s">
        <v>74</v>
      </c>
      <c r="T148" t="s">
        <v>2855</v>
      </c>
      <c r="U148" t="s">
        <v>2856</v>
      </c>
      <c r="V148" t="s">
        <v>2857</v>
      </c>
      <c r="W148" t="s">
        <v>2858</v>
      </c>
      <c r="X148" t="s">
        <v>2859</v>
      </c>
      <c r="Y148" t="s">
        <v>2801</v>
      </c>
      <c r="Z148" t="s">
        <v>2802</v>
      </c>
      <c r="AA148" t="s">
        <v>2664</v>
      </c>
      <c r="AB148" t="s">
        <v>2860</v>
      </c>
      <c r="AC148" t="s">
        <v>2861</v>
      </c>
      <c r="AD148" t="s">
        <v>2862</v>
      </c>
      <c r="AE148" t="s">
        <v>2863</v>
      </c>
      <c r="AF148" t="s">
        <v>74</v>
      </c>
      <c r="AG148">
        <v>63</v>
      </c>
      <c r="AH148">
        <v>29</v>
      </c>
      <c r="AI148">
        <v>32</v>
      </c>
      <c r="AJ148">
        <v>0</v>
      </c>
      <c r="AK148">
        <v>18</v>
      </c>
      <c r="AL148" t="s">
        <v>2669</v>
      </c>
      <c r="AM148" t="s">
        <v>309</v>
      </c>
      <c r="AN148" t="s">
        <v>2670</v>
      </c>
      <c r="AO148" t="s">
        <v>2671</v>
      </c>
      <c r="AP148" t="s">
        <v>2672</v>
      </c>
      <c r="AQ148" t="s">
        <v>74</v>
      </c>
      <c r="AR148" t="s">
        <v>2673</v>
      </c>
      <c r="AS148" t="s">
        <v>2674</v>
      </c>
      <c r="AT148" t="s">
        <v>629</v>
      </c>
      <c r="AU148">
        <v>2011</v>
      </c>
      <c r="AV148">
        <v>5</v>
      </c>
      <c r="AW148">
        <v>2</v>
      </c>
      <c r="AX148" t="s">
        <v>74</v>
      </c>
      <c r="AY148" t="s">
        <v>74</v>
      </c>
      <c r="AZ148" t="s">
        <v>74</v>
      </c>
      <c r="BA148" t="s">
        <v>74</v>
      </c>
      <c r="BB148">
        <v>252</v>
      </c>
      <c r="BC148">
        <v>263</v>
      </c>
      <c r="BD148" t="s">
        <v>74</v>
      </c>
      <c r="BE148" t="s">
        <v>2864</v>
      </c>
      <c r="BF148" t="str">
        <f>HYPERLINK("http://dx.doi.org/10.1016/j.polar.2011.04.004","http://dx.doi.org/10.1016/j.polar.2011.04.004")</f>
        <v>http://dx.doi.org/10.1016/j.polar.2011.04.004</v>
      </c>
      <c r="BG148" t="s">
        <v>74</v>
      </c>
      <c r="BH148" t="s">
        <v>74</v>
      </c>
      <c r="BI148">
        <v>12</v>
      </c>
      <c r="BJ148" t="s">
        <v>2676</v>
      </c>
      <c r="BK148" t="s">
        <v>100</v>
      </c>
      <c r="BL148" t="s">
        <v>343</v>
      </c>
      <c r="BM148" t="s">
        <v>2677</v>
      </c>
      <c r="BN148" t="s">
        <v>74</v>
      </c>
      <c r="BO148" t="s">
        <v>1284</v>
      </c>
      <c r="BP148" t="s">
        <v>74</v>
      </c>
      <c r="BQ148" t="s">
        <v>74</v>
      </c>
      <c r="BR148" t="s">
        <v>103</v>
      </c>
      <c r="BS148" t="s">
        <v>2865</v>
      </c>
      <c r="BT148" t="str">
        <f>HYPERLINK("https%3A%2F%2Fwww.webofscience.com%2Fwos%2Fwoscc%2Ffull-record%2FWOS:000209057800014","View Full Record in Web of Science")</f>
        <v>View Full Record in Web of Science</v>
      </c>
    </row>
    <row r="149" spans="1:72" x14ac:dyDescent="0.15">
      <c r="A149" t="s">
        <v>72</v>
      </c>
      <c r="B149" t="s">
        <v>2866</v>
      </c>
      <c r="C149" t="s">
        <v>74</v>
      </c>
      <c r="D149" t="s">
        <v>74</v>
      </c>
      <c r="E149" t="s">
        <v>74</v>
      </c>
      <c r="F149" t="s">
        <v>2867</v>
      </c>
      <c r="G149" t="s">
        <v>74</v>
      </c>
      <c r="H149" t="s">
        <v>74</v>
      </c>
      <c r="I149" t="s">
        <v>2868</v>
      </c>
      <c r="J149" t="s">
        <v>2656</v>
      </c>
      <c r="K149" t="s">
        <v>74</v>
      </c>
      <c r="L149" t="s">
        <v>74</v>
      </c>
      <c r="M149" t="s">
        <v>78</v>
      </c>
      <c r="N149" t="s">
        <v>79</v>
      </c>
      <c r="O149" t="s">
        <v>74</v>
      </c>
      <c r="P149" t="s">
        <v>74</v>
      </c>
      <c r="Q149" t="s">
        <v>74</v>
      </c>
      <c r="R149" t="s">
        <v>74</v>
      </c>
      <c r="S149" t="s">
        <v>74</v>
      </c>
      <c r="T149" t="s">
        <v>2869</v>
      </c>
      <c r="U149" t="s">
        <v>2870</v>
      </c>
      <c r="V149" t="s">
        <v>2871</v>
      </c>
      <c r="W149" t="s">
        <v>2872</v>
      </c>
      <c r="X149" t="s">
        <v>2873</v>
      </c>
      <c r="Y149" t="s">
        <v>2874</v>
      </c>
      <c r="Z149" t="s">
        <v>2875</v>
      </c>
      <c r="AA149" t="s">
        <v>2664</v>
      </c>
      <c r="AB149" t="s">
        <v>74</v>
      </c>
      <c r="AC149" t="s">
        <v>2876</v>
      </c>
      <c r="AD149" t="s">
        <v>2877</v>
      </c>
      <c r="AE149" t="s">
        <v>2878</v>
      </c>
      <c r="AF149" t="s">
        <v>74</v>
      </c>
      <c r="AG149">
        <v>30</v>
      </c>
      <c r="AH149">
        <v>26</v>
      </c>
      <c r="AI149">
        <v>27</v>
      </c>
      <c r="AJ149">
        <v>0</v>
      </c>
      <c r="AK149">
        <v>12</v>
      </c>
      <c r="AL149" t="s">
        <v>308</v>
      </c>
      <c r="AM149" t="s">
        <v>309</v>
      </c>
      <c r="AN149" t="s">
        <v>310</v>
      </c>
      <c r="AO149" t="s">
        <v>2671</v>
      </c>
      <c r="AP149" t="s">
        <v>2672</v>
      </c>
      <c r="AQ149" t="s">
        <v>74</v>
      </c>
      <c r="AR149" t="s">
        <v>2673</v>
      </c>
      <c r="AS149" t="s">
        <v>2674</v>
      </c>
      <c r="AT149" t="s">
        <v>629</v>
      </c>
      <c r="AU149">
        <v>2011</v>
      </c>
      <c r="AV149">
        <v>5</v>
      </c>
      <c r="AW149">
        <v>2</v>
      </c>
      <c r="AX149" t="s">
        <v>74</v>
      </c>
      <c r="AY149" t="s">
        <v>74</v>
      </c>
      <c r="AZ149" t="s">
        <v>74</v>
      </c>
      <c r="BA149" t="s">
        <v>74</v>
      </c>
      <c r="BB149">
        <v>264</v>
      </c>
      <c r="BC149">
        <v>271</v>
      </c>
      <c r="BD149" t="s">
        <v>74</v>
      </c>
      <c r="BE149" t="s">
        <v>2879</v>
      </c>
      <c r="BF149" t="str">
        <f>HYPERLINK("http://dx.doi.org/10.1016/j.polar.2010.12.003","http://dx.doi.org/10.1016/j.polar.2010.12.003")</f>
        <v>http://dx.doi.org/10.1016/j.polar.2010.12.003</v>
      </c>
      <c r="BG149" t="s">
        <v>74</v>
      </c>
      <c r="BH149" t="s">
        <v>74</v>
      </c>
      <c r="BI149">
        <v>8</v>
      </c>
      <c r="BJ149" t="s">
        <v>2676</v>
      </c>
      <c r="BK149" t="s">
        <v>100</v>
      </c>
      <c r="BL149" t="s">
        <v>343</v>
      </c>
      <c r="BM149" t="s">
        <v>2677</v>
      </c>
      <c r="BN149" t="s">
        <v>74</v>
      </c>
      <c r="BO149" t="s">
        <v>1557</v>
      </c>
      <c r="BP149" t="s">
        <v>74</v>
      </c>
      <c r="BQ149" t="s">
        <v>74</v>
      </c>
      <c r="BR149" t="s">
        <v>103</v>
      </c>
      <c r="BS149" t="s">
        <v>2880</v>
      </c>
      <c r="BT149" t="str">
        <f>HYPERLINK("https%3A%2F%2Fwww.webofscience.com%2Fwos%2Fwoscc%2Ffull-record%2FWOS:000209057800015","View Full Record in Web of Science")</f>
        <v>View Full Record in Web of Science</v>
      </c>
    </row>
    <row r="150" spans="1:72" x14ac:dyDescent="0.15">
      <c r="A150" t="s">
        <v>72</v>
      </c>
      <c r="B150" t="s">
        <v>2881</v>
      </c>
      <c r="C150" t="s">
        <v>74</v>
      </c>
      <c r="D150" t="s">
        <v>74</v>
      </c>
      <c r="E150" t="s">
        <v>74</v>
      </c>
      <c r="F150" t="s">
        <v>2882</v>
      </c>
      <c r="G150" t="s">
        <v>74</v>
      </c>
      <c r="H150" t="s">
        <v>74</v>
      </c>
      <c r="I150" t="s">
        <v>2883</v>
      </c>
      <c r="J150" t="s">
        <v>2656</v>
      </c>
      <c r="K150" t="s">
        <v>74</v>
      </c>
      <c r="L150" t="s">
        <v>74</v>
      </c>
      <c r="M150" t="s">
        <v>78</v>
      </c>
      <c r="N150" t="s">
        <v>79</v>
      </c>
      <c r="O150" t="s">
        <v>74</v>
      </c>
      <c r="P150" t="s">
        <v>74</v>
      </c>
      <c r="Q150" t="s">
        <v>74</v>
      </c>
      <c r="R150" t="s">
        <v>74</v>
      </c>
      <c r="S150" t="s">
        <v>74</v>
      </c>
      <c r="T150" t="s">
        <v>2884</v>
      </c>
      <c r="U150" t="s">
        <v>2885</v>
      </c>
      <c r="V150" t="s">
        <v>2886</v>
      </c>
      <c r="W150" t="s">
        <v>2887</v>
      </c>
      <c r="X150" t="s">
        <v>2888</v>
      </c>
      <c r="Y150" t="s">
        <v>2889</v>
      </c>
      <c r="Z150" t="s">
        <v>2890</v>
      </c>
      <c r="AA150" t="s">
        <v>2891</v>
      </c>
      <c r="AB150" t="s">
        <v>2892</v>
      </c>
      <c r="AC150" t="s">
        <v>2893</v>
      </c>
      <c r="AD150" t="s">
        <v>2894</v>
      </c>
      <c r="AE150" t="s">
        <v>2895</v>
      </c>
      <c r="AF150" t="s">
        <v>74</v>
      </c>
      <c r="AG150">
        <v>61</v>
      </c>
      <c r="AH150">
        <v>19</v>
      </c>
      <c r="AI150">
        <v>20</v>
      </c>
      <c r="AJ150">
        <v>0</v>
      </c>
      <c r="AK150">
        <v>9</v>
      </c>
      <c r="AL150" t="s">
        <v>308</v>
      </c>
      <c r="AM150" t="s">
        <v>309</v>
      </c>
      <c r="AN150" t="s">
        <v>310</v>
      </c>
      <c r="AO150" t="s">
        <v>2671</v>
      </c>
      <c r="AP150" t="s">
        <v>2672</v>
      </c>
      <c r="AQ150" t="s">
        <v>74</v>
      </c>
      <c r="AR150" t="s">
        <v>2673</v>
      </c>
      <c r="AS150" t="s">
        <v>2674</v>
      </c>
      <c r="AT150" t="s">
        <v>629</v>
      </c>
      <c r="AU150">
        <v>2011</v>
      </c>
      <c r="AV150">
        <v>5</v>
      </c>
      <c r="AW150">
        <v>2</v>
      </c>
      <c r="AX150" t="s">
        <v>74</v>
      </c>
      <c r="AY150" t="s">
        <v>74</v>
      </c>
      <c r="AZ150" t="s">
        <v>74</v>
      </c>
      <c r="BA150" t="s">
        <v>74</v>
      </c>
      <c r="BB150">
        <v>272</v>
      </c>
      <c r="BC150">
        <v>285</v>
      </c>
      <c r="BD150" t="s">
        <v>74</v>
      </c>
      <c r="BE150" t="s">
        <v>2896</v>
      </c>
      <c r="BF150" t="str">
        <f>HYPERLINK("http://dx.doi.org/10.1016/j.polar.2011.03.004","http://dx.doi.org/10.1016/j.polar.2011.03.004")</f>
        <v>http://dx.doi.org/10.1016/j.polar.2011.03.004</v>
      </c>
      <c r="BG150" t="s">
        <v>74</v>
      </c>
      <c r="BH150" t="s">
        <v>74</v>
      </c>
      <c r="BI150">
        <v>14</v>
      </c>
      <c r="BJ150" t="s">
        <v>2676</v>
      </c>
      <c r="BK150" t="s">
        <v>100</v>
      </c>
      <c r="BL150" t="s">
        <v>343</v>
      </c>
      <c r="BM150" t="s">
        <v>2677</v>
      </c>
      <c r="BN150" t="s">
        <v>74</v>
      </c>
      <c r="BO150" t="s">
        <v>1284</v>
      </c>
      <c r="BP150" t="s">
        <v>74</v>
      </c>
      <c r="BQ150" t="s">
        <v>74</v>
      </c>
      <c r="BR150" t="s">
        <v>103</v>
      </c>
      <c r="BS150" t="s">
        <v>2897</v>
      </c>
      <c r="BT150" t="str">
        <f>HYPERLINK("https%3A%2F%2Fwww.webofscience.com%2Fwos%2Fwoscc%2Ffull-record%2FWOS:000209057800016","View Full Record in Web of Science")</f>
        <v>View Full Record in Web of Science</v>
      </c>
    </row>
    <row r="151" spans="1:72" x14ac:dyDescent="0.15">
      <c r="A151" t="s">
        <v>72</v>
      </c>
      <c r="B151" t="s">
        <v>2898</v>
      </c>
      <c r="C151" t="s">
        <v>74</v>
      </c>
      <c r="D151" t="s">
        <v>74</v>
      </c>
      <c r="E151" t="s">
        <v>74</v>
      </c>
      <c r="F151" t="s">
        <v>2899</v>
      </c>
      <c r="G151" t="s">
        <v>74</v>
      </c>
      <c r="H151" t="s">
        <v>74</v>
      </c>
      <c r="I151" t="s">
        <v>2900</v>
      </c>
      <c r="J151" t="s">
        <v>2656</v>
      </c>
      <c r="K151" t="s">
        <v>74</v>
      </c>
      <c r="L151" t="s">
        <v>74</v>
      </c>
      <c r="M151" t="s">
        <v>78</v>
      </c>
      <c r="N151" t="s">
        <v>79</v>
      </c>
      <c r="O151" t="s">
        <v>74</v>
      </c>
      <c r="P151" t="s">
        <v>74</v>
      </c>
      <c r="Q151" t="s">
        <v>74</v>
      </c>
      <c r="R151" t="s">
        <v>74</v>
      </c>
      <c r="S151" t="s">
        <v>74</v>
      </c>
      <c r="T151" t="s">
        <v>2901</v>
      </c>
      <c r="U151" t="s">
        <v>2902</v>
      </c>
      <c r="V151" t="s">
        <v>2903</v>
      </c>
      <c r="W151" t="s">
        <v>2904</v>
      </c>
      <c r="X151" t="s">
        <v>2905</v>
      </c>
      <c r="Y151" t="s">
        <v>2906</v>
      </c>
      <c r="Z151" t="s">
        <v>2907</v>
      </c>
      <c r="AA151" t="s">
        <v>2664</v>
      </c>
      <c r="AB151" t="s">
        <v>2860</v>
      </c>
      <c r="AC151" t="s">
        <v>2908</v>
      </c>
      <c r="AD151" t="s">
        <v>2909</v>
      </c>
      <c r="AE151" t="s">
        <v>2910</v>
      </c>
      <c r="AF151" t="s">
        <v>74</v>
      </c>
      <c r="AG151">
        <v>62</v>
      </c>
      <c r="AH151">
        <v>45</v>
      </c>
      <c r="AI151">
        <v>46</v>
      </c>
      <c r="AJ151">
        <v>1</v>
      </c>
      <c r="AK151">
        <v>17</v>
      </c>
      <c r="AL151" t="s">
        <v>2669</v>
      </c>
      <c r="AM151" t="s">
        <v>309</v>
      </c>
      <c r="AN151" t="s">
        <v>2670</v>
      </c>
      <c r="AO151" t="s">
        <v>2671</v>
      </c>
      <c r="AP151" t="s">
        <v>2672</v>
      </c>
      <c r="AQ151" t="s">
        <v>74</v>
      </c>
      <c r="AR151" t="s">
        <v>2673</v>
      </c>
      <c r="AS151" t="s">
        <v>2674</v>
      </c>
      <c r="AT151" t="s">
        <v>629</v>
      </c>
      <c r="AU151">
        <v>2011</v>
      </c>
      <c r="AV151">
        <v>5</v>
      </c>
      <c r="AW151">
        <v>2</v>
      </c>
      <c r="AX151" t="s">
        <v>74</v>
      </c>
      <c r="AY151" t="s">
        <v>74</v>
      </c>
      <c r="AZ151" t="s">
        <v>74</v>
      </c>
      <c r="BA151" t="s">
        <v>74</v>
      </c>
      <c r="BB151">
        <v>286</v>
      </c>
      <c r="BC151">
        <v>297</v>
      </c>
      <c r="BD151" t="s">
        <v>74</v>
      </c>
      <c r="BE151" t="s">
        <v>2911</v>
      </c>
      <c r="BF151" t="str">
        <f>HYPERLINK("http://dx.doi.org/10.1016/j.polar.2010.12.004","http://dx.doi.org/10.1016/j.polar.2010.12.004")</f>
        <v>http://dx.doi.org/10.1016/j.polar.2010.12.004</v>
      </c>
      <c r="BG151" t="s">
        <v>74</v>
      </c>
      <c r="BH151" t="s">
        <v>74</v>
      </c>
      <c r="BI151">
        <v>12</v>
      </c>
      <c r="BJ151" t="s">
        <v>2676</v>
      </c>
      <c r="BK151" t="s">
        <v>100</v>
      </c>
      <c r="BL151" t="s">
        <v>343</v>
      </c>
      <c r="BM151" t="s">
        <v>2677</v>
      </c>
      <c r="BN151" t="s">
        <v>74</v>
      </c>
      <c r="BO151" t="s">
        <v>1284</v>
      </c>
      <c r="BP151" t="s">
        <v>74</v>
      </c>
      <c r="BQ151" t="s">
        <v>74</v>
      </c>
      <c r="BR151" t="s">
        <v>103</v>
      </c>
      <c r="BS151" t="s">
        <v>2912</v>
      </c>
      <c r="BT151" t="str">
        <f>HYPERLINK("https%3A%2F%2Fwww.webofscience.com%2Fwos%2Fwoscc%2Ffull-record%2FWOS:000209057800017","View Full Record in Web of Science")</f>
        <v>View Full Record in Web of Science</v>
      </c>
    </row>
    <row r="152" spans="1:72" x14ac:dyDescent="0.15">
      <c r="A152" t="s">
        <v>72</v>
      </c>
      <c r="B152" t="s">
        <v>2913</v>
      </c>
      <c r="C152" t="s">
        <v>74</v>
      </c>
      <c r="D152" t="s">
        <v>74</v>
      </c>
      <c r="E152" t="s">
        <v>74</v>
      </c>
      <c r="F152" t="s">
        <v>2914</v>
      </c>
      <c r="G152" t="s">
        <v>74</v>
      </c>
      <c r="H152" t="s">
        <v>74</v>
      </c>
      <c r="I152" t="s">
        <v>2915</v>
      </c>
      <c r="J152" t="s">
        <v>2656</v>
      </c>
      <c r="K152" t="s">
        <v>74</v>
      </c>
      <c r="L152" t="s">
        <v>74</v>
      </c>
      <c r="M152" t="s">
        <v>78</v>
      </c>
      <c r="N152" t="s">
        <v>79</v>
      </c>
      <c r="O152" t="s">
        <v>74</v>
      </c>
      <c r="P152" t="s">
        <v>74</v>
      </c>
      <c r="Q152" t="s">
        <v>74</v>
      </c>
      <c r="R152" t="s">
        <v>74</v>
      </c>
      <c r="S152" t="s">
        <v>74</v>
      </c>
      <c r="T152" t="s">
        <v>2916</v>
      </c>
      <c r="U152" t="s">
        <v>2917</v>
      </c>
      <c r="V152" t="s">
        <v>2918</v>
      </c>
      <c r="W152" t="s">
        <v>2919</v>
      </c>
      <c r="X152" t="s">
        <v>2920</v>
      </c>
      <c r="Y152" t="s">
        <v>2921</v>
      </c>
      <c r="Z152" t="s">
        <v>2922</v>
      </c>
      <c r="AA152" t="s">
        <v>2923</v>
      </c>
      <c r="AB152" t="s">
        <v>2924</v>
      </c>
      <c r="AC152" t="s">
        <v>2925</v>
      </c>
      <c r="AD152" t="s">
        <v>2926</v>
      </c>
      <c r="AE152" t="s">
        <v>2927</v>
      </c>
      <c r="AF152" t="s">
        <v>74</v>
      </c>
      <c r="AG152">
        <v>84</v>
      </c>
      <c r="AH152">
        <v>22</v>
      </c>
      <c r="AI152">
        <v>23</v>
      </c>
      <c r="AJ152">
        <v>2</v>
      </c>
      <c r="AK152">
        <v>23</v>
      </c>
      <c r="AL152" t="s">
        <v>308</v>
      </c>
      <c r="AM152" t="s">
        <v>309</v>
      </c>
      <c r="AN152" t="s">
        <v>310</v>
      </c>
      <c r="AO152" t="s">
        <v>2671</v>
      </c>
      <c r="AP152" t="s">
        <v>2672</v>
      </c>
      <c r="AQ152" t="s">
        <v>74</v>
      </c>
      <c r="AR152" t="s">
        <v>2673</v>
      </c>
      <c r="AS152" t="s">
        <v>2674</v>
      </c>
      <c r="AT152" t="s">
        <v>629</v>
      </c>
      <c r="AU152">
        <v>2011</v>
      </c>
      <c r="AV152">
        <v>5</v>
      </c>
      <c r="AW152">
        <v>2</v>
      </c>
      <c r="AX152" t="s">
        <v>74</v>
      </c>
      <c r="AY152" t="s">
        <v>74</v>
      </c>
      <c r="AZ152" t="s">
        <v>74</v>
      </c>
      <c r="BA152" t="s">
        <v>74</v>
      </c>
      <c r="BB152">
        <v>298</v>
      </c>
      <c r="BC152">
        <v>312</v>
      </c>
      <c r="BD152" t="s">
        <v>74</v>
      </c>
      <c r="BE152" t="s">
        <v>2928</v>
      </c>
      <c r="BF152" t="str">
        <f>HYPERLINK("http://dx.doi.org/10.1016/j.polar.2011.02.002","http://dx.doi.org/10.1016/j.polar.2011.02.002")</f>
        <v>http://dx.doi.org/10.1016/j.polar.2011.02.002</v>
      </c>
      <c r="BG152" t="s">
        <v>74</v>
      </c>
      <c r="BH152" t="s">
        <v>74</v>
      </c>
      <c r="BI152">
        <v>15</v>
      </c>
      <c r="BJ152" t="s">
        <v>2676</v>
      </c>
      <c r="BK152" t="s">
        <v>100</v>
      </c>
      <c r="BL152" t="s">
        <v>343</v>
      </c>
      <c r="BM152" t="s">
        <v>2677</v>
      </c>
      <c r="BN152" t="s">
        <v>74</v>
      </c>
      <c r="BO152" t="s">
        <v>1025</v>
      </c>
      <c r="BP152" t="s">
        <v>74</v>
      </c>
      <c r="BQ152" t="s">
        <v>74</v>
      </c>
      <c r="BR152" t="s">
        <v>103</v>
      </c>
      <c r="BS152" t="s">
        <v>2929</v>
      </c>
      <c r="BT152" t="str">
        <f>HYPERLINK("https%3A%2F%2Fwww.webofscience.com%2Fwos%2Fwoscc%2Ffull-record%2FWOS:000209057800018","View Full Record in Web of Science")</f>
        <v>View Full Record in Web of Science</v>
      </c>
    </row>
    <row r="153" spans="1:72" x14ac:dyDescent="0.15">
      <c r="A153" t="s">
        <v>72</v>
      </c>
      <c r="B153" t="s">
        <v>2930</v>
      </c>
      <c r="C153" t="s">
        <v>74</v>
      </c>
      <c r="D153" t="s">
        <v>74</v>
      </c>
      <c r="E153" t="s">
        <v>74</v>
      </c>
      <c r="F153" t="s">
        <v>2931</v>
      </c>
      <c r="G153" t="s">
        <v>74</v>
      </c>
      <c r="H153" t="s">
        <v>74</v>
      </c>
      <c r="I153" t="s">
        <v>2932</v>
      </c>
      <c r="J153" t="s">
        <v>2933</v>
      </c>
      <c r="K153" t="s">
        <v>74</v>
      </c>
      <c r="L153" t="s">
        <v>74</v>
      </c>
      <c r="M153" t="s">
        <v>78</v>
      </c>
      <c r="N153" t="s">
        <v>79</v>
      </c>
      <c r="O153" t="s">
        <v>74</v>
      </c>
      <c r="P153" t="s">
        <v>74</v>
      </c>
      <c r="Q153" t="s">
        <v>74</v>
      </c>
      <c r="R153" t="s">
        <v>74</v>
      </c>
      <c r="S153" t="s">
        <v>74</v>
      </c>
      <c r="T153" t="s">
        <v>2934</v>
      </c>
      <c r="U153" t="s">
        <v>2935</v>
      </c>
      <c r="V153" t="s">
        <v>2936</v>
      </c>
      <c r="W153" t="s">
        <v>2937</v>
      </c>
      <c r="X153" t="s">
        <v>2938</v>
      </c>
      <c r="Y153" t="s">
        <v>2939</v>
      </c>
      <c r="Z153" t="s">
        <v>2940</v>
      </c>
      <c r="AA153" t="s">
        <v>2941</v>
      </c>
      <c r="AB153" t="s">
        <v>2942</v>
      </c>
      <c r="AC153" t="s">
        <v>2943</v>
      </c>
      <c r="AD153" t="s">
        <v>2944</v>
      </c>
      <c r="AE153" t="s">
        <v>2945</v>
      </c>
      <c r="AF153" t="s">
        <v>74</v>
      </c>
      <c r="AG153">
        <v>56</v>
      </c>
      <c r="AH153">
        <v>23</v>
      </c>
      <c r="AI153">
        <v>25</v>
      </c>
      <c r="AJ153">
        <v>1</v>
      </c>
      <c r="AK153">
        <v>48</v>
      </c>
      <c r="AL153" t="s">
        <v>1441</v>
      </c>
      <c r="AM153" t="s">
        <v>91</v>
      </c>
      <c r="AN153" t="s">
        <v>1595</v>
      </c>
      <c r="AO153" t="s">
        <v>2946</v>
      </c>
      <c r="AP153" t="s">
        <v>74</v>
      </c>
      <c r="AQ153" t="s">
        <v>74</v>
      </c>
      <c r="AR153" t="s">
        <v>2933</v>
      </c>
      <c r="AS153" t="s">
        <v>2947</v>
      </c>
      <c r="AT153" t="s">
        <v>629</v>
      </c>
      <c r="AU153">
        <v>2011</v>
      </c>
      <c r="AV153">
        <v>41</v>
      </c>
      <c r="AW153">
        <v>3</v>
      </c>
      <c r="AX153" t="s">
        <v>74</v>
      </c>
      <c r="AY153" t="s">
        <v>74</v>
      </c>
      <c r="AZ153" t="s">
        <v>74</v>
      </c>
      <c r="BA153" t="s">
        <v>74</v>
      </c>
      <c r="BB153">
        <v>719</v>
      </c>
      <c r="BC153">
        <v>732</v>
      </c>
      <c r="BD153" t="s">
        <v>74</v>
      </c>
      <c r="BE153" t="s">
        <v>2948</v>
      </c>
      <c r="BF153" t="str">
        <f>HYPERLINK("http://dx.doi.org/10.1007/s00726-011-0937-8","http://dx.doi.org/10.1007/s00726-011-0937-8")</f>
        <v>http://dx.doi.org/10.1007/s00726-011-0937-8</v>
      </c>
      <c r="BG153" t="s">
        <v>74</v>
      </c>
      <c r="BH153" t="s">
        <v>74</v>
      </c>
      <c r="BI153">
        <v>14</v>
      </c>
      <c r="BJ153" t="s">
        <v>2949</v>
      </c>
      <c r="BK153" t="s">
        <v>100</v>
      </c>
      <c r="BL153" t="s">
        <v>2949</v>
      </c>
      <c r="BM153" t="s">
        <v>2950</v>
      </c>
      <c r="BN153">
        <v>21603949</v>
      </c>
      <c r="BO153" t="s">
        <v>74</v>
      </c>
      <c r="BP153" t="s">
        <v>74</v>
      </c>
      <c r="BQ153" t="s">
        <v>74</v>
      </c>
      <c r="BR153" t="s">
        <v>103</v>
      </c>
      <c r="BS153" t="s">
        <v>2951</v>
      </c>
      <c r="BT153" t="str">
        <f>HYPERLINK("https%3A%2F%2Fwww.webofscience.com%2Fwos%2Fwoscc%2Ffull-record%2FWOS:000292741700015","View Full Record in Web of Science")</f>
        <v>View Full Record in Web of Science</v>
      </c>
    </row>
    <row r="154" spans="1:72" x14ac:dyDescent="0.15">
      <c r="A154" t="s">
        <v>72</v>
      </c>
      <c r="B154" t="s">
        <v>2952</v>
      </c>
      <c r="C154" t="s">
        <v>74</v>
      </c>
      <c r="D154" t="s">
        <v>74</v>
      </c>
      <c r="E154" t="s">
        <v>74</v>
      </c>
      <c r="F154" t="s">
        <v>2953</v>
      </c>
      <c r="G154" t="s">
        <v>74</v>
      </c>
      <c r="H154" t="s">
        <v>74</v>
      </c>
      <c r="I154" t="s">
        <v>2954</v>
      </c>
      <c r="J154" t="s">
        <v>2955</v>
      </c>
      <c r="K154" t="s">
        <v>74</v>
      </c>
      <c r="L154" t="s">
        <v>74</v>
      </c>
      <c r="M154" t="s">
        <v>78</v>
      </c>
      <c r="N154" t="s">
        <v>79</v>
      </c>
      <c r="O154" t="s">
        <v>74</v>
      </c>
      <c r="P154" t="s">
        <v>74</v>
      </c>
      <c r="Q154" t="s">
        <v>74</v>
      </c>
      <c r="R154" t="s">
        <v>74</v>
      </c>
      <c r="S154" t="s">
        <v>74</v>
      </c>
      <c r="T154" t="s">
        <v>2956</v>
      </c>
      <c r="U154" t="s">
        <v>2957</v>
      </c>
      <c r="V154" t="s">
        <v>2958</v>
      </c>
      <c r="W154" t="s">
        <v>2959</v>
      </c>
      <c r="X154" t="s">
        <v>2960</v>
      </c>
      <c r="Y154" t="s">
        <v>2961</v>
      </c>
      <c r="Z154" t="s">
        <v>2962</v>
      </c>
      <c r="AA154" t="s">
        <v>2963</v>
      </c>
      <c r="AB154" t="s">
        <v>2964</v>
      </c>
      <c r="AC154" t="s">
        <v>2965</v>
      </c>
      <c r="AD154" t="s">
        <v>2966</v>
      </c>
      <c r="AE154" t="s">
        <v>2967</v>
      </c>
      <c r="AF154" t="s">
        <v>74</v>
      </c>
      <c r="AG154">
        <v>61</v>
      </c>
      <c r="AH154">
        <v>27</v>
      </c>
      <c r="AI154">
        <v>28</v>
      </c>
      <c r="AJ154">
        <v>0</v>
      </c>
      <c r="AK154">
        <v>12</v>
      </c>
      <c r="AL154" t="s">
        <v>2968</v>
      </c>
      <c r="AM154" t="s">
        <v>508</v>
      </c>
      <c r="AN154" t="s">
        <v>2969</v>
      </c>
      <c r="AO154" t="s">
        <v>2970</v>
      </c>
      <c r="AP154" t="s">
        <v>2971</v>
      </c>
      <c r="AQ154" t="s">
        <v>74</v>
      </c>
      <c r="AR154" t="s">
        <v>2972</v>
      </c>
      <c r="AS154" t="s">
        <v>2973</v>
      </c>
      <c r="AT154" t="s">
        <v>629</v>
      </c>
      <c r="AU154">
        <v>2011</v>
      </c>
      <c r="AV154">
        <v>321</v>
      </c>
      <c r="AW154">
        <v>2</v>
      </c>
      <c r="AX154" t="s">
        <v>74</v>
      </c>
      <c r="AY154" t="s">
        <v>74</v>
      </c>
      <c r="AZ154" t="s">
        <v>74</v>
      </c>
      <c r="BA154" t="s">
        <v>74</v>
      </c>
      <c r="BB154">
        <v>130</v>
      </c>
      <c r="BC154">
        <v>140</v>
      </c>
      <c r="BD154" t="s">
        <v>74</v>
      </c>
      <c r="BE154" t="s">
        <v>2974</v>
      </c>
      <c r="BF154" t="str">
        <f>HYPERLINK("http://dx.doi.org/10.1111/j.1574-6968.2011.02326.x","http://dx.doi.org/10.1111/j.1574-6968.2011.02326.x")</f>
        <v>http://dx.doi.org/10.1111/j.1574-6968.2011.02326.x</v>
      </c>
      <c r="BG154" t="s">
        <v>74</v>
      </c>
      <c r="BH154" t="s">
        <v>74</v>
      </c>
      <c r="BI154">
        <v>11</v>
      </c>
      <c r="BJ154" t="s">
        <v>892</v>
      </c>
      <c r="BK154" t="s">
        <v>100</v>
      </c>
      <c r="BL154" t="s">
        <v>892</v>
      </c>
      <c r="BM154" t="s">
        <v>2975</v>
      </c>
      <c r="BN154">
        <v>21645050</v>
      </c>
      <c r="BO154" t="s">
        <v>702</v>
      </c>
      <c r="BP154" t="s">
        <v>74</v>
      </c>
      <c r="BQ154" t="s">
        <v>74</v>
      </c>
      <c r="BR154" t="s">
        <v>103</v>
      </c>
      <c r="BS154" t="s">
        <v>2976</v>
      </c>
      <c r="BT154" t="str">
        <f>HYPERLINK("https%3A%2F%2Fwww.webofscience.com%2Fwos%2Fwoscc%2Ffull-record%2FWOS:000292741300007","View Full Record in Web of Science")</f>
        <v>View Full Record in Web of Science</v>
      </c>
    </row>
    <row r="155" spans="1:72" x14ac:dyDescent="0.15">
      <c r="A155" t="s">
        <v>72</v>
      </c>
      <c r="B155" t="s">
        <v>2977</v>
      </c>
      <c r="C155" t="s">
        <v>74</v>
      </c>
      <c r="D155" t="s">
        <v>74</v>
      </c>
      <c r="E155" t="s">
        <v>74</v>
      </c>
      <c r="F155" t="s">
        <v>2978</v>
      </c>
      <c r="G155" t="s">
        <v>74</v>
      </c>
      <c r="H155" t="s">
        <v>74</v>
      </c>
      <c r="I155" t="s">
        <v>2979</v>
      </c>
      <c r="J155" t="s">
        <v>2980</v>
      </c>
      <c r="K155" t="s">
        <v>74</v>
      </c>
      <c r="L155" t="s">
        <v>74</v>
      </c>
      <c r="M155" t="s">
        <v>78</v>
      </c>
      <c r="N155" t="s">
        <v>79</v>
      </c>
      <c r="O155" t="s">
        <v>74</v>
      </c>
      <c r="P155" t="s">
        <v>74</v>
      </c>
      <c r="Q155" t="s">
        <v>74</v>
      </c>
      <c r="R155" t="s">
        <v>74</v>
      </c>
      <c r="S155" t="s">
        <v>74</v>
      </c>
      <c r="T155" t="s">
        <v>2981</v>
      </c>
      <c r="U155" t="s">
        <v>2982</v>
      </c>
      <c r="V155" t="s">
        <v>2983</v>
      </c>
      <c r="W155" t="s">
        <v>2984</v>
      </c>
      <c r="X155" t="s">
        <v>2985</v>
      </c>
      <c r="Y155" t="s">
        <v>2986</v>
      </c>
      <c r="Z155" t="s">
        <v>2987</v>
      </c>
      <c r="AA155" t="s">
        <v>2988</v>
      </c>
      <c r="AB155" t="s">
        <v>2989</v>
      </c>
      <c r="AC155" t="s">
        <v>74</v>
      </c>
      <c r="AD155" t="s">
        <v>74</v>
      </c>
      <c r="AE155" t="s">
        <v>74</v>
      </c>
      <c r="AF155" t="s">
        <v>74</v>
      </c>
      <c r="AG155">
        <v>78</v>
      </c>
      <c r="AH155">
        <v>16</v>
      </c>
      <c r="AI155">
        <v>20</v>
      </c>
      <c r="AJ155">
        <v>1</v>
      </c>
      <c r="AK155">
        <v>21</v>
      </c>
      <c r="AL155" t="s">
        <v>926</v>
      </c>
      <c r="AM155" t="s">
        <v>508</v>
      </c>
      <c r="AN155" t="s">
        <v>927</v>
      </c>
      <c r="AO155" t="s">
        <v>2990</v>
      </c>
      <c r="AP155" t="s">
        <v>2991</v>
      </c>
      <c r="AQ155" t="s">
        <v>74</v>
      </c>
      <c r="AR155" t="s">
        <v>2992</v>
      </c>
      <c r="AS155" t="s">
        <v>2993</v>
      </c>
      <c r="AT155" t="s">
        <v>1737</v>
      </c>
      <c r="AU155">
        <v>2011</v>
      </c>
      <c r="AV155">
        <v>31</v>
      </c>
      <c r="AW155">
        <v>11</v>
      </c>
      <c r="AX155" t="s">
        <v>74</v>
      </c>
      <c r="AY155" t="s">
        <v>74</v>
      </c>
      <c r="AZ155" t="s">
        <v>74</v>
      </c>
      <c r="BA155" t="s">
        <v>74</v>
      </c>
      <c r="BB155">
        <v>1161</v>
      </c>
      <c r="BC155">
        <v>1168</v>
      </c>
      <c r="BD155" t="s">
        <v>74</v>
      </c>
      <c r="BE155" t="s">
        <v>2994</v>
      </c>
      <c r="BF155" t="str">
        <f>HYPERLINK("http://dx.doi.org/10.1016/j.csr.2011.04.002","http://dx.doi.org/10.1016/j.csr.2011.04.002")</f>
        <v>http://dx.doi.org/10.1016/j.csr.2011.04.002</v>
      </c>
      <c r="BG155" t="s">
        <v>74</v>
      </c>
      <c r="BH155" t="s">
        <v>74</v>
      </c>
      <c r="BI155">
        <v>8</v>
      </c>
      <c r="BJ155" t="s">
        <v>271</v>
      </c>
      <c r="BK155" t="s">
        <v>100</v>
      </c>
      <c r="BL155" t="s">
        <v>271</v>
      </c>
      <c r="BM155" t="s">
        <v>2995</v>
      </c>
      <c r="BN155" t="s">
        <v>74</v>
      </c>
      <c r="BO155" t="s">
        <v>1025</v>
      </c>
      <c r="BP155" t="s">
        <v>74</v>
      </c>
      <c r="BQ155" t="s">
        <v>74</v>
      </c>
      <c r="BR155" t="s">
        <v>103</v>
      </c>
      <c r="BS155" t="s">
        <v>2996</v>
      </c>
      <c r="BT155" t="str">
        <f>HYPERLINK("https%3A%2F%2Fwww.webofscience.com%2Fwos%2Fwoscc%2Ffull-record%2FWOS:000292369000001","View Full Record in Web of Science")</f>
        <v>View Full Record in Web of Science</v>
      </c>
    </row>
    <row r="156" spans="1:72" x14ac:dyDescent="0.15">
      <c r="A156" t="s">
        <v>72</v>
      </c>
      <c r="B156" t="s">
        <v>2997</v>
      </c>
      <c r="C156" t="s">
        <v>74</v>
      </c>
      <c r="D156" t="s">
        <v>74</v>
      </c>
      <c r="E156" t="s">
        <v>74</v>
      </c>
      <c r="F156" t="s">
        <v>2998</v>
      </c>
      <c r="G156" t="s">
        <v>74</v>
      </c>
      <c r="H156" t="s">
        <v>74</v>
      </c>
      <c r="I156" t="s">
        <v>2999</v>
      </c>
      <c r="J156" t="s">
        <v>3000</v>
      </c>
      <c r="K156" t="s">
        <v>74</v>
      </c>
      <c r="L156" t="s">
        <v>74</v>
      </c>
      <c r="M156" t="s">
        <v>78</v>
      </c>
      <c r="N156" t="s">
        <v>79</v>
      </c>
      <c r="O156" t="s">
        <v>74</v>
      </c>
      <c r="P156" t="s">
        <v>74</v>
      </c>
      <c r="Q156" t="s">
        <v>74</v>
      </c>
      <c r="R156" t="s">
        <v>74</v>
      </c>
      <c r="S156" t="s">
        <v>74</v>
      </c>
      <c r="T156" t="s">
        <v>3001</v>
      </c>
      <c r="U156" t="s">
        <v>3002</v>
      </c>
      <c r="V156" t="s">
        <v>3003</v>
      </c>
      <c r="W156" t="s">
        <v>3004</v>
      </c>
      <c r="X156" t="s">
        <v>3005</v>
      </c>
      <c r="Y156" t="s">
        <v>3006</v>
      </c>
      <c r="Z156" t="s">
        <v>3007</v>
      </c>
      <c r="AA156" t="s">
        <v>3008</v>
      </c>
      <c r="AB156" t="s">
        <v>3009</v>
      </c>
      <c r="AC156" t="s">
        <v>3010</v>
      </c>
      <c r="AD156" t="s">
        <v>3011</v>
      </c>
      <c r="AE156" t="s">
        <v>3012</v>
      </c>
      <c r="AF156" t="s">
        <v>74</v>
      </c>
      <c r="AG156">
        <v>102</v>
      </c>
      <c r="AH156">
        <v>46</v>
      </c>
      <c r="AI156">
        <v>47</v>
      </c>
      <c r="AJ156">
        <v>0</v>
      </c>
      <c r="AK156">
        <v>26</v>
      </c>
      <c r="AL156" t="s">
        <v>1323</v>
      </c>
      <c r="AM156" t="s">
        <v>1324</v>
      </c>
      <c r="AN156" t="s">
        <v>1325</v>
      </c>
      <c r="AO156" t="s">
        <v>3013</v>
      </c>
      <c r="AP156" t="s">
        <v>3014</v>
      </c>
      <c r="AQ156" t="s">
        <v>74</v>
      </c>
      <c r="AR156" t="s">
        <v>3015</v>
      </c>
      <c r="AS156" t="s">
        <v>3016</v>
      </c>
      <c r="AT156" t="s">
        <v>629</v>
      </c>
      <c r="AU156">
        <v>2011</v>
      </c>
      <c r="AV156">
        <v>29</v>
      </c>
      <c r="AW156">
        <v>6</v>
      </c>
      <c r="AX156" t="s">
        <v>74</v>
      </c>
      <c r="AY156" t="s">
        <v>74</v>
      </c>
      <c r="AZ156" t="s">
        <v>74</v>
      </c>
      <c r="BA156" t="s">
        <v>74</v>
      </c>
      <c r="BB156">
        <v>649</v>
      </c>
      <c r="BC156">
        <v>672</v>
      </c>
      <c r="BD156" t="s">
        <v>74</v>
      </c>
      <c r="BE156" t="s">
        <v>3017</v>
      </c>
      <c r="BF156" t="str">
        <f>HYPERLINK("http://dx.doi.org/10.1111/j.1525-1314.2011.00934.x","http://dx.doi.org/10.1111/j.1525-1314.2011.00934.x")</f>
        <v>http://dx.doi.org/10.1111/j.1525-1314.2011.00934.x</v>
      </c>
      <c r="BG156" t="s">
        <v>74</v>
      </c>
      <c r="BH156" t="s">
        <v>74</v>
      </c>
      <c r="BI156">
        <v>24</v>
      </c>
      <c r="BJ156" t="s">
        <v>131</v>
      </c>
      <c r="BK156" t="s">
        <v>100</v>
      </c>
      <c r="BL156" t="s">
        <v>131</v>
      </c>
      <c r="BM156" t="s">
        <v>3018</v>
      </c>
      <c r="BN156" t="s">
        <v>74</v>
      </c>
      <c r="BO156" t="s">
        <v>74</v>
      </c>
      <c r="BP156" t="s">
        <v>74</v>
      </c>
      <c r="BQ156" t="s">
        <v>74</v>
      </c>
      <c r="BR156" t="s">
        <v>103</v>
      </c>
      <c r="BS156" t="s">
        <v>3019</v>
      </c>
      <c r="BT156" t="str">
        <f>HYPERLINK("https%3A%2F%2Fwww.webofscience.com%2Fwos%2Fwoscc%2Ffull-record%2FWOS:000292309100003","View Full Record in Web of Science")</f>
        <v>View Full Record in Web of Science</v>
      </c>
    </row>
    <row r="157" spans="1:72" x14ac:dyDescent="0.15">
      <c r="A157" t="s">
        <v>72</v>
      </c>
      <c r="B157" t="s">
        <v>3020</v>
      </c>
      <c r="C157" t="s">
        <v>74</v>
      </c>
      <c r="D157" t="s">
        <v>74</v>
      </c>
      <c r="E157" t="s">
        <v>74</v>
      </c>
      <c r="F157" t="s">
        <v>3021</v>
      </c>
      <c r="G157" t="s">
        <v>74</v>
      </c>
      <c r="H157" t="s">
        <v>74</v>
      </c>
      <c r="I157" t="s">
        <v>3022</v>
      </c>
      <c r="J157" t="s">
        <v>3023</v>
      </c>
      <c r="K157" t="s">
        <v>74</v>
      </c>
      <c r="L157" t="s">
        <v>74</v>
      </c>
      <c r="M157" t="s">
        <v>78</v>
      </c>
      <c r="N157" t="s">
        <v>79</v>
      </c>
      <c r="O157" t="s">
        <v>74</v>
      </c>
      <c r="P157" t="s">
        <v>74</v>
      </c>
      <c r="Q157" t="s">
        <v>74</v>
      </c>
      <c r="R157" t="s">
        <v>74</v>
      </c>
      <c r="S157" t="s">
        <v>74</v>
      </c>
      <c r="T157" t="s">
        <v>3024</v>
      </c>
      <c r="U157" t="s">
        <v>3025</v>
      </c>
      <c r="V157" t="s">
        <v>3026</v>
      </c>
      <c r="W157" t="s">
        <v>3027</v>
      </c>
      <c r="X157" t="s">
        <v>3028</v>
      </c>
      <c r="Y157" t="s">
        <v>3029</v>
      </c>
      <c r="Z157" t="s">
        <v>3030</v>
      </c>
      <c r="AA157" t="s">
        <v>3031</v>
      </c>
      <c r="AB157" t="s">
        <v>3032</v>
      </c>
      <c r="AC157" t="s">
        <v>3033</v>
      </c>
      <c r="AD157" t="s">
        <v>3034</v>
      </c>
      <c r="AE157" t="s">
        <v>3035</v>
      </c>
      <c r="AF157" t="s">
        <v>74</v>
      </c>
      <c r="AG157">
        <v>75</v>
      </c>
      <c r="AH157">
        <v>12</v>
      </c>
      <c r="AI157">
        <v>13</v>
      </c>
      <c r="AJ157">
        <v>0</v>
      </c>
      <c r="AK157">
        <v>22</v>
      </c>
      <c r="AL157" t="s">
        <v>2669</v>
      </c>
      <c r="AM157" t="s">
        <v>309</v>
      </c>
      <c r="AN157" t="s">
        <v>2670</v>
      </c>
      <c r="AO157" t="s">
        <v>3036</v>
      </c>
      <c r="AP157" t="s">
        <v>74</v>
      </c>
      <c r="AQ157" t="s">
        <v>74</v>
      </c>
      <c r="AR157" t="s">
        <v>3037</v>
      </c>
      <c r="AS157" t="s">
        <v>3038</v>
      </c>
      <c r="AT157" t="s">
        <v>3039</v>
      </c>
      <c r="AU157">
        <v>2011</v>
      </c>
      <c r="AV157">
        <v>404</v>
      </c>
      <c r="AW157" t="s">
        <v>2154</v>
      </c>
      <c r="AX157" t="s">
        <v>74</v>
      </c>
      <c r="AY157" t="s">
        <v>74</v>
      </c>
      <c r="AZ157" t="s">
        <v>74</v>
      </c>
      <c r="BA157" t="s">
        <v>74</v>
      </c>
      <c r="BB157">
        <v>98</v>
      </c>
      <c r="BC157">
        <v>107</v>
      </c>
      <c r="BD157" t="s">
        <v>74</v>
      </c>
      <c r="BE157" t="s">
        <v>3040</v>
      </c>
      <c r="BF157" t="str">
        <f>HYPERLINK("http://dx.doi.org/10.1016/j.jembe.2011.04.011","http://dx.doi.org/10.1016/j.jembe.2011.04.011")</f>
        <v>http://dx.doi.org/10.1016/j.jembe.2011.04.011</v>
      </c>
      <c r="BG157" t="s">
        <v>74</v>
      </c>
      <c r="BH157" t="s">
        <v>74</v>
      </c>
      <c r="BI157">
        <v>10</v>
      </c>
      <c r="BJ157" t="s">
        <v>3041</v>
      </c>
      <c r="BK157" t="s">
        <v>100</v>
      </c>
      <c r="BL157" t="s">
        <v>3042</v>
      </c>
      <c r="BM157" t="s">
        <v>3043</v>
      </c>
      <c r="BN157" t="s">
        <v>74</v>
      </c>
      <c r="BO157" t="s">
        <v>74</v>
      </c>
      <c r="BP157" t="s">
        <v>74</v>
      </c>
      <c r="BQ157" t="s">
        <v>74</v>
      </c>
      <c r="BR157" t="s">
        <v>103</v>
      </c>
      <c r="BS157" t="s">
        <v>3044</v>
      </c>
      <c r="BT157" t="str">
        <f>HYPERLINK("https%3A%2F%2Fwww.webofscience.com%2Fwos%2Fwoscc%2Ffull-record%2FWOS:000293049000013","View Full Record in Web of Science")</f>
        <v>View Full Record in Web of Science</v>
      </c>
    </row>
    <row r="158" spans="1:72" x14ac:dyDescent="0.15">
      <c r="A158" t="s">
        <v>72</v>
      </c>
      <c r="B158" t="s">
        <v>3045</v>
      </c>
      <c r="C158" t="s">
        <v>74</v>
      </c>
      <c r="D158" t="s">
        <v>74</v>
      </c>
      <c r="E158" t="s">
        <v>74</v>
      </c>
      <c r="F158" t="s">
        <v>3046</v>
      </c>
      <c r="G158" t="s">
        <v>74</v>
      </c>
      <c r="H158" t="s">
        <v>74</v>
      </c>
      <c r="I158" t="s">
        <v>3047</v>
      </c>
      <c r="J158" t="s">
        <v>108</v>
      </c>
      <c r="K158" t="s">
        <v>74</v>
      </c>
      <c r="L158" t="s">
        <v>74</v>
      </c>
      <c r="M158" t="s">
        <v>78</v>
      </c>
      <c r="N158" t="s">
        <v>79</v>
      </c>
      <c r="O158" t="s">
        <v>74</v>
      </c>
      <c r="P158" t="s">
        <v>74</v>
      </c>
      <c r="Q158" t="s">
        <v>74</v>
      </c>
      <c r="R158" t="s">
        <v>74</v>
      </c>
      <c r="S158" t="s">
        <v>74</v>
      </c>
      <c r="T158" t="s">
        <v>74</v>
      </c>
      <c r="U158" t="s">
        <v>3048</v>
      </c>
      <c r="V158" t="s">
        <v>3049</v>
      </c>
      <c r="W158" t="s">
        <v>3050</v>
      </c>
      <c r="X158" t="s">
        <v>3051</v>
      </c>
      <c r="Y158" t="s">
        <v>3052</v>
      </c>
      <c r="Z158" t="s">
        <v>3053</v>
      </c>
      <c r="AA158" t="s">
        <v>3054</v>
      </c>
      <c r="AB158" t="s">
        <v>3055</v>
      </c>
      <c r="AC158" t="s">
        <v>3056</v>
      </c>
      <c r="AD158" t="s">
        <v>3056</v>
      </c>
      <c r="AE158" t="s">
        <v>3057</v>
      </c>
      <c r="AF158" t="s">
        <v>74</v>
      </c>
      <c r="AG158">
        <v>26</v>
      </c>
      <c r="AH158">
        <v>37</v>
      </c>
      <c r="AI158">
        <v>40</v>
      </c>
      <c r="AJ158">
        <v>0</v>
      </c>
      <c r="AK158">
        <v>20</v>
      </c>
      <c r="AL158" t="s">
        <v>120</v>
      </c>
      <c r="AM158" t="s">
        <v>121</v>
      </c>
      <c r="AN158" t="s">
        <v>122</v>
      </c>
      <c r="AO158" t="s">
        <v>123</v>
      </c>
      <c r="AP158" t="s">
        <v>124</v>
      </c>
      <c r="AQ158" t="s">
        <v>74</v>
      </c>
      <c r="AR158" t="s">
        <v>125</v>
      </c>
      <c r="AS158" t="s">
        <v>126</v>
      </c>
      <c r="AT158" t="s">
        <v>3058</v>
      </c>
      <c r="AU158">
        <v>2011</v>
      </c>
      <c r="AV158">
        <v>38</v>
      </c>
      <c r="AW158" t="s">
        <v>74</v>
      </c>
      <c r="AX158" t="s">
        <v>74</v>
      </c>
      <c r="AY158" t="s">
        <v>74</v>
      </c>
      <c r="AZ158" t="s">
        <v>74</v>
      </c>
      <c r="BA158" t="s">
        <v>74</v>
      </c>
      <c r="BB158" t="s">
        <v>74</v>
      </c>
      <c r="BC158" t="s">
        <v>74</v>
      </c>
      <c r="BD158" t="s">
        <v>3059</v>
      </c>
      <c r="BE158" t="s">
        <v>3060</v>
      </c>
      <c r="BF158" t="str">
        <f>HYPERLINK("http://dx.doi.org/10.1029/2011GL047943","http://dx.doi.org/10.1029/2011GL047943")</f>
        <v>http://dx.doi.org/10.1029/2011GL047943</v>
      </c>
      <c r="BG158" t="s">
        <v>74</v>
      </c>
      <c r="BH158" t="s">
        <v>74</v>
      </c>
      <c r="BI158">
        <v>5</v>
      </c>
      <c r="BJ158" t="s">
        <v>130</v>
      </c>
      <c r="BK158" t="s">
        <v>100</v>
      </c>
      <c r="BL158" t="s">
        <v>131</v>
      </c>
      <c r="BM158" t="s">
        <v>3061</v>
      </c>
      <c r="BN158" t="s">
        <v>74</v>
      </c>
      <c r="BO158" t="s">
        <v>152</v>
      </c>
      <c r="BP158" t="s">
        <v>74</v>
      </c>
      <c r="BQ158" t="s">
        <v>74</v>
      </c>
      <c r="BR158" t="s">
        <v>103</v>
      </c>
      <c r="BS158" t="s">
        <v>3062</v>
      </c>
      <c r="BT158" t="str">
        <f>HYPERLINK("https%3A%2F%2Fwww.webofscience.com%2Fwos%2Fwoscc%2Ffull-record%2FWOS:000293386900004","View Full Record in Web of Science")</f>
        <v>View Full Record in Web of Science</v>
      </c>
    </row>
    <row r="159" spans="1:72" x14ac:dyDescent="0.15">
      <c r="A159" t="s">
        <v>72</v>
      </c>
      <c r="B159" t="s">
        <v>3063</v>
      </c>
      <c r="C159" t="s">
        <v>74</v>
      </c>
      <c r="D159" t="s">
        <v>74</v>
      </c>
      <c r="E159" t="s">
        <v>74</v>
      </c>
      <c r="F159" t="s">
        <v>3064</v>
      </c>
      <c r="G159" t="s">
        <v>74</v>
      </c>
      <c r="H159" t="s">
        <v>74</v>
      </c>
      <c r="I159" t="s">
        <v>3065</v>
      </c>
      <c r="J159" t="s">
        <v>373</v>
      </c>
      <c r="K159" t="s">
        <v>74</v>
      </c>
      <c r="L159" t="s">
        <v>74</v>
      </c>
      <c r="M159" t="s">
        <v>78</v>
      </c>
      <c r="N159" t="s">
        <v>79</v>
      </c>
      <c r="O159" t="s">
        <v>74</v>
      </c>
      <c r="P159" t="s">
        <v>74</v>
      </c>
      <c r="Q159" t="s">
        <v>74</v>
      </c>
      <c r="R159" t="s">
        <v>74</v>
      </c>
      <c r="S159" t="s">
        <v>74</v>
      </c>
      <c r="T159" t="s">
        <v>74</v>
      </c>
      <c r="U159" t="s">
        <v>3066</v>
      </c>
      <c r="V159" t="s">
        <v>3067</v>
      </c>
      <c r="W159" t="s">
        <v>3068</v>
      </c>
      <c r="X159" t="s">
        <v>3069</v>
      </c>
      <c r="Y159" t="s">
        <v>3070</v>
      </c>
      <c r="Z159" t="s">
        <v>3071</v>
      </c>
      <c r="AA159" t="s">
        <v>74</v>
      </c>
      <c r="AB159" t="s">
        <v>3072</v>
      </c>
      <c r="AC159" t="s">
        <v>3073</v>
      </c>
      <c r="AD159" t="s">
        <v>3074</v>
      </c>
      <c r="AE159" t="s">
        <v>3075</v>
      </c>
      <c r="AF159" t="s">
        <v>74</v>
      </c>
      <c r="AG159">
        <v>69</v>
      </c>
      <c r="AH159">
        <v>43</v>
      </c>
      <c r="AI159">
        <v>46</v>
      </c>
      <c r="AJ159">
        <v>0</v>
      </c>
      <c r="AK159">
        <v>5</v>
      </c>
      <c r="AL159" t="s">
        <v>120</v>
      </c>
      <c r="AM159" t="s">
        <v>121</v>
      </c>
      <c r="AN159" t="s">
        <v>122</v>
      </c>
      <c r="AO159" t="s">
        <v>385</v>
      </c>
      <c r="AP159" t="s">
        <v>386</v>
      </c>
      <c r="AQ159" t="s">
        <v>74</v>
      </c>
      <c r="AR159" t="s">
        <v>387</v>
      </c>
      <c r="AS159" t="s">
        <v>388</v>
      </c>
      <c r="AT159" t="s">
        <v>3076</v>
      </c>
      <c r="AU159">
        <v>2011</v>
      </c>
      <c r="AV159">
        <v>116</v>
      </c>
      <c r="AW159" t="s">
        <v>74</v>
      </c>
      <c r="AX159" t="s">
        <v>74</v>
      </c>
      <c r="AY159" t="s">
        <v>74</v>
      </c>
      <c r="AZ159" t="s">
        <v>74</v>
      </c>
      <c r="BA159" t="s">
        <v>74</v>
      </c>
      <c r="BB159" t="s">
        <v>74</v>
      </c>
      <c r="BC159" t="s">
        <v>74</v>
      </c>
      <c r="BD159" t="s">
        <v>3077</v>
      </c>
      <c r="BE159" t="s">
        <v>3078</v>
      </c>
      <c r="BF159" t="str">
        <f>HYPERLINK("http://dx.doi.org/10.1029/2010JA016355","http://dx.doi.org/10.1029/2010JA016355")</f>
        <v>http://dx.doi.org/10.1029/2010JA016355</v>
      </c>
      <c r="BG159" t="s">
        <v>74</v>
      </c>
      <c r="BH159" t="s">
        <v>74</v>
      </c>
      <c r="BI159">
        <v>20</v>
      </c>
      <c r="BJ159" t="s">
        <v>391</v>
      </c>
      <c r="BK159" t="s">
        <v>100</v>
      </c>
      <c r="BL159" t="s">
        <v>391</v>
      </c>
      <c r="BM159" t="s">
        <v>3079</v>
      </c>
      <c r="BN159" t="s">
        <v>74</v>
      </c>
      <c r="BO159" t="s">
        <v>152</v>
      </c>
      <c r="BP159" t="s">
        <v>74</v>
      </c>
      <c r="BQ159" t="s">
        <v>74</v>
      </c>
      <c r="BR159" t="s">
        <v>103</v>
      </c>
      <c r="BS159" t="s">
        <v>3080</v>
      </c>
      <c r="BT159" t="str">
        <f>HYPERLINK("https%3A%2F%2Fwww.webofscience.com%2Fwos%2Fwoscc%2Ffull-record%2FWOS:000293343100001","View Full Record in Web of Science")</f>
        <v>View Full Record in Web of Science</v>
      </c>
    </row>
    <row r="160" spans="1:72" x14ac:dyDescent="0.15">
      <c r="A160" t="s">
        <v>72</v>
      </c>
      <c r="B160" t="s">
        <v>3081</v>
      </c>
      <c r="C160" t="s">
        <v>74</v>
      </c>
      <c r="D160" t="s">
        <v>74</v>
      </c>
      <c r="E160" t="s">
        <v>74</v>
      </c>
      <c r="F160" t="s">
        <v>3082</v>
      </c>
      <c r="G160" t="s">
        <v>74</v>
      </c>
      <c r="H160" t="s">
        <v>74</v>
      </c>
      <c r="I160" t="s">
        <v>3083</v>
      </c>
      <c r="J160" t="s">
        <v>254</v>
      </c>
      <c r="K160" t="s">
        <v>74</v>
      </c>
      <c r="L160" t="s">
        <v>74</v>
      </c>
      <c r="M160" t="s">
        <v>78</v>
      </c>
      <c r="N160" t="s">
        <v>79</v>
      </c>
      <c r="O160" t="s">
        <v>74</v>
      </c>
      <c r="P160" t="s">
        <v>74</v>
      </c>
      <c r="Q160" t="s">
        <v>74</v>
      </c>
      <c r="R160" t="s">
        <v>74</v>
      </c>
      <c r="S160" t="s">
        <v>74</v>
      </c>
      <c r="T160" t="s">
        <v>74</v>
      </c>
      <c r="U160" t="s">
        <v>3084</v>
      </c>
      <c r="V160" t="s">
        <v>3085</v>
      </c>
      <c r="W160" t="s">
        <v>3086</v>
      </c>
      <c r="X160" t="s">
        <v>74</v>
      </c>
      <c r="Y160" t="s">
        <v>3087</v>
      </c>
      <c r="Z160" t="s">
        <v>3088</v>
      </c>
      <c r="AA160" t="s">
        <v>74</v>
      </c>
      <c r="AB160" t="s">
        <v>74</v>
      </c>
      <c r="AC160" t="s">
        <v>3089</v>
      </c>
      <c r="AD160" t="s">
        <v>3090</v>
      </c>
      <c r="AE160" t="s">
        <v>3091</v>
      </c>
      <c r="AF160" t="s">
        <v>74</v>
      </c>
      <c r="AG160">
        <v>25</v>
      </c>
      <c r="AH160">
        <v>1</v>
      </c>
      <c r="AI160">
        <v>1</v>
      </c>
      <c r="AJ160">
        <v>0</v>
      </c>
      <c r="AK160">
        <v>4</v>
      </c>
      <c r="AL160" t="s">
        <v>120</v>
      </c>
      <c r="AM160" t="s">
        <v>121</v>
      </c>
      <c r="AN160" t="s">
        <v>122</v>
      </c>
      <c r="AO160" t="s">
        <v>265</v>
      </c>
      <c r="AP160" t="s">
        <v>266</v>
      </c>
      <c r="AQ160" t="s">
        <v>74</v>
      </c>
      <c r="AR160" t="s">
        <v>267</v>
      </c>
      <c r="AS160" t="s">
        <v>268</v>
      </c>
      <c r="AT160" t="s">
        <v>3076</v>
      </c>
      <c r="AU160">
        <v>2011</v>
      </c>
      <c r="AV160">
        <v>116</v>
      </c>
      <c r="AW160" t="s">
        <v>74</v>
      </c>
      <c r="AX160" t="s">
        <v>74</v>
      </c>
      <c r="AY160" t="s">
        <v>74</v>
      </c>
      <c r="AZ160" t="s">
        <v>74</v>
      </c>
      <c r="BA160" t="s">
        <v>74</v>
      </c>
      <c r="BB160" t="s">
        <v>74</v>
      </c>
      <c r="BC160" t="s">
        <v>74</v>
      </c>
      <c r="BD160" t="s">
        <v>3092</v>
      </c>
      <c r="BE160" t="s">
        <v>3093</v>
      </c>
      <c r="BF160" t="str">
        <f>HYPERLINK("http://dx.doi.org/10.1029/2011JC007152","http://dx.doi.org/10.1029/2011JC007152")</f>
        <v>http://dx.doi.org/10.1029/2011JC007152</v>
      </c>
      <c r="BG160" t="s">
        <v>74</v>
      </c>
      <c r="BH160" t="s">
        <v>74</v>
      </c>
      <c r="BI160">
        <v>13</v>
      </c>
      <c r="BJ160" t="s">
        <v>271</v>
      </c>
      <c r="BK160" t="s">
        <v>100</v>
      </c>
      <c r="BL160" t="s">
        <v>271</v>
      </c>
      <c r="BM160" t="s">
        <v>3094</v>
      </c>
      <c r="BN160" t="s">
        <v>74</v>
      </c>
      <c r="BO160" t="s">
        <v>152</v>
      </c>
      <c r="BP160" t="s">
        <v>74</v>
      </c>
      <c r="BQ160" t="s">
        <v>74</v>
      </c>
      <c r="BR160" t="s">
        <v>103</v>
      </c>
      <c r="BS160" t="s">
        <v>3095</v>
      </c>
      <c r="BT160" t="str">
        <f>HYPERLINK("https%3A%2F%2Fwww.webofscience.com%2Fwos%2Fwoscc%2Ffull-record%2FWOS:000293340400004","View Full Record in Web of Science")</f>
        <v>View Full Record in Web of Science</v>
      </c>
    </row>
    <row r="161" spans="1:72" x14ac:dyDescent="0.15">
      <c r="A161" t="s">
        <v>72</v>
      </c>
      <c r="B161" t="s">
        <v>3096</v>
      </c>
      <c r="C161" t="s">
        <v>74</v>
      </c>
      <c r="D161" t="s">
        <v>74</v>
      </c>
      <c r="E161" t="s">
        <v>74</v>
      </c>
      <c r="F161" t="s">
        <v>3097</v>
      </c>
      <c r="G161" t="s">
        <v>74</v>
      </c>
      <c r="H161" t="s">
        <v>74</v>
      </c>
      <c r="I161" t="s">
        <v>3098</v>
      </c>
      <c r="J161" t="s">
        <v>254</v>
      </c>
      <c r="K161" t="s">
        <v>74</v>
      </c>
      <c r="L161" t="s">
        <v>74</v>
      </c>
      <c r="M161" t="s">
        <v>78</v>
      </c>
      <c r="N161" t="s">
        <v>79</v>
      </c>
      <c r="O161" t="s">
        <v>74</v>
      </c>
      <c r="P161" t="s">
        <v>74</v>
      </c>
      <c r="Q161" t="s">
        <v>74</v>
      </c>
      <c r="R161" t="s">
        <v>74</v>
      </c>
      <c r="S161" t="s">
        <v>74</v>
      </c>
      <c r="T161" t="s">
        <v>74</v>
      </c>
      <c r="U161" t="s">
        <v>3099</v>
      </c>
      <c r="V161" t="s">
        <v>3100</v>
      </c>
      <c r="W161" t="s">
        <v>3101</v>
      </c>
      <c r="X161" t="s">
        <v>3102</v>
      </c>
      <c r="Y161" t="s">
        <v>3103</v>
      </c>
      <c r="Z161" t="s">
        <v>3104</v>
      </c>
      <c r="AA161" t="s">
        <v>3105</v>
      </c>
      <c r="AB161" t="s">
        <v>74</v>
      </c>
      <c r="AC161" t="s">
        <v>3106</v>
      </c>
      <c r="AD161" t="s">
        <v>3107</v>
      </c>
      <c r="AE161" t="s">
        <v>3108</v>
      </c>
      <c r="AF161" t="s">
        <v>74</v>
      </c>
      <c r="AG161">
        <v>56</v>
      </c>
      <c r="AH161">
        <v>80</v>
      </c>
      <c r="AI161">
        <v>86</v>
      </c>
      <c r="AJ161">
        <v>0</v>
      </c>
      <c r="AK161">
        <v>44</v>
      </c>
      <c r="AL161" t="s">
        <v>120</v>
      </c>
      <c r="AM161" t="s">
        <v>121</v>
      </c>
      <c r="AN161" t="s">
        <v>122</v>
      </c>
      <c r="AO161" t="s">
        <v>265</v>
      </c>
      <c r="AP161" t="s">
        <v>266</v>
      </c>
      <c r="AQ161" t="s">
        <v>74</v>
      </c>
      <c r="AR161" t="s">
        <v>267</v>
      </c>
      <c r="AS161" t="s">
        <v>268</v>
      </c>
      <c r="AT161" t="s">
        <v>3076</v>
      </c>
      <c r="AU161">
        <v>2011</v>
      </c>
      <c r="AV161">
        <v>116</v>
      </c>
      <c r="AW161" t="s">
        <v>74</v>
      </c>
      <c r="AX161" t="s">
        <v>74</v>
      </c>
      <c r="AY161" t="s">
        <v>74</v>
      </c>
      <c r="AZ161" t="s">
        <v>74</v>
      </c>
      <c r="BA161" t="s">
        <v>74</v>
      </c>
      <c r="BB161" t="s">
        <v>74</v>
      </c>
      <c r="BC161" t="s">
        <v>74</v>
      </c>
      <c r="BD161" t="s">
        <v>3109</v>
      </c>
      <c r="BE161" t="s">
        <v>3110</v>
      </c>
      <c r="BF161" t="str">
        <f>HYPERLINK("http://dx.doi.org/10.1029/2010JC006586","http://dx.doi.org/10.1029/2010JC006586")</f>
        <v>http://dx.doi.org/10.1029/2010JC006586</v>
      </c>
      <c r="BG161" t="s">
        <v>74</v>
      </c>
      <c r="BH161" t="s">
        <v>74</v>
      </c>
      <c r="BI161">
        <v>20</v>
      </c>
      <c r="BJ161" t="s">
        <v>271</v>
      </c>
      <c r="BK161" t="s">
        <v>100</v>
      </c>
      <c r="BL161" t="s">
        <v>271</v>
      </c>
      <c r="BM161" t="s">
        <v>3094</v>
      </c>
      <c r="BN161" t="s">
        <v>74</v>
      </c>
      <c r="BO161" t="s">
        <v>152</v>
      </c>
      <c r="BP161" t="s">
        <v>74</v>
      </c>
      <c r="BQ161" t="s">
        <v>74</v>
      </c>
      <c r="BR161" t="s">
        <v>103</v>
      </c>
      <c r="BS161" t="s">
        <v>3111</v>
      </c>
      <c r="BT161" t="str">
        <f>HYPERLINK("https%3A%2F%2Fwww.webofscience.com%2Fwos%2Fwoscc%2Ffull-record%2FWOS:000293340400001","View Full Record in Web of Science")</f>
        <v>View Full Record in Web of Science</v>
      </c>
    </row>
    <row r="162" spans="1:72" x14ac:dyDescent="0.15">
      <c r="A162" t="s">
        <v>72</v>
      </c>
      <c r="B162" t="s">
        <v>3112</v>
      </c>
      <c r="C162" t="s">
        <v>74</v>
      </c>
      <c r="D162" t="s">
        <v>74</v>
      </c>
      <c r="E162" t="s">
        <v>74</v>
      </c>
      <c r="F162" t="s">
        <v>3113</v>
      </c>
      <c r="G162" t="s">
        <v>74</v>
      </c>
      <c r="H162" t="s">
        <v>74</v>
      </c>
      <c r="I162" t="s">
        <v>3114</v>
      </c>
      <c r="J162" t="s">
        <v>3115</v>
      </c>
      <c r="K162" t="s">
        <v>74</v>
      </c>
      <c r="L162" t="s">
        <v>74</v>
      </c>
      <c r="M162" t="s">
        <v>78</v>
      </c>
      <c r="N162" t="s">
        <v>79</v>
      </c>
      <c r="O162" t="s">
        <v>74</v>
      </c>
      <c r="P162" t="s">
        <v>74</v>
      </c>
      <c r="Q162" t="s">
        <v>74</v>
      </c>
      <c r="R162" t="s">
        <v>74</v>
      </c>
      <c r="S162" t="s">
        <v>74</v>
      </c>
      <c r="T162" t="s">
        <v>74</v>
      </c>
      <c r="U162" t="s">
        <v>3116</v>
      </c>
      <c r="V162" t="s">
        <v>3117</v>
      </c>
      <c r="W162" t="s">
        <v>3118</v>
      </c>
      <c r="X162" t="s">
        <v>3119</v>
      </c>
      <c r="Y162" t="s">
        <v>3120</v>
      </c>
      <c r="Z162" t="s">
        <v>3121</v>
      </c>
      <c r="AA162" t="s">
        <v>3122</v>
      </c>
      <c r="AB162" t="s">
        <v>3123</v>
      </c>
      <c r="AC162" t="s">
        <v>3124</v>
      </c>
      <c r="AD162" t="s">
        <v>3125</v>
      </c>
      <c r="AE162" t="s">
        <v>3126</v>
      </c>
      <c r="AF162" t="s">
        <v>74</v>
      </c>
      <c r="AG162">
        <v>29</v>
      </c>
      <c r="AH162">
        <v>107</v>
      </c>
      <c r="AI162">
        <v>115</v>
      </c>
      <c r="AJ162">
        <v>2</v>
      </c>
      <c r="AK162">
        <v>50</v>
      </c>
      <c r="AL162" t="s">
        <v>3127</v>
      </c>
      <c r="AM162" t="s">
        <v>121</v>
      </c>
      <c r="AN162" t="s">
        <v>3128</v>
      </c>
      <c r="AO162" t="s">
        <v>3129</v>
      </c>
      <c r="AP162" t="s">
        <v>3130</v>
      </c>
      <c r="AQ162" t="s">
        <v>74</v>
      </c>
      <c r="AR162" t="s">
        <v>3115</v>
      </c>
      <c r="AS162" t="s">
        <v>3131</v>
      </c>
      <c r="AT162" t="s">
        <v>3076</v>
      </c>
      <c r="AU162">
        <v>2011</v>
      </c>
      <c r="AV162">
        <v>333</v>
      </c>
      <c r="AW162">
        <v>6042</v>
      </c>
      <c r="AX162" t="s">
        <v>74</v>
      </c>
      <c r="AY162" t="s">
        <v>74</v>
      </c>
      <c r="AZ162" t="s">
        <v>74</v>
      </c>
      <c r="BA162" t="s">
        <v>74</v>
      </c>
      <c r="BB162">
        <v>620</v>
      </c>
      <c r="BC162">
        <v>623</v>
      </c>
      <c r="BD162" t="s">
        <v>74</v>
      </c>
      <c r="BE162" t="s">
        <v>3132</v>
      </c>
      <c r="BF162" t="str">
        <f>HYPERLINK("http://dx.doi.org/10.1126/science.1204673","http://dx.doi.org/10.1126/science.1204673")</f>
        <v>http://dx.doi.org/10.1126/science.1204673</v>
      </c>
      <c r="BG162" t="s">
        <v>74</v>
      </c>
      <c r="BH162" t="s">
        <v>74</v>
      </c>
      <c r="BI162">
        <v>4</v>
      </c>
      <c r="BJ162" t="s">
        <v>177</v>
      </c>
      <c r="BK162" t="s">
        <v>100</v>
      </c>
      <c r="BL162" t="s">
        <v>178</v>
      </c>
      <c r="BM162" t="s">
        <v>3133</v>
      </c>
      <c r="BN162">
        <v>21798947</v>
      </c>
      <c r="BO162" t="s">
        <v>74</v>
      </c>
      <c r="BP162" t="s">
        <v>74</v>
      </c>
      <c r="BQ162" t="s">
        <v>74</v>
      </c>
      <c r="BR162" t="s">
        <v>103</v>
      </c>
      <c r="BS162" t="s">
        <v>3134</v>
      </c>
      <c r="BT162" t="str">
        <f>HYPERLINK("https%3A%2F%2Fwww.webofscience.com%2Fwos%2Fwoscc%2Ffull-record%2FWOS:000293222400059","View Full Record in Web of Science")</f>
        <v>View Full Record in Web of Science</v>
      </c>
    </row>
    <row r="163" spans="1:72" x14ac:dyDescent="0.15">
      <c r="A163" t="s">
        <v>72</v>
      </c>
      <c r="B163" t="s">
        <v>3135</v>
      </c>
      <c r="C163" t="s">
        <v>74</v>
      </c>
      <c r="D163" t="s">
        <v>74</v>
      </c>
      <c r="E163" t="s">
        <v>74</v>
      </c>
      <c r="F163" t="s">
        <v>3136</v>
      </c>
      <c r="G163" t="s">
        <v>74</v>
      </c>
      <c r="H163" t="s">
        <v>74</v>
      </c>
      <c r="I163" t="s">
        <v>3137</v>
      </c>
      <c r="J163" t="s">
        <v>254</v>
      </c>
      <c r="K163" t="s">
        <v>74</v>
      </c>
      <c r="L163" t="s">
        <v>74</v>
      </c>
      <c r="M163" t="s">
        <v>78</v>
      </c>
      <c r="N163" t="s">
        <v>79</v>
      </c>
      <c r="O163" t="s">
        <v>74</v>
      </c>
      <c r="P163" t="s">
        <v>74</v>
      </c>
      <c r="Q163" t="s">
        <v>74</v>
      </c>
      <c r="R163" t="s">
        <v>74</v>
      </c>
      <c r="S163" t="s">
        <v>74</v>
      </c>
      <c r="T163" t="s">
        <v>74</v>
      </c>
      <c r="U163" t="s">
        <v>3138</v>
      </c>
      <c r="V163" t="s">
        <v>3139</v>
      </c>
      <c r="W163" t="s">
        <v>3140</v>
      </c>
      <c r="X163" t="s">
        <v>3141</v>
      </c>
      <c r="Y163" t="s">
        <v>3142</v>
      </c>
      <c r="Z163" t="s">
        <v>3143</v>
      </c>
      <c r="AA163" t="s">
        <v>3144</v>
      </c>
      <c r="AB163" t="s">
        <v>3145</v>
      </c>
      <c r="AC163" t="s">
        <v>3146</v>
      </c>
      <c r="AD163" t="s">
        <v>3147</v>
      </c>
      <c r="AE163" t="s">
        <v>3148</v>
      </c>
      <c r="AF163" t="s">
        <v>74</v>
      </c>
      <c r="AG163">
        <v>38</v>
      </c>
      <c r="AH163">
        <v>10</v>
      </c>
      <c r="AI163">
        <v>10</v>
      </c>
      <c r="AJ163">
        <v>0</v>
      </c>
      <c r="AK163">
        <v>28</v>
      </c>
      <c r="AL163" t="s">
        <v>120</v>
      </c>
      <c r="AM163" t="s">
        <v>121</v>
      </c>
      <c r="AN163" t="s">
        <v>122</v>
      </c>
      <c r="AO163" t="s">
        <v>265</v>
      </c>
      <c r="AP163" t="s">
        <v>266</v>
      </c>
      <c r="AQ163" t="s">
        <v>74</v>
      </c>
      <c r="AR163" t="s">
        <v>267</v>
      </c>
      <c r="AS163" t="s">
        <v>268</v>
      </c>
      <c r="AT163" t="s">
        <v>3149</v>
      </c>
      <c r="AU163">
        <v>2011</v>
      </c>
      <c r="AV163">
        <v>116</v>
      </c>
      <c r="AW163" t="s">
        <v>74</v>
      </c>
      <c r="AX163" t="s">
        <v>74</v>
      </c>
      <c r="AY163" t="s">
        <v>74</v>
      </c>
      <c r="AZ163" t="s">
        <v>74</v>
      </c>
      <c r="BA163" t="s">
        <v>74</v>
      </c>
      <c r="BB163" t="s">
        <v>74</v>
      </c>
      <c r="BC163" t="s">
        <v>74</v>
      </c>
      <c r="BD163" t="s">
        <v>3150</v>
      </c>
      <c r="BE163" t="s">
        <v>3151</v>
      </c>
      <c r="BF163" t="str">
        <f>HYPERLINK("http://dx.doi.org/10.1029/2010JC006606","http://dx.doi.org/10.1029/2010JC006606")</f>
        <v>http://dx.doi.org/10.1029/2010JC006606</v>
      </c>
      <c r="BG163" t="s">
        <v>74</v>
      </c>
      <c r="BH163" t="s">
        <v>74</v>
      </c>
      <c r="BI163">
        <v>19</v>
      </c>
      <c r="BJ163" t="s">
        <v>271</v>
      </c>
      <c r="BK163" t="s">
        <v>100</v>
      </c>
      <c r="BL163" t="s">
        <v>271</v>
      </c>
      <c r="BM163" t="s">
        <v>3152</v>
      </c>
      <c r="BN163" t="s">
        <v>74</v>
      </c>
      <c r="BO163" t="s">
        <v>368</v>
      </c>
      <c r="BP163" t="s">
        <v>74</v>
      </c>
      <c r="BQ163" t="s">
        <v>74</v>
      </c>
      <c r="BR163" t="s">
        <v>103</v>
      </c>
      <c r="BS163" t="s">
        <v>3153</v>
      </c>
      <c r="BT163" t="str">
        <f>HYPERLINK("https%3A%2F%2Fwww.webofscience.com%2Fwos%2Fwoscc%2Ffull-record%2FWOS:000293340300002","View Full Record in Web of Science")</f>
        <v>View Full Record in Web of Science</v>
      </c>
    </row>
    <row r="164" spans="1:72" x14ac:dyDescent="0.15">
      <c r="A164" t="s">
        <v>72</v>
      </c>
      <c r="B164" t="s">
        <v>3154</v>
      </c>
      <c r="C164" t="s">
        <v>74</v>
      </c>
      <c r="D164" t="s">
        <v>74</v>
      </c>
      <c r="E164" t="s">
        <v>74</v>
      </c>
      <c r="F164" t="s">
        <v>3155</v>
      </c>
      <c r="G164" t="s">
        <v>74</v>
      </c>
      <c r="H164" t="s">
        <v>74</v>
      </c>
      <c r="I164" t="s">
        <v>3156</v>
      </c>
      <c r="J164" t="s">
        <v>296</v>
      </c>
      <c r="K164" t="s">
        <v>74</v>
      </c>
      <c r="L164" t="s">
        <v>74</v>
      </c>
      <c r="M164" t="s">
        <v>78</v>
      </c>
      <c r="N164" t="s">
        <v>79</v>
      </c>
      <c r="O164" t="s">
        <v>74</v>
      </c>
      <c r="P164" t="s">
        <v>74</v>
      </c>
      <c r="Q164" t="s">
        <v>74</v>
      </c>
      <c r="R164" t="s">
        <v>74</v>
      </c>
      <c r="S164" t="s">
        <v>74</v>
      </c>
      <c r="T164" t="s">
        <v>3157</v>
      </c>
      <c r="U164" t="s">
        <v>3158</v>
      </c>
      <c r="V164" t="s">
        <v>3159</v>
      </c>
      <c r="W164" t="s">
        <v>3160</v>
      </c>
      <c r="X164" t="s">
        <v>3161</v>
      </c>
      <c r="Y164" t="s">
        <v>3162</v>
      </c>
      <c r="Z164" t="s">
        <v>3163</v>
      </c>
      <c r="AA164" t="s">
        <v>3164</v>
      </c>
      <c r="AB164" t="s">
        <v>74</v>
      </c>
      <c r="AC164" t="s">
        <v>3165</v>
      </c>
      <c r="AD164" t="s">
        <v>3165</v>
      </c>
      <c r="AE164" t="s">
        <v>3166</v>
      </c>
      <c r="AF164" t="s">
        <v>74</v>
      </c>
      <c r="AG164">
        <v>35</v>
      </c>
      <c r="AH164">
        <v>7</v>
      </c>
      <c r="AI164">
        <v>11</v>
      </c>
      <c r="AJ164">
        <v>0</v>
      </c>
      <c r="AK164">
        <v>51</v>
      </c>
      <c r="AL164" t="s">
        <v>2669</v>
      </c>
      <c r="AM164" t="s">
        <v>309</v>
      </c>
      <c r="AN164" t="s">
        <v>2670</v>
      </c>
      <c r="AO164" t="s">
        <v>311</v>
      </c>
      <c r="AP164" t="s">
        <v>74</v>
      </c>
      <c r="AQ164" t="s">
        <v>74</v>
      </c>
      <c r="AR164" t="s">
        <v>296</v>
      </c>
      <c r="AS164" t="s">
        <v>313</v>
      </c>
      <c r="AT164" t="s">
        <v>3167</v>
      </c>
      <c r="AU164">
        <v>2011</v>
      </c>
      <c r="AV164">
        <v>318</v>
      </c>
      <c r="AW164" t="s">
        <v>2154</v>
      </c>
      <c r="AX164" t="s">
        <v>74</v>
      </c>
      <c r="AY164" t="s">
        <v>74</v>
      </c>
      <c r="AZ164" t="s">
        <v>74</v>
      </c>
      <c r="BA164" t="s">
        <v>74</v>
      </c>
      <c r="BB164">
        <v>85</v>
      </c>
      <c r="BC164">
        <v>89</v>
      </c>
      <c r="BD164" t="s">
        <v>74</v>
      </c>
      <c r="BE164" t="s">
        <v>3168</v>
      </c>
      <c r="BF164" t="str">
        <f>HYPERLINK("http://dx.doi.org/10.1016/j.aquaculture.2011.03.030","http://dx.doi.org/10.1016/j.aquaculture.2011.03.030")</f>
        <v>http://dx.doi.org/10.1016/j.aquaculture.2011.03.030</v>
      </c>
      <c r="BG164" t="s">
        <v>74</v>
      </c>
      <c r="BH164" t="s">
        <v>74</v>
      </c>
      <c r="BI164">
        <v>5</v>
      </c>
      <c r="BJ164" t="s">
        <v>317</v>
      </c>
      <c r="BK164" t="s">
        <v>100</v>
      </c>
      <c r="BL164" t="s">
        <v>317</v>
      </c>
      <c r="BM164" t="s">
        <v>3169</v>
      </c>
      <c r="BN164" t="s">
        <v>74</v>
      </c>
      <c r="BO164" t="s">
        <v>74</v>
      </c>
      <c r="BP164" t="s">
        <v>74</v>
      </c>
      <c r="BQ164" t="s">
        <v>74</v>
      </c>
      <c r="BR164" t="s">
        <v>103</v>
      </c>
      <c r="BS164" t="s">
        <v>3170</v>
      </c>
      <c r="BT164" t="str">
        <f>HYPERLINK("https%3A%2F%2Fwww.webofscience.com%2Fwos%2Fwoscc%2Ffull-record%2FWOS:000292616000015","View Full Record in Web of Science")</f>
        <v>View Full Record in Web of Science</v>
      </c>
    </row>
    <row r="165" spans="1:72" x14ac:dyDescent="0.15">
      <c r="A165" t="s">
        <v>72</v>
      </c>
      <c r="B165" t="s">
        <v>3171</v>
      </c>
      <c r="C165" t="s">
        <v>74</v>
      </c>
      <c r="D165" t="s">
        <v>74</v>
      </c>
      <c r="E165" t="s">
        <v>74</v>
      </c>
      <c r="F165" t="s">
        <v>3172</v>
      </c>
      <c r="G165" t="s">
        <v>74</v>
      </c>
      <c r="H165" t="s">
        <v>74</v>
      </c>
      <c r="I165" t="s">
        <v>3173</v>
      </c>
      <c r="J165" t="s">
        <v>3174</v>
      </c>
      <c r="K165" t="s">
        <v>74</v>
      </c>
      <c r="L165" t="s">
        <v>74</v>
      </c>
      <c r="M165" t="s">
        <v>78</v>
      </c>
      <c r="N165" t="s">
        <v>79</v>
      </c>
      <c r="O165" t="s">
        <v>74</v>
      </c>
      <c r="P165" t="s">
        <v>74</v>
      </c>
      <c r="Q165" t="s">
        <v>74</v>
      </c>
      <c r="R165" t="s">
        <v>74</v>
      </c>
      <c r="S165" t="s">
        <v>74</v>
      </c>
      <c r="T165" t="s">
        <v>74</v>
      </c>
      <c r="U165" t="s">
        <v>3175</v>
      </c>
      <c r="V165" t="s">
        <v>3176</v>
      </c>
      <c r="W165" t="s">
        <v>3177</v>
      </c>
      <c r="X165" t="s">
        <v>3178</v>
      </c>
      <c r="Y165" t="s">
        <v>3179</v>
      </c>
      <c r="Z165" t="s">
        <v>3180</v>
      </c>
      <c r="AA165" t="s">
        <v>3181</v>
      </c>
      <c r="AB165" t="s">
        <v>3182</v>
      </c>
      <c r="AC165" t="s">
        <v>3183</v>
      </c>
      <c r="AD165" t="s">
        <v>3184</v>
      </c>
      <c r="AE165" t="s">
        <v>3185</v>
      </c>
      <c r="AF165" t="s">
        <v>74</v>
      </c>
      <c r="AG165">
        <v>113</v>
      </c>
      <c r="AH165">
        <v>11</v>
      </c>
      <c r="AI165">
        <v>13</v>
      </c>
      <c r="AJ165">
        <v>0</v>
      </c>
      <c r="AK165">
        <v>25</v>
      </c>
      <c r="AL165" t="s">
        <v>120</v>
      </c>
      <c r="AM165" t="s">
        <v>121</v>
      </c>
      <c r="AN165" t="s">
        <v>122</v>
      </c>
      <c r="AO165" t="s">
        <v>3186</v>
      </c>
      <c r="AP165" t="s">
        <v>74</v>
      </c>
      <c r="AQ165" t="s">
        <v>74</v>
      </c>
      <c r="AR165" t="s">
        <v>3187</v>
      </c>
      <c r="AS165" t="s">
        <v>3188</v>
      </c>
      <c r="AT165" t="s">
        <v>3167</v>
      </c>
      <c r="AU165">
        <v>2011</v>
      </c>
      <c r="AV165">
        <v>25</v>
      </c>
      <c r="AW165" t="s">
        <v>74</v>
      </c>
      <c r="AX165" t="s">
        <v>74</v>
      </c>
      <c r="AY165" t="s">
        <v>74</v>
      </c>
      <c r="AZ165" t="s">
        <v>74</v>
      </c>
      <c r="BA165" t="s">
        <v>74</v>
      </c>
      <c r="BB165" t="s">
        <v>74</v>
      </c>
      <c r="BC165" t="s">
        <v>74</v>
      </c>
      <c r="BD165" t="s">
        <v>3189</v>
      </c>
      <c r="BE165" t="s">
        <v>3190</v>
      </c>
      <c r="BF165" t="str">
        <f>HYPERLINK("http://dx.doi.org/10.1029/2010GB003824","http://dx.doi.org/10.1029/2010GB003824")</f>
        <v>http://dx.doi.org/10.1029/2010GB003824</v>
      </c>
      <c r="BG165" t="s">
        <v>74</v>
      </c>
      <c r="BH165" t="s">
        <v>74</v>
      </c>
      <c r="BI165">
        <v>16</v>
      </c>
      <c r="BJ165" t="s">
        <v>3191</v>
      </c>
      <c r="BK165" t="s">
        <v>100</v>
      </c>
      <c r="BL165" t="s">
        <v>3192</v>
      </c>
      <c r="BM165" t="s">
        <v>3193</v>
      </c>
      <c r="BN165" t="s">
        <v>74</v>
      </c>
      <c r="BO165" t="s">
        <v>3194</v>
      </c>
      <c r="BP165" t="s">
        <v>74</v>
      </c>
      <c r="BQ165" t="s">
        <v>74</v>
      </c>
      <c r="BR165" t="s">
        <v>103</v>
      </c>
      <c r="BS165" t="s">
        <v>3195</v>
      </c>
      <c r="BT165" t="str">
        <f>HYPERLINK("https%3A%2F%2Fwww.webofscience.com%2Fwos%2Fwoscc%2Ffull-record%2FWOS:000293340000001","View Full Record in Web of Science")</f>
        <v>View Full Record in Web of Science</v>
      </c>
    </row>
    <row r="166" spans="1:72" x14ac:dyDescent="0.15">
      <c r="A166" t="s">
        <v>72</v>
      </c>
      <c r="B166" t="s">
        <v>3196</v>
      </c>
      <c r="C166" t="s">
        <v>74</v>
      </c>
      <c r="D166" t="s">
        <v>74</v>
      </c>
      <c r="E166" t="s">
        <v>74</v>
      </c>
      <c r="F166" t="s">
        <v>3197</v>
      </c>
      <c r="G166" t="s">
        <v>74</v>
      </c>
      <c r="H166" t="s">
        <v>74</v>
      </c>
      <c r="I166" t="s">
        <v>3198</v>
      </c>
      <c r="J166" t="s">
        <v>230</v>
      </c>
      <c r="K166" t="s">
        <v>74</v>
      </c>
      <c r="L166" t="s">
        <v>74</v>
      </c>
      <c r="M166" t="s">
        <v>78</v>
      </c>
      <c r="N166" t="s">
        <v>79</v>
      </c>
      <c r="O166" t="s">
        <v>74</v>
      </c>
      <c r="P166" t="s">
        <v>74</v>
      </c>
      <c r="Q166" t="s">
        <v>74</v>
      </c>
      <c r="R166" t="s">
        <v>74</v>
      </c>
      <c r="S166" t="s">
        <v>74</v>
      </c>
      <c r="T166" t="s">
        <v>74</v>
      </c>
      <c r="U166" t="s">
        <v>3199</v>
      </c>
      <c r="V166" t="s">
        <v>3200</v>
      </c>
      <c r="W166" t="s">
        <v>3201</v>
      </c>
      <c r="X166" t="s">
        <v>2015</v>
      </c>
      <c r="Y166" t="s">
        <v>3202</v>
      </c>
      <c r="Z166" t="s">
        <v>3203</v>
      </c>
      <c r="AA166" t="s">
        <v>74</v>
      </c>
      <c r="AB166" t="s">
        <v>3204</v>
      </c>
      <c r="AC166" t="s">
        <v>3205</v>
      </c>
      <c r="AD166" t="s">
        <v>2005</v>
      </c>
      <c r="AE166" t="s">
        <v>74</v>
      </c>
      <c r="AF166" t="s">
        <v>74</v>
      </c>
      <c r="AG166">
        <v>48</v>
      </c>
      <c r="AH166">
        <v>36</v>
      </c>
      <c r="AI166">
        <v>40</v>
      </c>
      <c r="AJ166">
        <v>0</v>
      </c>
      <c r="AK166">
        <v>12</v>
      </c>
      <c r="AL166" t="s">
        <v>120</v>
      </c>
      <c r="AM166" t="s">
        <v>121</v>
      </c>
      <c r="AN166" t="s">
        <v>122</v>
      </c>
      <c r="AO166" t="s">
        <v>242</v>
      </c>
      <c r="AP166" t="s">
        <v>243</v>
      </c>
      <c r="AQ166" t="s">
        <v>74</v>
      </c>
      <c r="AR166" t="s">
        <v>244</v>
      </c>
      <c r="AS166" t="s">
        <v>245</v>
      </c>
      <c r="AT166" t="s">
        <v>3206</v>
      </c>
      <c r="AU166">
        <v>2011</v>
      </c>
      <c r="AV166">
        <v>116</v>
      </c>
      <c r="AW166" t="s">
        <v>74</v>
      </c>
      <c r="AX166" t="s">
        <v>74</v>
      </c>
      <c r="AY166" t="s">
        <v>74</v>
      </c>
      <c r="AZ166" t="s">
        <v>74</v>
      </c>
      <c r="BA166" t="s">
        <v>74</v>
      </c>
      <c r="BB166" t="s">
        <v>74</v>
      </c>
      <c r="BC166" t="s">
        <v>74</v>
      </c>
      <c r="BD166" t="s">
        <v>3207</v>
      </c>
      <c r="BE166" t="s">
        <v>3208</v>
      </c>
      <c r="BF166" t="str">
        <f>HYPERLINK("http://dx.doi.org/10.1029/2010JD015349","http://dx.doi.org/10.1029/2010JD015349")</f>
        <v>http://dx.doi.org/10.1029/2010JD015349</v>
      </c>
      <c r="BG166" t="s">
        <v>74</v>
      </c>
      <c r="BH166" t="s">
        <v>74</v>
      </c>
      <c r="BI166">
        <v>10</v>
      </c>
      <c r="BJ166" t="s">
        <v>248</v>
      </c>
      <c r="BK166" t="s">
        <v>100</v>
      </c>
      <c r="BL166" t="s">
        <v>248</v>
      </c>
      <c r="BM166" t="s">
        <v>3209</v>
      </c>
      <c r="BN166" t="s">
        <v>74</v>
      </c>
      <c r="BO166" t="s">
        <v>273</v>
      </c>
      <c r="BP166" t="s">
        <v>74</v>
      </c>
      <c r="BQ166" t="s">
        <v>74</v>
      </c>
      <c r="BR166" t="s">
        <v>103</v>
      </c>
      <c r="BS166" t="s">
        <v>3210</v>
      </c>
      <c r="BT166" t="str">
        <f>HYPERLINK("https%3A%2F%2Fwww.webofscience.com%2Fwos%2Fwoscc%2Ffull-record%2FWOS:000293350600001","View Full Record in Web of Science")</f>
        <v>View Full Record in Web of Science</v>
      </c>
    </row>
    <row r="167" spans="1:72" x14ac:dyDescent="0.15">
      <c r="A167" t="s">
        <v>72</v>
      </c>
      <c r="B167" t="s">
        <v>3211</v>
      </c>
      <c r="C167" t="s">
        <v>74</v>
      </c>
      <c r="D167" t="s">
        <v>74</v>
      </c>
      <c r="E167" t="s">
        <v>74</v>
      </c>
      <c r="F167" t="s">
        <v>3212</v>
      </c>
      <c r="G167" t="s">
        <v>74</v>
      </c>
      <c r="H167" t="s">
        <v>74</v>
      </c>
      <c r="I167" t="s">
        <v>3213</v>
      </c>
      <c r="J167" t="s">
        <v>3214</v>
      </c>
      <c r="K167" t="s">
        <v>74</v>
      </c>
      <c r="L167" t="s">
        <v>74</v>
      </c>
      <c r="M167" t="s">
        <v>78</v>
      </c>
      <c r="N167" t="s">
        <v>79</v>
      </c>
      <c r="O167" t="s">
        <v>74</v>
      </c>
      <c r="P167" t="s">
        <v>74</v>
      </c>
      <c r="Q167" t="s">
        <v>74</v>
      </c>
      <c r="R167" t="s">
        <v>74</v>
      </c>
      <c r="S167" t="s">
        <v>74</v>
      </c>
      <c r="T167" t="s">
        <v>3215</v>
      </c>
      <c r="U167" t="s">
        <v>3216</v>
      </c>
      <c r="V167" t="s">
        <v>3217</v>
      </c>
      <c r="W167" t="s">
        <v>3218</v>
      </c>
      <c r="X167" t="s">
        <v>3219</v>
      </c>
      <c r="Y167" t="s">
        <v>3220</v>
      </c>
      <c r="Z167" t="s">
        <v>3221</v>
      </c>
      <c r="AA167" t="s">
        <v>74</v>
      </c>
      <c r="AB167" t="s">
        <v>74</v>
      </c>
      <c r="AC167" t="s">
        <v>3222</v>
      </c>
      <c r="AD167" t="s">
        <v>3223</v>
      </c>
      <c r="AE167" t="s">
        <v>3224</v>
      </c>
      <c r="AF167" t="s">
        <v>74</v>
      </c>
      <c r="AG167">
        <v>41</v>
      </c>
      <c r="AH167">
        <v>9</v>
      </c>
      <c r="AI167">
        <v>9</v>
      </c>
      <c r="AJ167">
        <v>0</v>
      </c>
      <c r="AK167">
        <v>3</v>
      </c>
      <c r="AL167" t="s">
        <v>3225</v>
      </c>
      <c r="AM167" t="s">
        <v>3226</v>
      </c>
      <c r="AN167" t="s">
        <v>3227</v>
      </c>
      <c r="AO167" t="s">
        <v>3228</v>
      </c>
      <c r="AP167" t="s">
        <v>3229</v>
      </c>
      <c r="AQ167" t="s">
        <v>74</v>
      </c>
      <c r="AR167" t="s">
        <v>3214</v>
      </c>
      <c r="AS167" t="s">
        <v>3230</v>
      </c>
      <c r="AT167" t="s">
        <v>3206</v>
      </c>
      <c r="AU167">
        <v>2011</v>
      </c>
      <c r="AV167" t="s">
        <v>74</v>
      </c>
      <c r="AW167">
        <v>2976</v>
      </c>
      <c r="AX167" t="s">
        <v>74</v>
      </c>
      <c r="AY167" t="s">
        <v>74</v>
      </c>
      <c r="AZ167" t="s">
        <v>74</v>
      </c>
      <c r="BA167" t="s">
        <v>74</v>
      </c>
      <c r="BB167">
        <v>32</v>
      </c>
      <c r="BC167">
        <v>54</v>
      </c>
      <c r="BD167" t="s">
        <v>74</v>
      </c>
      <c r="BE167" t="s">
        <v>3231</v>
      </c>
      <c r="BF167" t="str">
        <f>HYPERLINK("http://dx.doi.org/10.11646/zootaxa.2976.1.3","http://dx.doi.org/10.11646/zootaxa.2976.1.3")</f>
        <v>http://dx.doi.org/10.11646/zootaxa.2976.1.3</v>
      </c>
      <c r="BG167" t="s">
        <v>74</v>
      </c>
      <c r="BH167" t="s">
        <v>74</v>
      </c>
      <c r="BI167">
        <v>23</v>
      </c>
      <c r="BJ167" t="s">
        <v>3232</v>
      </c>
      <c r="BK167" t="s">
        <v>100</v>
      </c>
      <c r="BL167" t="s">
        <v>3232</v>
      </c>
      <c r="BM167" t="s">
        <v>3233</v>
      </c>
      <c r="BN167" t="s">
        <v>74</v>
      </c>
      <c r="BO167" t="s">
        <v>74</v>
      </c>
      <c r="BP167" t="s">
        <v>74</v>
      </c>
      <c r="BQ167" t="s">
        <v>74</v>
      </c>
      <c r="BR167" t="s">
        <v>103</v>
      </c>
      <c r="BS167" t="s">
        <v>3234</v>
      </c>
      <c r="BT167" t="str">
        <f>HYPERLINK("https%3A%2F%2Fwww.webofscience.com%2Fwos%2Fwoscc%2Ffull-record%2FWOS:000293516100003","View Full Record in Web of Science")</f>
        <v>View Full Record in Web of Science</v>
      </c>
    </row>
    <row r="168" spans="1:72" x14ac:dyDescent="0.15">
      <c r="A168" t="s">
        <v>72</v>
      </c>
      <c r="B168" t="s">
        <v>3235</v>
      </c>
      <c r="C168" t="s">
        <v>74</v>
      </c>
      <c r="D168" t="s">
        <v>74</v>
      </c>
      <c r="E168" t="s">
        <v>74</v>
      </c>
      <c r="F168" t="s">
        <v>3236</v>
      </c>
      <c r="G168" t="s">
        <v>74</v>
      </c>
      <c r="H168" t="s">
        <v>74</v>
      </c>
      <c r="I168" t="s">
        <v>3237</v>
      </c>
      <c r="J168" t="s">
        <v>3214</v>
      </c>
      <c r="K168" t="s">
        <v>74</v>
      </c>
      <c r="L168" t="s">
        <v>74</v>
      </c>
      <c r="M168" t="s">
        <v>78</v>
      </c>
      <c r="N168" t="s">
        <v>79</v>
      </c>
      <c r="O168" t="s">
        <v>74</v>
      </c>
      <c r="P168" t="s">
        <v>74</v>
      </c>
      <c r="Q168" t="s">
        <v>74</v>
      </c>
      <c r="R168" t="s">
        <v>74</v>
      </c>
      <c r="S168" t="s">
        <v>74</v>
      </c>
      <c r="T168" t="s">
        <v>3238</v>
      </c>
      <c r="U168" t="s">
        <v>3239</v>
      </c>
      <c r="V168" t="s">
        <v>3240</v>
      </c>
      <c r="W168" t="s">
        <v>3241</v>
      </c>
      <c r="X168" t="s">
        <v>3242</v>
      </c>
      <c r="Y168" t="s">
        <v>3243</v>
      </c>
      <c r="Z168" t="s">
        <v>3244</v>
      </c>
      <c r="AA168" t="s">
        <v>74</v>
      </c>
      <c r="AB168" t="s">
        <v>74</v>
      </c>
      <c r="AC168" t="s">
        <v>3245</v>
      </c>
      <c r="AD168" t="s">
        <v>3246</v>
      </c>
      <c r="AE168" t="s">
        <v>3247</v>
      </c>
      <c r="AF168" t="s">
        <v>74</v>
      </c>
      <c r="AG168">
        <v>17</v>
      </c>
      <c r="AH168">
        <v>16</v>
      </c>
      <c r="AI168">
        <v>17</v>
      </c>
      <c r="AJ168">
        <v>0</v>
      </c>
      <c r="AK168">
        <v>10</v>
      </c>
      <c r="AL168" t="s">
        <v>3225</v>
      </c>
      <c r="AM168" t="s">
        <v>3226</v>
      </c>
      <c r="AN168" t="s">
        <v>3227</v>
      </c>
      <c r="AO168" t="s">
        <v>3228</v>
      </c>
      <c r="AP168" t="s">
        <v>3229</v>
      </c>
      <c r="AQ168" t="s">
        <v>74</v>
      </c>
      <c r="AR168" t="s">
        <v>3214</v>
      </c>
      <c r="AS168" t="s">
        <v>3230</v>
      </c>
      <c r="AT168" t="s">
        <v>3206</v>
      </c>
      <c r="AU168">
        <v>2011</v>
      </c>
      <c r="AV168" t="s">
        <v>74</v>
      </c>
      <c r="AW168">
        <v>2976</v>
      </c>
      <c r="AX168" t="s">
        <v>74</v>
      </c>
      <c r="AY168" t="s">
        <v>74</v>
      </c>
      <c r="AZ168" t="s">
        <v>74</v>
      </c>
      <c r="BA168" t="s">
        <v>74</v>
      </c>
      <c r="BB168">
        <v>55</v>
      </c>
      <c r="BC168">
        <v>68</v>
      </c>
      <c r="BD168" t="s">
        <v>74</v>
      </c>
      <c r="BE168" t="s">
        <v>74</v>
      </c>
      <c r="BF168" t="s">
        <v>74</v>
      </c>
      <c r="BG168" t="s">
        <v>74</v>
      </c>
      <c r="BH168" t="s">
        <v>74</v>
      </c>
      <c r="BI168">
        <v>14</v>
      </c>
      <c r="BJ168" t="s">
        <v>3232</v>
      </c>
      <c r="BK168" t="s">
        <v>100</v>
      </c>
      <c r="BL168" t="s">
        <v>3232</v>
      </c>
      <c r="BM168" t="s">
        <v>3233</v>
      </c>
      <c r="BN168" t="s">
        <v>74</v>
      </c>
      <c r="BO168" t="s">
        <v>74</v>
      </c>
      <c r="BP168" t="s">
        <v>74</v>
      </c>
      <c r="BQ168" t="s">
        <v>74</v>
      </c>
      <c r="BR168" t="s">
        <v>103</v>
      </c>
      <c r="BS168" t="s">
        <v>3248</v>
      </c>
      <c r="BT168" t="str">
        <f>HYPERLINK("https%3A%2F%2Fwww.webofscience.com%2Fwos%2Fwoscc%2Ffull-record%2FWOS:000293516100004","View Full Record in Web of Science")</f>
        <v>View Full Record in Web of Science</v>
      </c>
    </row>
    <row r="169" spans="1:72" x14ac:dyDescent="0.15">
      <c r="A169" t="s">
        <v>72</v>
      </c>
      <c r="B169" t="s">
        <v>3249</v>
      </c>
      <c r="C169" t="s">
        <v>74</v>
      </c>
      <c r="D169" t="s">
        <v>74</v>
      </c>
      <c r="E169" t="s">
        <v>74</v>
      </c>
      <c r="F169" t="s">
        <v>3250</v>
      </c>
      <c r="G169" t="s">
        <v>74</v>
      </c>
      <c r="H169" t="s">
        <v>74</v>
      </c>
      <c r="I169" t="s">
        <v>3251</v>
      </c>
      <c r="J169" t="s">
        <v>3252</v>
      </c>
      <c r="K169" t="s">
        <v>74</v>
      </c>
      <c r="L169" t="s">
        <v>74</v>
      </c>
      <c r="M169" t="s">
        <v>78</v>
      </c>
      <c r="N169" t="s">
        <v>79</v>
      </c>
      <c r="O169" t="s">
        <v>74</v>
      </c>
      <c r="P169" t="s">
        <v>74</v>
      </c>
      <c r="Q169" t="s">
        <v>74</v>
      </c>
      <c r="R169" t="s">
        <v>74</v>
      </c>
      <c r="S169" t="s">
        <v>74</v>
      </c>
      <c r="T169" t="s">
        <v>3253</v>
      </c>
      <c r="U169" t="s">
        <v>3254</v>
      </c>
      <c r="V169" t="s">
        <v>3255</v>
      </c>
      <c r="W169" t="s">
        <v>3256</v>
      </c>
      <c r="X169" t="s">
        <v>3257</v>
      </c>
      <c r="Y169" t="s">
        <v>3258</v>
      </c>
      <c r="Z169" t="s">
        <v>3259</v>
      </c>
      <c r="AA169" t="s">
        <v>74</v>
      </c>
      <c r="AB169" t="s">
        <v>74</v>
      </c>
      <c r="AC169" t="s">
        <v>3260</v>
      </c>
      <c r="AD169" t="s">
        <v>3261</v>
      </c>
      <c r="AE169" t="s">
        <v>3262</v>
      </c>
      <c r="AF169" t="s">
        <v>74</v>
      </c>
      <c r="AG169">
        <v>43</v>
      </c>
      <c r="AH169">
        <v>0</v>
      </c>
      <c r="AI169">
        <v>2</v>
      </c>
      <c r="AJ169">
        <v>0</v>
      </c>
      <c r="AK169">
        <v>6</v>
      </c>
      <c r="AL169" t="s">
        <v>3263</v>
      </c>
      <c r="AM169" t="s">
        <v>3264</v>
      </c>
      <c r="AN169" t="s">
        <v>3265</v>
      </c>
      <c r="AO169" t="s">
        <v>3266</v>
      </c>
      <c r="AP169" t="s">
        <v>74</v>
      </c>
      <c r="AQ169" t="s">
        <v>74</v>
      </c>
      <c r="AR169" t="s">
        <v>3267</v>
      </c>
      <c r="AS169" t="s">
        <v>3268</v>
      </c>
      <c r="AT169" t="s">
        <v>3269</v>
      </c>
      <c r="AU169">
        <v>2011</v>
      </c>
      <c r="AV169">
        <v>10</v>
      </c>
      <c r="AW169">
        <v>38</v>
      </c>
      <c r="AX169" t="s">
        <v>74</v>
      </c>
      <c r="AY169" t="s">
        <v>74</v>
      </c>
      <c r="AZ169" t="s">
        <v>74</v>
      </c>
      <c r="BA169" t="s">
        <v>74</v>
      </c>
      <c r="BB169">
        <v>7416</v>
      </c>
      <c r="BC169">
        <v>7426</v>
      </c>
      <c r="BD169" t="s">
        <v>74</v>
      </c>
      <c r="BE169" t="s">
        <v>74</v>
      </c>
      <c r="BF169" t="s">
        <v>74</v>
      </c>
      <c r="BG169" t="s">
        <v>74</v>
      </c>
      <c r="BH169" t="s">
        <v>74</v>
      </c>
      <c r="BI169">
        <v>11</v>
      </c>
      <c r="BJ169" t="s">
        <v>3270</v>
      </c>
      <c r="BK169" t="s">
        <v>100</v>
      </c>
      <c r="BL169" t="s">
        <v>3270</v>
      </c>
      <c r="BM169" t="s">
        <v>3271</v>
      </c>
      <c r="BN169" t="s">
        <v>74</v>
      </c>
      <c r="BO169" t="s">
        <v>74</v>
      </c>
      <c r="BP169" t="s">
        <v>74</v>
      </c>
      <c r="BQ169" t="s">
        <v>74</v>
      </c>
      <c r="BR169" t="s">
        <v>103</v>
      </c>
      <c r="BS169" t="s">
        <v>3272</v>
      </c>
      <c r="BT169" t="str">
        <f>HYPERLINK("https%3A%2F%2Fwww.webofscience.com%2Fwos%2Fwoscc%2Ffull-record%2FWOS:000294674600014","View Full Record in Web of Science")</f>
        <v>View Full Record in Web of Science</v>
      </c>
    </row>
    <row r="170" spans="1:72" x14ac:dyDescent="0.15">
      <c r="A170" t="s">
        <v>72</v>
      </c>
      <c r="B170" t="s">
        <v>3273</v>
      </c>
      <c r="C170" t="s">
        <v>74</v>
      </c>
      <c r="D170" t="s">
        <v>74</v>
      </c>
      <c r="E170" t="s">
        <v>74</v>
      </c>
      <c r="F170" t="s">
        <v>3274</v>
      </c>
      <c r="G170" t="s">
        <v>74</v>
      </c>
      <c r="H170" t="s">
        <v>74</v>
      </c>
      <c r="I170" t="s">
        <v>3275</v>
      </c>
      <c r="J170" t="s">
        <v>254</v>
      </c>
      <c r="K170" t="s">
        <v>74</v>
      </c>
      <c r="L170" t="s">
        <v>74</v>
      </c>
      <c r="M170" t="s">
        <v>78</v>
      </c>
      <c r="N170" t="s">
        <v>79</v>
      </c>
      <c r="O170" t="s">
        <v>74</v>
      </c>
      <c r="P170" t="s">
        <v>74</v>
      </c>
      <c r="Q170" t="s">
        <v>74</v>
      </c>
      <c r="R170" t="s">
        <v>74</v>
      </c>
      <c r="S170" t="s">
        <v>74</v>
      </c>
      <c r="T170" t="s">
        <v>74</v>
      </c>
      <c r="U170" t="s">
        <v>3276</v>
      </c>
      <c r="V170" t="s">
        <v>3277</v>
      </c>
      <c r="W170" t="s">
        <v>3278</v>
      </c>
      <c r="X170" t="s">
        <v>3279</v>
      </c>
      <c r="Y170" t="s">
        <v>3280</v>
      </c>
      <c r="Z170" t="s">
        <v>3281</v>
      </c>
      <c r="AA170" t="s">
        <v>3282</v>
      </c>
      <c r="AB170" t="s">
        <v>3283</v>
      </c>
      <c r="AC170" t="s">
        <v>3284</v>
      </c>
      <c r="AD170" t="s">
        <v>3285</v>
      </c>
      <c r="AE170" t="s">
        <v>3286</v>
      </c>
      <c r="AF170" t="s">
        <v>74</v>
      </c>
      <c r="AG170">
        <v>67</v>
      </c>
      <c r="AH170">
        <v>88</v>
      </c>
      <c r="AI170">
        <v>103</v>
      </c>
      <c r="AJ170">
        <v>2</v>
      </c>
      <c r="AK170">
        <v>21</v>
      </c>
      <c r="AL170" t="s">
        <v>120</v>
      </c>
      <c r="AM170" t="s">
        <v>121</v>
      </c>
      <c r="AN170" t="s">
        <v>122</v>
      </c>
      <c r="AO170" t="s">
        <v>265</v>
      </c>
      <c r="AP170" t="s">
        <v>266</v>
      </c>
      <c r="AQ170" t="s">
        <v>74</v>
      </c>
      <c r="AR170" t="s">
        <v>267</v>
      </c>
      <c r="AS170" t="s">
        <v>268</v>
      </c>
      <c r="AT170" t="s">
        <v>3287</v>
      </c>
      <c r="AU170">
        <v>2011</v>
      </c>
      <c r="AV170">
        <v>116</v>
      </c>
      <c r="AW170" t="s">
        <v>74</v>
      </c>
      <c r="AX170" t="s">
        <v>74</v>
      </c>
      <c r="AY170" t="s">
        <v>74</v>
      </c>
      <c r="AZ170" t="s">
        <v>74</v>
      </c>
      <c r="BA170" t="s">
        <v>74</v>
      </c>
      <c r="BB170" t="s">
        <v>74</v>
      </c>
      <c r="BC170" t="s">
        <v>74</v>
      </c>
      <c r="BD170" t="s">
        <v>3288</v>
      </c>
      <c r="BE170" t="s">
        <v>3289</v>
      </c>
      <c r="BF170" t="str">
        <f>HYPERLINK("http://dx.doi.org/10.1029/2010JC006878","http://dx.doi.org/10.1029/2010JC006878")</f>
        <v>http://dx.doi.org/10.1029/2010JC006878</v>
      </c>
      <c r="BG170" t="s">
        <v>74</v>
      </c>
      <c r="BH170" t="s">
        <v>74</v>
      </c>
      <c r="BI170">
        <v>14</v>
      </c>
      <c r="BJ170" t="s">
        <v>271</v>
      </c>
      <c r="BK170" t="s">
        <v>100</v>
      </c>
      <c r="BL170" t="s">
        <v>271</v>
      </c>
      <c r="BM170" t="s">
        <v>3290</v>
      </c>
      <c r="BN170" t="s">
        <v>74</v>
      </c>
      <c r="BO170" t="s">
        <v>152</v>
      </c>
      <c r="BP170" t="s">
        <v>74</v>
      </c>
      <c r="BQ170" t="s">
        <v>74</v>
      </c>
      <c r="BR170" t="s">
        <v>103</v>
      </c>
      <c r="BS170" t="s">
        <v>3291</v>
      </c>
      <c r="BT170" t="str">
        <f>HYPERLINK("https%3A%2F%2Fwww.webofscience.com%2Fwos%2Fwoscc%2Ffull-record%2FWOS:000293089700001","View Full Record in Web of Science")</f>
        <v>View Full Record in Web of Science</v>
      </c>
    </row>
    <row r="171" spans="1:72" x14ac:dyDescent="0.15">
      <c r="A171" t="s">
        <v>72</v>
      </c>
      <c r="B171" t="s">
        <v>3292</v>
      </c>
      <c r="C171" t="s">
        <v>74</v>
      </c>
      <c r="D171" t="s">
        <v>74</v>
      </c>
      <c r="E171" t="s">
        <v>74</v>
      </c>
      <c r="F171" t="s">
        <v>3293</v>
      </c>
      <c r="G171" t="s">
        <v>74</v>
      </c>
      <c r="H171" t="s">
        <v>74</v>
      </c>
      <c r="I171" t="s">
        <v>3294</v>
      </c>
      <c r="J171" t="s">
        <v>3295</v>
      </c>
      <c r="K171" t="s">
        <v>74</v>
      </c>
      <c r="L171" t="s">
        <v>74</v>
      </c>
      <c r="M171" t="s">
        <v>78</v>
      </c>
      <c r="N171" t="s">
        <v>79</v>
      </c>
      <c r="O171" t="s">
        <v>74</v>
      </c>
      <c r="P171" t="s">
        <v>74</v>
      </c>
      <c r="Q171" t="s">
        <v>74</v>
      </c>
      <c r="R171" t="s">
        <v>74</v>
      </c>
      <c r="S171" t="s">
        <v>74</v>
      </c>
      <c r="T171" t="s">
        <v>3296</v>
      </c>
      <c r="U171" t="s">
        <v>3297</v>
      </c>
      <c r="V171" t="s">
        <v>3298</v>
      </c>
      <c r="W171" t="s">
        <v>3299</v>
      </c>
      <c r="X171" t="s">
        <v>3300</v>
      </c>
      <c r="Y171" t="s">
        <v>3301</v>
      </c>
      <c r="Z171" t="s">
        <v>3302</v>
      </c>
      <c r="AA171" t="s">
        <v>3303</v>
      </c>
      <c r="AB171" t="s">
        <v>3304</v>
      </c>
      <c r="AC171" t="s">
        <v>3305</v>
      </c>
      <c r="AD171" t="s">
        <v>3306</v>
      </c>
      <c r="AE171" t="s">
        <v>3307</v>
      </c>
      <c r="AF171" t="s">
        <v>74</v>
      </c>
      <c r="AG171">
        <v>53</v>
      </c>
      <c r="AH171">
        <v>22</v>
      </c>
      <c r="AI171">
        <v>28</v>
      </c>
      <c r="AJ171">
        <v>1</v>
      </c>
      <c r="AK171">
        <v>39</v>
      </c>
      <c r="AL171" t="s">
        <v>2669</v>
      </c>
      <c r="AM171" t="s">
        <v>309</v>
      </c>
      <c r="AN171" t="s">
        <v>2670</v>
      </c>
      <c r="AO171" t="s">
        <v>3308</v>
      </c>
      <c r="AP171" t="s">
        <v>74</v>
      </c>
      <c r="AQ171" t="s">
        <v>74</v>
      </c>
      <c r="AR171" t="s">
        <v>3309</v>
      </c>
      <c r="AS171" t="s">
        <v>3310</v>
      </c>
      <c r="AT171" t="s">
        <v>3311</v>
      </c>
      <c r="AU171">
        <v>2011</v>
      </c>
      <c r="AV171">
        <v>286</v>
      </c>
      <c r="AW171" t="s">
        <v>315</v>
      </c>
      <c r="AX171" t="s">
        <v>74</v>
      </c>
      <c r="AY171" t="s">
        <v>74</v>
      </c>
      <c r="AZ171" t="s">
        <v>74</v>
      </c>
      <c r="BA171" t="s">
        <v>74</v>
      </c>
      <c r="BB171">
        <v>207</v>
      </c>
      <c r="BC171">
        <v>221</v>
      </c>
      <c r="BD171" t="s">
        <v>74</v>
      </c>
      <c r="BE171" t="s">
        <v>3312</v>
      </c>
      <c r="BF171" t="str">
        <f>HYPERLINK("http://dx.doi.org/10.1016/j.chemgeo.2011.05.006","http://dx.doi.org/10.1016/j.chemgeo.2011.05.006")</f>
        <v>http://dx.doi.org/10.1016/j.chemgeo.2011.05.006</v>
      </c>
      <c r="BG171" t="s">
        <v>74</v>
      </c>
      <c r="BH171" t="s">
        <v>74</v>
      </c>
      <c r="BI171">
        <v>15</v>
      </c>
      <c r="BJ171" t="s">
        <v>488</v>
      </c>
      <c r="BK171" t="s">
        <v>100</v>
      </c>
      <c r="BL171" t="s">
        <v>488</v>
      </c>
      <c r="BM171" t="s">
        <v>3313</v>
      </c>
      <c r="BN171" t="s">
        <v>74</v>
      </c>
      <c r="BO171" t="s">
        <v>74</v>
      </c>
      <c r="BP171" t="s">
        <v>74</v>
      </c>
      <c r="BQ171" t="s">
        <v>74</v>
      </c>
      <c r="BR171" t="s">
        <v>103</v>
      </c>
      <c r="BS171" t="s">
        <v>3314</v>
      </c>
      <c r="BT171" t="str">
        <f>HYPERLINK("https%3A%2F%2Fwww.webofscience.com%2Fwos%2Fwoscc%2Ffull-record%2FWOS:000293317300013","View Full Record in Web of Science")</f>
        <v>View Full Record in Web of Science</v>
      </c>
    </row>
    <row r="172" spans="1:72" x14ac:dyDescent="0.15">
      <c r="A172" t="s">
        <v>72</v>
      </c>
      <c r="B172" t="s">
        <v>3315</v>
      </c>
      <c r="C172" t="s">
        <v>74</v>
      </c>
      <c r="D172" t="s">
        <v>74</v>
      </c>
      <c r="E172" t="s">
        <v>74</v>
      </c>
      <c r="F172" t="s">
        <v>3316</v>
      </c>
      <c r="G172" t="s">
        <v>74</v>
      </c>
      <c r="H172" t="s">
        <v>74</v>
      </c>
      <c r="I172" t="s">
        <v>3317</v>
      </c>
      <c r="J172" t="s">
        <v>3115</v>
      </c>
      <c r="K172" t="s">
        <v>74</v>
      </c>
      <c r="L172" t="s">
        <v>74</v>
      </c>
      <c r="M172" t="s">
        <v>78</v>
      </c>
      <c r="N172" t="s">
        <v>3318</v>
      </c>
      <c r="O172" t="s">
        <v>74</v>
      </c>
      <c r="P172" t="s">
        <v>74</v>
      </c>
      <c r="Q172" t="s">
        <v>74</v>
      </c>
      <c r="R172" t="s">
        <v>74</v>
      </c>
      <c r="S172" t="s">
        <v>74</v>
      </c>
      <c r="T172" t="s">
        <v>74</v>
      </c>
      <c r="U172" t="s">
        <v>74</v>
      </c>
      <c r="V172" t="s">
        <v>74</v>
      </c>
      <c r="W172" t="s">
        <v>74</v>
      </c>
      <c r="X172" t="s">
        <v>74</v>
      </c>
      <c r="Y172" t="s">
        <v>74</v>
      </c>
      <c r="Z172" t="s">
        <v>74</v>
      </c>
      <c r="AA172" t="s">
        <v>74</v>
      </c>
      <c r="AB172" t="s">
        <v>74</v>
      </c>
      <c r="AC172" t="s">
        <v>74</v>
      </c>
      <c r="AD172" t="s">
        <v>74</v>
      </c>
      <c r="AE172" t="s">
        <v>74</v>
      </c>
      <c r="AF172" t="s">
        <v>74</v>
      </c>
      <c r="AG172">
        <v>0</v>
      </c>
      <c r="AH172">
        <v>0</v>
      </c>
      <c r="AI172">
        <v>0</v>
      </c>
      <c r="AJ172">
        <v>0</v>
      </c>
      <c r="AK172">
        <v>0</v>
      </c>
      <c r="AL172" t="s">
        <v>3127</v>
      </c>
      <c r="AM172" t="s">
        <v>121</v>
      </c>
      <c r="AN172" t="s">
        <v>3128</v>
      </c>
      <c r="AO172" t="s">
        <v>3129</v>
      </c>
      <c r="AP172" t="s">
        <v>74</v>
      </c>
      <c r="AQ172" t="s">
        <v>74</v>
      </c>
      <c r="AR172" t="s">
        <v>3115</v>
      </c>
      <c r="AS172" t="s">
        <v>3131</v>
      </c>
      <c r="AT172" t="s">
        <v>3311</v>
      </c>
      <c r="AU172">
        <v>2011</v>
      </c>
      <c r="AV172">
        <v>333</v>
      </c>
      <c r="AW172">
        <v>6041</v>
      </c>
      <c r="AX172" t="s">
        <v>74</v>
      </c>
      <c r="AY172" t="s">
        <v>74</v>
      </c>
      <c r="AZ172" t="s">
        <v>74</v>
      </c>
      <c r="BA172" t="s">
        <v>74</v>
      </c>
      <c r="BB172">
        <v>401</v>
      </c>
      <c r="BC172">
        <v>401</v>
      </c>
      <c r="BD172" t="s">
        <v>74</v>
      </c>
      <c r="BE172" t="s">
        <v>3319</v>
      </c>
      <c r="BF172" t="str">
        <f>HYPERLINK("http://dx.doi.org/10.1126/science.333.6041.401","http://dx.doi.org/10.1126/science.333.6041.401")</f>
        <v>http://dx.doi.org/10.1126/science.333.6041.401</v>
      </c>
      <c r="BG172" t="s">
        <v>74</v>
      </c>
      <c r="BH172" t="s">
        <v>74</v>
      </c>
      <c r="BI172">
        <v>1</v>
      </c>
      <c r="BJ172" t="s">
        <v>177</v>
      </c>
      <c r="BK172" t="s">
        <v>100</v>
      </c>
      <c r="BL172" t="s">
        <v>178</v>
      </c>
      <c r="BM172" t="s">
        <v>3320</v>
      </c>
      <c r="BN172">
        <v>21778376</v>
      </c>
      <c r="BO172" t="s">
        <v>74</v>
      </c>
      <c r="BP172" t="s">
        <v>74</v>
      </c>
      <c r="BQ172" t="s">
        <v>74</v>
      </c>
      <c r="BR172" t="s">
        <v>103</v>
      </c>
      <c r="BS172" t="s">
        <v>3321</v>
      </c>
      <c r="BT172" t="str">
        <f>HYPERLINK("https%3A%2F%2Fwww.webofscience.com%2Fwos%2Fwoscc%2Ffull-record%2FWOS:000292959600016","View Full Record in Web of Science")</f>
        <v>View Full Record in Web of Science</v>
      </c>
    </row>
    <row r="173" spans="1:72" x14ac:dyDescent="0.15">
      <c r="A173" t="s">
        <v>72</v>
      </c>
      <c r="B173" t="s">
        <v>3322</v>
      </c>
      <c r="C173" t="s">
        <v>74</v>
      </c>
      <c r="D173" t="s">
        <v>74</v>
      </c>
      <c r="E173" t="s">
        <v>74</v>
      </c>
      <c r="F173" t="s">
        <v>3323</v>
      </c>
      <c r="G173" t="s">
        <v>74</v>
      </c>
      <c r="H173" t="s">
        <v>74</v>
      </c>
      <c r="I173" t="s">
        <v>3324</v>
      </c>
      <c r="J173" t="s">
        <v>157</v>
      </c>
      <c r="K173" t="s">
        <v>74</v>
      </c>
      <c r="L173" t="s">
        <v>74</v>
      </c>
      <c r="M173" t="s">
        <v>78</v>
      </c>
      <c r="N173" t="s">
        <v>79</v>
      </c>
      <c r="O173" t="s">
        <v>74</v>
      </c>
      <c r="P173" t="s">
        <v>74</v>
      </c>
      <c r="Q173" t="s">
        <v>74</v>
      </c>
      <c r="R173" t="s">
        <v>74</v>
      </c>
      <c r="S173" t="s">
        <v>74</v>
      </c>
      <c r="T173" t="s">
        <v>74</v>
      </c>
      <c r="U173" t="s">
        <v>3325</v>
      </c>
      <c r="V173" t="s">
        <v>3326</v>
      </c>
      <c r="W173" t="s">
        <v>3327</v>
      </c>
      <c r="X173" t="s">
        <v>3328</v>
      </c>
      <c r="Y173" t="s">
        <v>3329</v>
      </c>
      <c r="Z173" t="s">
        <v>3330</v>
      </c>
      <c r="AA173" t="s">
        <v>74</v>
      </c>
      <c r="AB173" t="s">
        <v>74</v>
      </c>
      <c r="AC173" t="s">
        <v>74</v>
      </c>
      <c r="AD173" t="s">
        <v>74</v>
      </c>
      <c r="AE173" t="s">
        <v>74</v>
      </c>
      <c r="AF173" t="s">
        <v>74</v>
      </c>
      <c r="AG173">
        <v>82</v>
      </c>
      <c r="AH173">
        <v>59</v>
      </c>
      <c r="AI173">
        <v>64</v>
      </c>
      <c r="AJ173">
        <v>2</v>
      </c>
      <c r="AK173">
        <v>13</v>
      </c>
      <c r="AL173" t="s">
        <v>169</v>
      </c>
      <c r="AM173" t="s">
        <v>170</v>
      </c>
      <c r="AN173" t="s">
        <v>171</v>
      </c>
      <c r="AO173" t="s">
        <v>172</v>
      </c>
      <c r="AP173" t="s">
        <v>74</v>
      </c>
      <c r="AQ173" t="s">
        <v>74</v>
      </c>
      <c r="AR173" t="s">
        <v>157</v>
      </c>
      <c r="AS173" t="s">
        <v>173</v>
      </c>
      <c r="AT173" t="s">
        <v>3311</v>
      </c>
      <c r="AU173">
        <v>2011</v>
      </c>
      <c r="AV173">
        <v>6</v>
      </c>
      <c r="AW173">
        <v>7</v>
      </c>
      <c r="AX173" t="s">
        <v>74</v>
      </c>
      <c r="AY173" t="s">
        <v>74</v>
      </c>
      <c r="AZ173" t="s">
        <v>74</v>
      </c>
      <c r="BA173" t="s">
        <v>74</v>
      </c>
      <c r="BB173" t="s">
        <v>74</v>
      </c>
      <c r="BC173" t="s">
        <v>74</v>
      </c>
      <c r="BD173" t="s">
        <v>3331</v>
      </c>
      <c r="BE173" t="s">
        <v>3332</v>
      </c>
      <c r="BF173" t="str">
        <f>HYPERLINK("http://dx.doi.org/10.1371/journal.pone.0021670","http://dx.doi.org/10.1371/journal.pone.0021670")</f>
        <v>http://dx.doi.org/10.1371/journal.pone.0021670</v>
      </c>
      <c r="BG173" t="s">
        <v>74</v>
      </c>
      <c r="BH173" t="s">
        <v>74</v>
      </c>
      <c r="BI173">
        <v>13</v>
      </c>
      <c r="BJ173" t="s">
        <v>177</v>
      </c>
      <c r="BK173" t="s">
        <v>100</v>
      </c>
      <c r="BL173" t="s">
        <v>178</v>
      </c>
      <c r="BM173" t="s">
        <v>3333</v>
      </c>
      <c r="BN173">
        <v>21799741</v>
      </c>
      <c r="BO173" t="s">
        <v>3334</v>
      </c>
      <c r="BP173" t="s">
        <v>74</v>
      </c>
      <c r="BQ173" t="s">
        <v>74</v>
      </c>
      <c r="BR173" t="s">
        <v>103</v>
      </c>
      <c r="BS173" t="s">
        <v>3335</v>
      </c>
      <c r="BT173" t="str">
        <f>HYPERLINK("https%3A%2F%2Fwww.webofscience.com%2Fwos%2Fwoscc%2Ffull-record%2FWOS:000293097300004","View Full Record in Web of Science")</f>
        <v>View Full Record in Web of Science</v>
      </c>
    </row>
    <row r="174" spans="1:72" x14ac:dyDescent="0.15">
      <c r="A174" t="s">
        <v>72</v>
      </c>
      <c r="B174" t="s">
        <v>3336</v>
      </c>
      <c r="C174" t="s">
        <v>74</v>
      </c>
      <c r="D174" t="s">
        <v>74</v>
      </c>
      <c r="E174" t="s">
        <v>74</v>
      </c>
      <c r="F174" t="s">
        <v>3337</v>
      </c>
      <c r="G174" t="s">
        <v>74</v>
      </c>
      <c r="H174" t="s">
        <v>74</v>
      </c>
      <c r="I174" t="s">
        <v>3338</v>
      </c>
      <c r="J174" t="s">
        <v>3339</v>
      </c>
      <c r="K174" t="s">
        <v>74</v>
      </c>
      <c r="L174" t="s">
        <v>74</v>
      </c>
      <c r="M174" t="s">
        <v>78</v>
      </c>
      <c r="N174" t="s">
        <v>79</v>
      </c>
      <c r="O174" t="s">
        <v>74</v>
      </c>
      <c r="P174" t="s">
        <v>74</v>
      </c>
      <c r="Q174" t="s">
        <v>74</v>
      </c>
      <c r="R174" t="s">
        <v>74</v>
      </c>
      <c r="S174" t="s">
        <v>74</v>
      </c>
      <c r="T174" t="s">
        <v>3340</v>
      </c>
      <c r="U174" t="s">
        <v>3341</v>
      </c>
      <c r="V174" t="s">
        <v>3342</v>
      </c>
      <c r="W174" t="s">
        <v>3343</v>
      </c>
      <c r="X174" t="s">
        <v>3344</v>
      </c>
      <c r="Y174" t="s">
        <v>3345</v>
      </c>
      <c r="Z174" t="s">
        <v>3346</v>
      </c>
      <c r="AA174" t="s">
        <v>74</v>
      </c>
      <c r="AB174" t="s">
        <v>74</v>
      </c>
      <c r="AC174" t="s">
        <v>3347</v>
      </c>
      <c r="AD174" t="s">
        <v>3348</v>
      </c>
      <c r="AE174" t="s">
        <v>3349</v>
      </c>
      <c r="AF174" t="s">
        <v>74</v>
      </c>
      <c r="AG174">
        <v>54</v>
      </c>
      <c r="AH174">
        <v>28</v>
      </c>
      <c r="AI174">
        <v>29</v>
      </c>
      <c r="AJ174">
        <v>0</v>
      </c>
      <c r="AK174">
        <v>32</v>
      </c>
      <c r="AL174" t="s">
        <v>308</v>
      </c>
      <c r="AM174" t="s">
        <v>309</v>
      </c>
      <c r="AN174" t="s">
        <v>310</v>
      </c>
      <c r="AO174" t="s">
        <v>3350</v>
      </c>
      <c r="AP174" t="s">
        <v>3351</v>
      </c>
      <c r="AQ174" t="s">
        <v>74</v>
      </c>
      <c r="AR174" t="s">
        <v>3352</v>
      </c>
      <c r="AS174" t="s">
        <v>3353</v>
      </c>
      <c r="AT174" t="s">
        <v>3354</v>
      </c>
      <c r="AU174">
        <v>2011</v>
      </c>
      <c r="AV174">
        <v>405</v>
      </c>
      <c r="AW174" t="s">
        <v>2154</v>
      </c>
      <c r="AX174" t="s">
        <v>74</v>
      </c>
      <c r="AY174" t="s">
        <v>74</v>
      </c>
      <c r="AZ174" t="s">
        <v>74</v>
      </c>
      <c r="BA174" t="s">
        <v>74</v>
      </c>
      <c r="BB174">
        <v>48</v>
      </c>
      <c r="BC174">
        <v>56</v>
      </c>
      <c r="BD174" t="s">
        <v>74</v>
      </c>
      <c r="BE174" t="s">
        <v>3355</v>
      </c>
      <c r="BF174" t="str">
        <f>HYPERLINK("http://dx.doi.org/10.1016/j.jhydrol.2011.05.009","http://dx.doi.org/10.1016/j.jhydrol.2011.05.009")</f>
        <v>http://dx.doi.org/10.1016/j.jhydrol.2011.05.009</v>
      </c>
      <c r="BG174" t="s">
        <v>74</v>
      </c>
      <c r="BH174" t="s">
        <v>74</v>
      </c>
      <c r="BI174">
        <v>9</v>
      </c>
      <c r="BJ174" t="s">
        <v>3356</v>
      </c>
      <c r="BK174" t="s">
        <v>100</v>
      </c>
      <c r="BL174" t="s">
        <v>3357</v>
      </c>
      <c r="BM174" t="s">
        <v>3358</v>
      </c>
      <c r="BN174" t="s">
        <v>74</v>
      </c>
      <c r="BO174" t="s">
        <v>702</v>
      </c>
      <c r="BP174" t="s">
        <v>74</v>
      </c>
      <c r="BQ174" t="s">
        <v>74</v>
      </c>
      <c r="BR174" t="s">
        <v>103</v>
      </c>
      <c r="BS174" t="s">
        <v>3359</v>
      </c>
      <c r="BT174" t="str">
        <f>HYPERLINK("https%3A%2F%2Fwww.webofscience.com%2Fwos%2Fwoscc%2Ffull-record%2FWOS:000293429200005","View Full Record in Web of Science")</f>
        <v>View Full Record in Web of Science</v>
      </c>
    </row>
    <row r="175" spans="1:72" x14ac:dyDescent="0.15">
      <c r="A175" t="s">
        <v>72</v>
      </c>
      <c r="B175" t="s">
        <v>3360</v>
      </c>
      <c r="C175" t="s">
        <v>74</v>
      </c>
      <c r="D175" t="s">
        <v>74</v>
      </c>
      <c r="E175" t="s">
        <v>74</v>
      </c>
      <c r="F175" t="s">
        <v>3361</v>
      </c>
      <c r="G175" t="s">
        <v>74</v>
      </c>
      <c r="H175" t="s">
        <v>74</v>
      </c>
      <c r="I175" t="s">
        <v>3362</v>
      </c>
      <c r="J175" t="s">
        <v>108</v>
      </c>
      <c r="K175" t="s">
        <v>74</v>
      </c>
      <c r="L175" t="s">
        <v>74</v>
      </c>
      <c r="M175" t="s">
        <v>78</v>
      </c>
      <c r="N175" t="s">
        <v>79</v>
      </c>
      <c r="O175" t="s">
        <v>74</v>
      </c>
      <c r="P175" t="s">
        <v>74</v>
      </c>
      <c r="Q175" t="s">
        <v>74</v>
      </c>
      <c r="R175" t="s">
        <v>74</v>
      </c>
      <c r="S175" t="s">
        <v>74</v>
      </c>
      <c r="T175" t="s">
        <v>74</v>
      </c>
      <c r="U175" t="s">
        <v>3363</v>
      </c>
      <c r="V175" t="s">
        <v>3364</v>
      </c>
      <c r="W175" t="s">
        <v>3365</v>
      </c>
      <c r="X175" t="s">
        <v>3366</v>
      </c>
      <c r="Y175" t="s">
        <v>3367</v>
      </c>
      <c r="Z175" t="s">
        <v>3368</v>
      </c>
      <c r="AA175" t="s">
        <v>3369</v>
      </c>
      <c r="AB175" t="s">
        <v>3370</v>
      </c>
      <c r="AC175" t="s">
        <v>3371</v>
      </c>
      <c r="AD175" t="s">
        <v>2421</v>
      </c>
      <c r="AE175" t="s">
        <v>3372</v>
      </c>
      <c r="AF175" t="s">
        <v>74</v>
      </c>
      <c r="AG175">
        <v>31</v>
      </c>
      <c r="AH175">
        <v>127</v>
      </c>
      <c r="AI175">
        <v>144</v>
      </c>
      <c r="AJ175">
        <v>1</v>
      </c>
      <c r="AK175">
        <v>50</v>
      </c>
      <c r="AL175" t="s">
        <v>120</v>
      </c>
      <c r="AM175" t="s">
        <v>121</v>
      </c>
      <c r="AN175" t="s">
        <v>122</v>
      </c>
      <c r="AO175" t="s">
        <v>123</v>
      </c>
      <c r="AP175" t="s">
        <v>124</v>
      </c>
      <c r="AQ175" t="s">
        <v>74</v>
      </c>
      <c r="AR175" t="s">
        <v>125</v>
      </c>
      <c r="AS175" t="s">
        <v>126</v>
      </c>
      <c r="AT175" t="s">
        <v>3354</v>
      </c>
      <c r="AU175">
        <v>2011</v>
      </c>
      <c r="AV175">
        <v>38</v>
      </c>
      <c r="AW175" t="s">
        <v>74</v>
      </c>
      <c r="AX175" t="s">
        <v>74</v>
      </c>
      <c r="AY175" t="s">
        <v>74</v>
      </c>
      <c r="AZ175" t="s">
        <v>74</v>
      </c>
      <c r="BA175" t="s">
        <v>74</v>
      </c>
      <c r="BB175" t="s">
        <v>74</v>
      </c>
      <c r="BC175" t="s">
        <v>74</v>
      </c>
      <c r="BD175" t="s">
        <v>3373</v>
      </c>
      <c r="BE175" t="s">
        <v>3374</v>
      </c>
      <c r="BF175" t="str">
        <f>HYPERLINK("http://dx.doi.org/10.1029/2011GL048280","http://dx.doi.org/10.1029/2011GL048280")</f>
        <v>http://dx.doi.org/10.1029/2011GL048280</v>
      </c>
      <c r="BG175" t="s">
        <v>74</v>
      </c>
      <c r="BH175" t="s">
        <v>74</v>
      </c>
      <c r="BI175">
        <v>6</v>
      </c>
      <c r="BJ175" t="s">
        <v>130</v>
      </c>
      <c r="BK175" t="s">
        <v>100</v>
      </c>
      <c r="BL175" t="s">
        <v>131</v>
      </c>
      <c r="BM175" t="s">
        <v>3375</v>
      </c>
      <c r="BN175" t="s">
        <v>74</v>
      </c>
      <c r="BO175" t="s">
        <v>152</v>
      </c>
      <c r="BP175" t="s">
        <v>74</v>
      </c>
      <c r="BQ175" t="s">
        <v>74</v>
      </c>
      <c r="BR175" t="s">
        <v>103</v>
      </c>
      <c r="BS175" t="s">
        <v>3376</v>
      </c>
      <c r="BT175" t="str">
        <f>HYPERLINK("https%3A%2F%2Fwww.webofscience.com%2Fwos%2Fwoscc%2Ffull-record%2FWOS:000293131600005","View Full Record in Web of Science")</f>
        <v>View Full Record in Web of Science</v>
      </c>
    </row>
    <row r="176" spans="1:72" x14ac:dyDescent="0.15">
      <c r="A176" t="s">
        <v>72</v>
      </c>
      <c r="B176" t="s">
        <v>3377</v>
      </c>
      <c r="C176" t="s">
        <v>74</v>
      </c>
      <c r="D176" t="s">
        <v>74</v>
      </c>
      <c r="E176" t="s">
        <v>74</v>
      </c>
      <c r="F176" t="s">
        <v>3378</v>
      </c>
      <c r="G176" t="s">
        <v>74</v>
      </c>
      <c r="H176" t="s">
        <v>74</v>
      </c>
      <c r="I176" t="s">
        <v>3379</v>
      </c>
      <c r="J176" t="s">
        <v>3380</v>
      </c>
      <c r="K176" t="s">
        <v>74</v>
      </c>
      <c r="L176" t="s">
        <v>74</v>
      </c>
      <c r="M176" t="s">
        <v>78</v>
      </c>
      <c r="N176" t="s">
        <v>79</v>
      </c>
      <c r="O176" t="s">
        <v>74</v>
      </c>
      <c r="P176" t="s">
        <v>74</v>
      </c>
      <c r="Q176" t="s">
        <v>74</v>
      </c>
      <c r="R176" t="s">
        <v>74</v>
      </c>
      <c r="S176" t="s">
        <v>74</v>
      </c>
      <c r="T176" t="s">
        <v>74</v>
      </c>
      <c r="U176" t="s">
        <v>3381</v>
      </c>
      <c r="V176" t="s">
        <v>3382</v>
      </c>
      <c r="W176" t="s">
        <v>3383</v>
      </c>
      <c r="X176" t="s">
        <v>3384</v>
      </c>
      <c r="Y176" t="s">
        <v>3385</v>
      </c>
      <c r="Z176" t="s">
        <v>3386</v>
      </c>
      <c r="AA176" t="s">
        <v>3387</v>
      </c>
      <c r="AB176" t="s">
        <v>3388</v>
      </c>
      <c r="AC176" t="s">
        <v>3389</v>
      </c>
      <c r="AD176" t="s">
        <v>3390</v>
      </c>
      <c r="AE176" t="s">
        <v>3391</v>
      </c>
      <c r="AF176" t="s">
        <v>74</v>
      </c>
      <c r="AG176">
        <v>98</v>
      </c>
      <c r="AH176">
        <v>353</v>
      </c>
      <c r="AI176">
        <v>407</v>
      </c>
      <c r="AJ176">
        <v>1</v>
      </c>
      <c r="AK176">
        <v>96</v>
      </c>
      <c r="AL176" t="s">
        <v>120</v>
      </c>
      <c r="AM176" t="s">
        <v>121</v>
      </c>
      <c r="AN176" t="s">
        <v>122</v>
      </c>
      <c r="AO176" t="s">
        <v>3392</v>
      </c>
      <c r="AP176" t="s">
        <v>3393</v>
      </c>
      <c r="AQ176" t="s">
        <v>74</v>
      </c>
      <c r="AR176" t="s">
        <v>3394</v>
      </c>
      <c r="AS176" t="s">
        <v>3395</v>
      </c>
      <c r="AT176" t="s">
        <v>3354</v>
      </c>
      <c r="AU176">
        <v>2011</v>
      </c>
      <c r="AV176">
        <v>47</v>
      </c>
      <c r="AW176" t="s">
        <v>74</v>
      </c>
      <c r="AX176" t="s">
        <v>74</v>
      </c>
      <c r="AY176" t="s">
        <v>74</v>
      </c>
      <c r="AZ176" t="s">
        <v>74</v>
      </c>
      <c r="BA176" t="s">
        <v>74</v>
      </c>
      <c r="BB176" t="s">
        <v>74</v>
      </c>
      <c r="BC176" t="s">
        <v>74</v>
      </c>
      <c r="BD176" t="s">
        <v>3396</v>
      </c>
      <c r="BE176" t="s">
        <v>3397</v>
      </c>
      <c r="BF176" t="str">
        <f>HYPERLINK("http://dx.doi.org/10.1029/2011WR010745","http://dx.doi.org/10.1029/2011WR010745")</f>
        <v>http://dx.doi.org/10.1029/2011WR010745</v>
      </c>
      <c r="BG176" t="s">
        <v>74</v>
      </c>
      <c r="BH176" t="s">
        <v>74</v>
      </c>
      <c r="BI176">
        <v>23</v>
      </c>
      <c r="BJ176" t="s">
        <v>3398</v>
      </c>
      <c r="BK176" t="s">
        <v>100</v>
      </c>
      <c r="BL176" t="s">
        <v>3399</v>
      </c>
      <c r="BM176" t="s">
        <v>3400</v>
      </c>
      <c r="BN176" t="s">
        <v>74</v>
      </c>
      <c r="BO176" t="s">
        <v>3194</v>
      </c>
      <c r="BP176" t="s">
        <v>74</v>
      </c>
      <c r="BQ176" t="s">
        <v>74</v>
      </c>
      <c r="BR176" t="s">
        <v>103</v>
      </c>
      <c r="BS176" t="s">
        <v>3401</v>
      </c>
      <c r="BT176" t="str">
        <f>HYPERLINK("https%3A%2F%2Fwww.webofscience.com%2Fwos%2Fwoscc%2Ffull-record%2FWOS:000293089800002","View Full Record in Web of Science")</f>
        <v>View Full Record in Web of Science</v>
      </c>
    </row>
    <row r="177" spans="1:72" x14ac:dyDescent="0.15">
      <c r="A177" t="s">
        <v>72</v>
      </c>
      <c r="B177" t="s">
        <v>3402</v>
      </c>
      <c r="C177" t="s">
        <v>74</v>
      </c>
      <c r="D177" t="s">
        <v>74</v>
      </c>
      <c r="E177" t="s">
        <v>74</v>
      </c>
      <c r="F177" t="s">
        <v>3403</v>
      </c>
      <c r="G177" t="s">
        <v>74</v>
      </c>
      <c r="H177" t="s">
        <v>3404</v>
      </c>
      <c r="I177" t="s">
        <v>3405</v>
      </c>
      <c r="J177" t="s">
        <v>3406</v>
      </c>
      <c r="K177" t="s">
        <v>74</v>
      </c>
      <c r="L177" t="s">
        <v>74</v>
      </c>
      <c r="M177" t="s">
        <v>78</v>
      </c>
      <c r="N177" t="s">
        <v>79</v>
      </c>
      <c r="O177" t="s">
        <v>74</v>
      </c>
      <c r="P177" t="s">
        <v>74</v>
      </c>
      <c r="Q177" t="s">
        <v>74</v>
      </c>
      <c r="R177" t="s">
        <v>74</v>
      </c>
      <c r="S177" t="s">
        <v>74</v>
      </c>
      <c r="T177" t="s">
        <v>3407</v>
      </c>
      <c r="U177" t="s">
        <v>3408</v>
      </c>
      <c r="V177" t="s">
        <v>3409</v>
      </c>
      <c r="W177" t="s">
        <v>3410</v>
      </c>
      <c r="X177" t="s">
        <v>3411</v>
      </c>
      <c r="Y177" t="s">
        <v>3412</v>
      </c>
      <c r="Z177" t="s">
        <v>3413</v>
      </c>
      <c r="AA177" t="s">
        <v>74</v>
      </c>
      <c r="AB177" t="s">
        <v>74</v>
      </c>
      <c r="AC177" t="s">
        <v>74</v>
      </c>
      <c r="AD177" t="s">
        <v>74</v>
      </c>
      <c r="AE177" t="s">
        <v>74</v>
      </c>
      <c r="AF177" t="s">
        <v>74</v>
      </c>
      <c r="AG177">
        <v>60</v>
      </c>
      <c r="AH177">
        <v>17</v>
      </c>
      <c r="AI177">
        <v>18</v>
      </c>
      <c r="AJ177">
        <v>0</v>
      </c>
      <c r="AK177">
        <v>7</v>
      </c>
      <c r="AL177" t="s">
        <v>308</v>
      </c>
      <c r="AM177" t="s">
        <v>309</v>
      </c>
      <c r="AN177" t="s">
        <v>310</v>
      </c>
      <c r="AO177" t="s">
        <v>3414</v>
      </c>
      <c r="AP177" t="s">
        <v>3415</v>
      </c>
      <c r="AQ177" t="s">
        <v>74</v>
      </c>
      <c r="AR177" t="s">
        <v>3406</v>
      </c>
      <c r="AS177" t="s">
        <v>3416</v>
      </c>
      <c r="AT177" t="s">
        <v>3417</v>
      </c>
      <c r="AU177">
        <v>2011</v>
      </c>
      <c r="AV177">
        <v>508</v>
      </c>
      <c r="AW177" t="s">
        <v>3418</v>
      </c>
      <c r="AX177" t="s">
        <v>74</v>
      </c>
      <c r="AY177" t="s">
        <v>74</v>
      </c>
      <c r="AZ177" t="s">
        <v>864</v>
      </c>
      <c r="BA177" t="s">
        <v>74</v>
      </c>
      <c r="BB177">
        <v>73</v>
      </c>
      <c r="BC177">
        <v>84</v>
      </c>
      <c r="BD177" t="s">
        <v>74</v>
      </c>
      <c r="BE177" t="s">
        <v>3419</v>
      </c>
      <c r="BF177" t="str">
        <f>HYPERLINK("http://dx.doi.org/10.1016/j.tecto.2010.08.005","http://dx.doi.org/10.1016/j.tecto.2010.08.005")</f>
        <v>http://dx.doi.org/10.1016/j.tecto.2010.08.005</v>
      </c>
      <c r="BG177" t="s">
        <v>74</v>
      </c>
      <c r="BH177" t="s">
        <v>74</v>
      </c>
      <c r="BI177">
        <v>12</v>
      </c>
      <c r="BJ177" t="s">
        <v>488</v>
      </c>
      <c r="BK177" t="s">
        <v>100</v>
      </c>
      <c r="BL177" t="s">
        <v>488</v>
      </c>
      <c r="BM177" t="s">
        <v>3420</v>
      </c>
      <c r="BN177" t="s">
        <v>74</v>
      </c>
      <c r="BO177" t="s">
        <v>74</v>
      </c>
      <c r="BP177" t="s">
        <v>74</v>
      </c>
      <c r="BQ177" t="s">
        <v>74</v>
      </c>
      <c r="BR177" t="s">
        <v>103</v>
      </c>
      <c r="BS177" t="s">
        <v>3421</v>
      </c>
      <c r="BT177" t="str">
        <f>HYPERLINK("https%3A%2F%2Fwww.webofscience.com%2Fwos%2Fwoscc%2Ffull-record%2FWOS:000294877300008","View Full Record in Web of Science")</f>
        <v>View Full Record in Web of Science</v>
      </c>
    </row>
    <row r="178" spans="1:72" x14ac:dyDescent="0.15">
      <c r="A178" t="s">
        <v>72</v>
      </c>
      <c r="B178" t="s">
        <v>3422</v>
      </c>
      <c r="C178" t="s">
        <v>74</v>
      </c>
      <c r="D178" t="s">
        <v>74</v>
      </c>
      <c r="E178" t="s">
        <v>74</v>
      </c>
      <c r="F178" t="s">
        <v>3423</v>
      </c>
      <c r="G178" t="s">
        <v>74</v>
      </c>
      <c r="H178" t="s">
        <v>74</v>
      </c>
      <c r="I178" t="s">
        <v>3424</v>
      </c>
      <c r="J178" t="s">
        <v>157</v>
      </c>
      <c r="K178" t="s">
        <v>74</v>
      </c>
      <c r="L178" t="s">
        <v>74</v>
      </c>
      <c r="M178" t="s">
        <v>78</v>
      </c>
      <c r="N178" t="s">
        <v>79</v>
      </c>
      <c r="O178" t="s">
        <v>74</v>
      </c>
      <c r="P178" t="s">
        <v>74</v>
      </c>
      <c r="Q178" t="s">
        <v>74</v>
      </c>
      <c r="R178" t="s">
        <v>74</v>
      </c>
      <c r="S178" t="s">
        <v>74</v>
      </c>
      <c r="T178" t="s">
        <v>74</v>
      </c>
      <c r="U178" t="s">
        <v>3425</v>
      </c>
      <c r="V178" t="s">
        <v>3426</v>
      </c>
      <c r="W178" t="s">
        <v>3427</v>
      </c>
      <c r="X178" t="s">
        <v>3428</v>
      </c>
      <c r="Y178" t="s">
        <v>3429</v>
      </c>
      <c r="Z178" t="s">
        <v>3430</v>
      </c>
      <c r="AA178" t="s">
        <v>3431</v>
      </c>
      <c r="AB178" t="s">
        <v>3432</v>
      </c>
      <c r="AC178" t="s">
        <v>3433</v>
      </c>
      <c r="AD178" t="s">
        <v>3434</v>
      </c>
      <c r="AE178" t="s">
        <v>3435</v>
      </c>
      <c r="AF178" t="s">
        <v>74</v>
      </c>
      <c r="AG178">
        <v>76</v>
      </c>
      <c r="AH178">
        <v>26</v>
      </c>
      <c r="AI178">
        <v>27</v>
      </c>
      <c r="AJ178">
        <v>0</v>
      </c>
      <c r="AK178">
        <v>38</v>
      </c>
      <c r="AL178" t="s">
        <v>169</v>
      </c>
      <c r="AM178" t="s">
        <v>170</v>
      </c>
      <c r="AN178" t="s">
        <v>171</v>
      </c>
      <c r="AO178" t="s">
        <v>172</v>
      </c>
      <c r="AP178" t="s">
        <v>74</v>
      </c>
      <c r="AQ178" t="s">
        <v>74</v>
      </c>
      <c r="AR178" t="s">
        <v>157</v>
      </c>
      <c r="AS178" t="s">
        <v>173</v>
      </c>
      <c r="AT178" t="s">
        <v>3417</v>
      </c>
      <c r="AU178">
        <v>2011</v>
      </c>
      <c r="AV178">
        <v>6</v>
      </c>
      <c r="AW178">
        <v>7</v>
      </c>
      <c r="AX178" t="s">
        <v>74</v>
      </c>
      <c r="AY178" t="s">
        <v>74</v>
      </c>
      <c r="AZ178" t="s">
        <v>74</v>
      </c>
      <c r="BA178" t="s">
        <v>74</v>
      </c>
      <c r="BB178" t="s">
        <v>74</v>
      </c>
      <c r="BC178" t="s">
        <v>74</v>
      </c>
      <c r="BD178" t="s">
        <v>3436</v>
      </c>
      <c r="BE178" t="s">
        <v>3437</v>
      </c>
      <c r="BF178" t="str">
        <f>HYPERLINK("http://dx.doi.org/10.1371/journal.pone.0022240","http://dx.doi.org/10.1371/journal.pone.0022240")</f>
        <v>http://dx.doi.org/10.1371/journal.pone.0022240</v>
      </c>
      <c r="BG178" t="s">
        <v>74</v>
      </c>
      <c r="BH178" t="s">
        <v>74</v>
      </c>
      <c r="BI178">
        <v>13</v>
      </c>
      <c r="BJ178" t="s">
        <v>177</v>
      </c>
      <c r="BK178" t="s">
        <v>100</v>
      </c>
      <c r="BL178" t="s">
        <v>178</v>
      </c>
      <c r="BM178" t="s">
        <v>3438</v>
      </c>
      <c r="BN178">
        <v>21799799</v>
      </c>
      <c r="BO178" t="s">
        <v>3334</v>
      </c>
      <c r="BP178" t="s">
        <v>74</v>
      </c>
      <c r="BQ178" t="s">
        <v>74</v>
      </c>
      <c r="BR178" t="s">
        <v>103</v>
      </c>
      <c r="BS178" t="s">
        <v>3439</v>
      </c>
      <c r="BT178" t="str">
        <f>HYPERLINK("https%3A%2F%2Fwww.webofscience.com%2Fwos%2Fwoscc%2Ffull-record%2FWOS:000292931200036","View Full Record in Web of Science")</f>
        <v>View Full Record in Web of Science</v>
      </c>
    </row>
    <row r="179" spans="1:72" x14ac:dyDescent="0.15">
      <c r="A179" t="s">
        <v>72</v>
      </c>
      <c r="B179" t="s">
        <v>3440</v>
      </c>
      <c r="C179" t="s">
        <v>74</v>
      </c>
      <c r="D179" t="s">
        <v>74</v>
      </c>
      <c r="E179" t="s">
        <v>74</v>
      </c>
      <c r="F179" t="s">
        <v>3441</v>
      </c>
      <c r="G179" t="s">
        <v>74</v>
      </c>
      <c r="H179" t="s">
        <v>74</v>
      </c>
      <c r="I179" t="s">
        <v>3442</v>
      </c>
      <c r="J179" t="s">
        <v>3443</v>
      </c>
      <c r="K179" t="s">
        <v>74</v>
      </c>
      <c r="L179" t="s">
        <v>74</v>
      </c>
      <c r="M179" t="s">
        <v>78</v>
      </c>
      <c r="N179" t="s">
        <v>79</v>
      </c>
      <c r="O179" t="s">
        <v>74</v>
      </c>
      <c r="P179" t="s">
        <v>74</v>
      </c>
      <c r="Q179" t="s">
        <v>74</v>
      </c>
      <c r="R179" t="s">
        <v>74</v>
      </c>
      <c r="S179" t="s">
        <v>74</v>
      </c>
      <c r="T179" t="s">
        <v>3444</v>
      </c>
      <c r="U179" t="s">
        <v>3445</v>
      </c>
      <c r="V179" t="s">
        <v>3446</v>
      </c>
      <c r="W179" t="s">
        <v>3447</v>
      </c>
      <c r="X179" t="s">
        <v>3448</v>
      </c>
      <c r="Y179" t="s">
        <v>3449</v>
      </c>
      <c r="Z179" t="s">
        <v>3450</v>
      </c>
      <c r="AA179" t="s">
        <v>3451</v>
      </c>
      <c r="AB179" t="s">
        <v>3452</v>
      </c>
      <c r="AC179" t="s">
        <v>3453</v>
      </c>
      <c r="AD179" t="s">
        <v>3454</v>
      </c>
      <c r="AE179" t="s">
        <v>74</v>
      </c>
      <c r="AF179" t="s">
        <v>74</v>
      </c>
      <c r="AG179">
        <v>22</v>
      </c>
      <c r="AH179">
        <v>15</v>
      </c>
      <c r="AI179">
        <v>19</v>
      </c>
      <c r="AJ179">
        <v>0</v>
      </c>
      <c r="AK179">
        <v>6</v>
      </c>
      <c r="AL179" t="s">
        <v>3455</v>
      </c>
      <c r="AM179" t="s">
        <v>3456</v>
      </c>
      <c r="AN179" t="s">
        <v>3457</v>
      </c>
      <c r="AO179" t="s">
        <v>3458</v>
      </c>
      <c r="AP179" t="s">
        <v>74</v>
      </c>
      <c r="AQ179" t="s">
        <v>74</v>
      </c>
      <c r="AR179" t="s">
        <v>3459</v>
      </c>
      <c r="AS179" t="s">
        <v>3460</v>
      </c>
      <c r="AT179" t="s">
        <v>3417</v>
      </c>
      <c r="AU179">
        <v>2011</v>
      </c>
      <c r="AV179">
        <v>736</v>
      </c>
      <c r="AW179">
        <v>1</v>
      </c>
      <c r="AX179" t="s">
        <v>74</v>
      </c>
      <c r="AY179" t="s">
        <v>74</v>
      </c>
      <c r="AZ179" t="s">
        <v>74</v>
      </c>
      <c r="BA179" t="s">
        <v>74</v>
      </c>
      <c r="BB179" t="s">
        <v>74</v>
      </c>
      <c r="BC179" t="s">
        <v>74</v>
      </c>
      <c r="BD179">
        <v>50</v>
      </c>
      <c r="BE179" t="s">
        <v>3461</v>
      </c>
      <c r="BF179" t="str">
        <f>HYPERLINK("http://dx.doi.org/10.1088/0004-637X/736/1/50","http://dx.doi.org/10.1088/0004-637X/736/1/50")</f>
        <v>http://dx.doi.org/10.1088/0004-637X/736/1/50</v>
      </c>
      <c r="BG179" t="s">
        <v>74</v>
      </c>
      <c r="BH179" t="s">
        <v>74</v>
      </c>
      <c r="BI179">
        <v>4</v>
      </c>
      <c r="BJ179" t="s">
        <v>391</v>
      </c>
      <c r="BK179" t="s">
        <v>100</v>
      </c>
      <c r="BL179" t="s">
        <v>391</v>
      </c>
      <c r="BM179" t="s">
        <v>3462</v>
      </c>
      <c r="BN179" t="s">
        <v>74</v>
      </c>
      <c r="BO179" t="s">
        <v>1051</v>
      </c>
      <c r="BP179" t="s">
        <v>74</v>
      </c>
      <c r="BQ179" t="s">
        <v>74</v>
      </c>
      <c r="BR179" t="s">
        <v>103</v>
      </c>
      <c r="BS179" t="s">
        <v>3463</v>
      </c>
      <c r="BT179" t="str">
        <f>HYPERLINK("https%3A%2F%2Fwww.webofscience.com%2Fwos%2Fwoscc%2Ffull-record%2FWOS:000292645600050","View Full Record in Web of Science")</f>
        <v>View Full Record in Web of Science</v>
      </c>
    </row>
    <row r="180" spans="1:72" x14ac:dyDescent="0.15">
      <c r="A180" t="s">
        <v>72</v>
      </c>
      <c r="B180" t="s">
        <v>3464</v>
      </c>
      <c r="C180" t="s">
        <v>74</v>
      </c>
      <c r="D180" t="s">
        <v>74</v>
      </c>
      <c r="E180" t="s">
        <v>74</v>
      </c>
      <c r="F180" t="s">
        <v>3465</v>
      </c>
      <c r="G180" t="s">
        <v>74</v>
      </c>
      <c r="H180" t="s">
        <v>74</v>
      </c>
      <c r="I180" t="s">
        <v>3466</v>
      </c>
      <c r="J180" t="s">
        <v>157</v>
      </c>
      <c r="K180" t="s">
        <v>74</v>
      </c>
      <c r="L180" t="s">
        <v>74</v>
      </c>
      <c r="M180" t="s">
        <v>78</v>
      </c>
      <c r="N180" t="s">
        <v>79</v>
      </c>
      <c r="O180" t="s">
        <v>74</v>
      </c>
      <c r="P180" t="s">
        <v>74</v>
      </c>
      <c r="Q180" t="s">
        <v>74</v>
      </c>
      <c r="R180" t="s">
        <v>74</v>
      </c>
      <c r="S180" t="s">
        <v>74</v>
      </c>
      <c r="T180" t="s">
        <v>74</v>
      </c>
      <c r="U180" t="s">
        <v>3467</v>
      </c>
      <c r="V180" t="s">
        <v>3468</v>
      </c>
      <c r="W180" t="s">
        <v>3469</v>
      </c>
      <c r="X180" t="s">
        <v>3470</v>
      </c>
      <c r="Y180" t="s">
        <v>3471</v>
      </c>
      <c r="Z180" t="s">
        <v>3472</v>
      </c>
      <c r="AA180" t="s">
        <v>3473</v>
      </c>
      <c r="AB180" t="s">
        <v>3474</v>
      </c>
      <c r="AC180" t="s">
        <v>3475</v>
      </c>
      <c r="AD180" t="s">
        <v>3476</v>
      </c>
      <c r="AE180" t="s">
        <v>3477</v>
      </c>
      <c r="AF180" t="s">
        <v>74</v>
      </c>
      <c r="AG180">
        <v>24</v>
      </c>
      <c r="AH180">
        <v>112</v>
      </c>
      <c r="AI180">
        <v>118</v>
      </c>
      <c r="AJ180">
        <v>3</v>
      </c>
      <c r="AK180">
        <v>118</v>
      </c>
      <c r="AL180" t="s">
        <v>169</v>
      </c>
      <c r="AM180" t="s">
        <v>170</v>
      </c>
      <c r="AN180" t="s">
        <v>171</v>
      </c>
      <c r="AO180" t="s">
        <v>172</v>
      </c>
      <c r="AP180" t="s">
        <v>74</v>
      </c>
      <c r="AQ180" t="s">
        <v>74</v>
      </c>
      <c r="AR180" t="s">
        <v>157</v>
      </c>
      <c r="AS180" t="s">
        <v>173</v>
      </c>
      <c r="AT180" t="s">
        <v>3417</v>
      </c>
      <c r="AU180">
        <v>2011</v>
      </c>
      <c r="AV180">
        <v>6</v>
      </c>
      <c r="AW180">
        <v>7</v>
      </c>
      <c r="AX180" t="s">
        <v>74</v>
      </c>
      <c r="AY180" t="s">
        <v>74</v>
      </c>
      <c r="AZ180" t="s">
        <v>74</v>
      </c>
      <c r="BA180" t="s">
        <v>74</v>
      </c>
      <c r="BB180" t="s">
        <v>74</v>
      </c>
      <c r="BC180" t="s">
        <v>74</v>
      </c>
      <c r="BD180" t="s">
        <v>3478</v>
      </c>
      <c r="BE180" t="s">
        <v>3479</v>
      </c>
      <c r="BF180" t="str">
        <f>HYPERLINK("http://dx.doi.org/10.1371/journal.pone.0021336","http://dx.doi.org/10.1371/journal.pone.0021336")</f>
        <v>http://dx.doi.org/10.1371/journal.pone.0021336</v>
      </c>
      <c r="BG180" t="s">
        <v>74</v>
      </c>
      <c r="BH180" t="s">
        <v>74</v>
      </c>
      <c r="BI180">
        <v>8</v>
      </c>
      <c r="BJ180" t="s">
        <v>177</v>
      </c>
      <c r="BK180" t="s">
        <v>100</v>
      </c>
      <c r="BL180" t="s">
        <v>178</v>
      </c>
      <c r="BM180" t="s">
        <v>3438</v>
      </c>
      <c r="BN180">
        <v>21799734</v>
      </c>
      <c r="BO180" t="s">
        <v>3480</v>
      </c>
      <c r="BP180" t="s">
        <v>74</v>
      </c>
      <c r="BQ180" t="s">
        <v>74</v>
      </c>
      <c r="BR180" t="s">
        <v>103</v>
      </c>
      <c r="BS180" t="s">
        <v>3481</v>
      </c>
      <c r="BT180" t="str">
        <f>HYPERLINK("https%3A%2F%2Fwww.webofscience.com%2Fwos%2Fwoscc%2Ffull-record%2FWOS:000292931200007","View Full Record in Web of Science")</f>
        <v>View Full Record in Web of Science</v>
      </c>
    </row>
    <row r="181" spans="1:72" x14ac:dyDescent="0.15">
      <c r="A181" t="s">
        <v>72</v>
      </c>
      <c r="B181" t="s">
        <v>3482</v>
      </c>
      <c r="C181" t="s">
        <v>74</v>
      </c>
      <c r="D181" t="s">
        <v>74</v>
      </c>
      <c r="E181" t="s">
        <v>74</v>
      </c>
      <c r="F181" t="s">
        <v>3483</v>
      </c>
      <c r="G181" t="s">
        <v>74</v>
      </c>
      <c r="H181" t="s">
        <v>74</v>
      </c>
      <c r="I181" t="s">
        <v>3484</v>
      </c>
      <c r="J181" t="s">
        <v>108</v>
      </c>
      <c r="K181" t="s">
        <v>74</v>
      </c>
      <c r="L181" t="s">
        <v>74</v>
      </c>
      <c r="M181" t="s">
        <v>78</v>
      </c>
      <c r="N181" t="s">
        <v>79</v>
      </c>
      <c r="O181" t="s">
        <v>74</v>
      </c>
      <c r="P181" t="s">
        <v>74</v>
      </c>
      <c r="Q181" t="s">
        <v>74</v>
      </c>
      <c r="R181" t="s">
        <v>74</v>
      </c>
      <c r="S181" t="s">
        <v>74</v>
      </c>
      <c r="T181" t="s">
        <v>74</v>
      </c>
      <c r="U181" t="s">
        <v>3485</v>
      </c>
      <c r="V181" t="s">
        <v>3486</v>
      </c>
      <c r="W181" t="s">
        <v>3487</v>
      </c>
      <c r="X181" t="s">
        <v>3488</v>
      </c>
      <c r="Y181" t="s">
        <v>3489</v>
      </c>
      <c r="Z181" t="s">
        <v>3490</v>
      </c>
      <c r="AA181" t="s">
        <v>3491</v>
      </c>
      <c r="AB181" t="s">
        <v>3492</v>
      </c>
      <c r="AC181" t="s">
        <v>3493</v>
      </c>
      <c r="AD181" t="s">
        <v>3494</v>
      </c>
      <c r="AE181" t="s">
        <v>3495</v>
      </c>
      <c r="AF181" t="s">
        <v>74</v>
      </c>
      <c r="AG181">
        <v>19</v>
      </c>
      <c r="AH181">
        <v>36</v>
      </c>
      <c r="AI181">
        <v>38</v>
      </c>
      <c r="AJ181">
        <v>0</v>
      </c>
      <c r="AK181">
        <v>10</v>
      </c>
      <c r="AL181" t="s">
        <v>120</v>
      </c>
      <c r="AM181" t="s">
        <v>121</v>
      </c>
      <c r="AN181" t="s">
        <v>122</v>
      </c>
      <c r="AO181" t="s">
        <v>123</v>
      </c>
      <c r="AP181" t="s">
        <v>74</v>
      </c>
      <c r="AQ181" t="s">
        <v>74</v>
      </c>
      <c r="AR181" t="s">
        <v>125</v>
      </c>
      <c r="AS181" t="s">
        <v>126</v>
      </c>
      <c r="AT181" t="s">
        <v>3496</v>
      </c>
      <c r="AU181">
        <v>2011</v>
      </c>
      <c r="AV181">
        <v>38</v>
      </c>
      <c r="AW181" t="s">
        <v>74</v>
      </c>
      <c r="AX181" t="s">
        <v>74</v>
      </c>
      <c r="AY181" t="s">
        <v>74</v>
      </c>
      <c r="AZ181" t="s">
        <v>74</v>
      </c>
      <c r="BA181" t="s">
        <v>74</v>
      </c>
      <c r="BB181" t="s">
        <v>74</v>
      </c>
      <c r="BC181" t="s">
        <v>74</v>
      </c>
      <c r="BD181" t="s">
        <v>3497</v>
      </c>
      <c r="BE181" t="s">
        <v>3498</v>
      </c>
      <c r="BF181" t="str">
        <f>HYPERLINK("http://dx.doi.org/10.1029/2011GL048031","http://dx.doi.org/10.1029/2011GL048031")</f>
        <v>http://dx.doi.org/10.1029/2011GL048031</v>
      </c>
      <c r="BG181" t="s">
        <v>74</v>
      </c>
      <c r="BH181" t="s">
        <v>74</v>
      </c>
      <c r="BI181">
        <v>5</v>
      </c>
      <c r="BJ181" t="s">
        <v>130</v>
      </c>
      <c r="BK181" t="s">
        <v>100</v>
      </c>
      <c r="BL181" t="s">
        <v>131</v>
      </c>
      <c r="BM181" t="s">
        <v>3499</v>
      </c>
      <c r="BN181" t="s">
        <v>74</v>
      </c>
      <c r="BO181" t="s">
        <v>702</v>
      </c>
      <c r="BP181" t="s">
        <v>74</v>
      </c>
      <c r="BQ181" t="s">
        <v>74</v>
      </c>
      <c r="BR181" t="s">
        <v>103</v>
      </c>
      <c r="BS181" t="s">
        <v>3500</v>
      </c>
      <c r="BT181" t="str">
        <f>HYPERLINK("https%3A%2F%2Fwww.webofscience.com%2Fwos%2Fwoscc%2Ffull-record%2FWOS:000293131300005","View Full Record in Web of Science")</f>
        <v>View Full Record in Web of Science</v>
      </c>
    </row>
    <row r="182" spans="1:72" x14ac:dyDescent="0.15">
      <c r="A182" t="s">
        <v>72</v>
      </c>
      <c r="B182" t="s">
        <v>3501</v>
      </c>
      <c r="C182" t="s">
        <v>74</v>
      </c>
      <c r="D182" t="s">
        <v>74</v>
      </c>
      <c r="E182" t="s">
        <v>74</v>
      </c>
      <c r="F182" t="s">
        <v>3502</v>
      </c>
      <c r="G182" t="s">
        <v>74</v>
      </c>
      <c r="H182" t="s">
        <v>74</v>
      </c>
      <c r="I182" t="s">
        <v>3503</v>
      </c>
      <c r="J182" t="s">
        <v>2229</v>
      </c>
      <c r="K182" t="s">
        <v>74</v>
      </c>
      <c r="L182" t="s">
        <v>74</v>
      </c>
      <c r="M182" t="s">
        <v>78</v>
      </c>
      <c r="N182" t="s">
        <v>79</v>
      </c>
      <c r="O182" t="s">
        <v>74</v>
      </c>
      <c r="P182" t="s">
        <v>74</v>
      </c>
      <c r="Q182" t="s">
        <v>74</v>
      </c>
      <c r="R182" t="s">
        <v>74</v>
      </c>
      <c r="S182" t="s">
        <v>74</v>
      </c>
      <c r="T182" t="s">
        <v>3504</v>
      </c>
      <c r="U182" t="s">
        <v>3505</v>
      </c>
      <c r="V182" t="s">
        <v>3506</v>
      </c>
      <c r="W182" t="s">
        <v>3507</v>
      </c>
      <c r="X182" t="s">
        <v>3508</v>
      </c>
      <c r="Y182" t="s">
        <v>3509</v>
      </c>
      <c r="Z182" t="s">
        <v>3510</v>
      </c>
      <c r="AA182" t="s">
        <v>3511</v>
      </c>
      <c r="AB182" t="s">
        <v>3512</v>
      </c>
      <c r="AC182" t="s">
        <v>3513</v>
      </c>
      <c r="AD182" t="s">
        <v>3514</v>
      </c>
      <c r="AE182" t="s">
        <v>3515</v>
      </c>
      <c r="AF182" t="s">
        <v>74</v>
      </c>
      <c r="AG182">
        <v>85</v>
      </c>
      <c r="AH182">
        <v>33</v>
      </c>
      <c r="AI182">
        <v>35</v>
      </c>
      <c r="AJ182">
        <v>0</v>
      </c>
      <c r="AK182">
        <v>16</v>
      </c>
      <c r="AL182" t="s">
        <v>308</v>
      </c>
      <c r="AM182" t="s">
        <v>309</v>
      </c>
      <c r="AN182" t="s">
        <v>310</v>
      </c>
      <c r="AO182" t="s">
        <v>2242</v>
      </c>
      <c r="AP182" t="s">
        <v>2243</v>
      </c>
      <c r="AQ182" t="s">
        <v>74</v>
      </c>
      <c r="AR182" t="s">
        <v>2244</v>
      </c>
      <c r="AS182" t="s">
        <v>2245</v>
      </c>
      <c r="AT182" t="s">
        <v>3516</v>
      </c>
      <c r="AU182">
        <v>2011</v>
      </c>
      <c r="AV182">
        <v>307</v>
      </c>
      <c r="AW182" t="s">
        <v>315</v>
      </c>
      <c r="AX182" t="s">
        <v>74</v>
      </c>
      <c r="AY182" t="s">
        <v>74</v>
      </c>
      <c r="AZ182" t="s">
        <v>74</v>
      </c>
      <c r="BA182" t="s">
        <v>74</v>
      </c>
      <c r="BB182">
        <v>279</v>
      </c>
      <c r="BC182">
        <v>288</v>
      </c>
      <c r="BD182" t="s">
        <v>74</v>
      </c>
      <c r="BE182" t="s">
        <v>3517</v>
      </c>
      <c r="BF182" t="str">
        <f>HYPERLINK("http://dx.doi.org/10.1016/j.epsl.2011.04.024","http://dx.doi.org/10.1016/j.epsl.2011.04.024")</f>
        <v>http://dx.doi.org/10.1016/j.epsl.2011.04.024</v>
      </c>
      <c r="BG182" t="s">
        <v>74</v>
      </c>
      <c r="BH182" t="s">
        <v>74</v>
      </c>
      <c r="BI182">
        <v>10</v>
      </c>
      <c r="BJ182" t="s">
        <v>488</v>
      </c>
      <c r="BK182" t="s">
        <v>100</v>
      </c>
      <c r="BL182" t="s">
        <v>488</v>
      </c>
      <c r="BM182" t="s">
        <v>3518</v>
      </c>
      <c r="BN182" t="s">
        <v>74</v>
      </c>
      <c r="BO182" t="s">
        <v>74</v>
      </c>
      <c r="BP182" t="s">
        <v>74</v>
      </c>
      <c r="BQ182" t="s">
        <v>74</v>
      </c>
      <c r="BR182" t="s">
        <v>103</v>
      </c>
      <c r="BS182" t="s">
        <v>3519</v>
      </c>
      <c r="BT182" t="str">
        <f>HYPERLINK("https%3A%2F%2Fwww.webofscience.com%2Fwos%2Fwoscc%2Ffull-record%2FWOS:000293258300005","View Full Record in Web of Science")</f>
        <v>View Full Record in Web of Science</v>
      </c>
    </row>
    <row r="183" spans="1:72" x14ac:dyDescent="0.15">
      <c r="A183" t="s">
        <v>72</v>
      </c>
      <c r="B183" t="s">
        <v>3520</v>
      </c>
      <c r="C183" t="s">
        <v>74</v>
      </c>
      <c r="D183" t="s">
        <v>74</v>
      </c>
      <c r="E183" t="s">
        <v>74</v>
      </c>
      <c r="F183" t="s">
        <v>3521</v>
      </c>
      <c r="G183" t="s">
        <v>74</v>
      </c>
      <c r="H183" t="s">
        <v>74</v>
      </c>
      <c r="I183" t="s">
        <v>3522</v>
      </c>
      <c r="J183" t="s">
        <v>2229</v>
      </c>
      <c r="K183" t="s">
        <v>74</v>
      </c>
      <c r="L183" t="s">
        <v>74</v>
      </c>
      <c r="M183" t="s">
        <v>78</v>
      </c>
      <c r="N183" t="s">
        <v>79</v>
      </c>
      <c r="O183" t="s">
        <v>74</v>
      </c>
      <c r="P183" t="s">
        <v>74</v>
      </c>
      <c r="Q183" t="s">
        <v>74</v>
      </c>
      <c r="R183" t="s">
        <v>74</v>
      </c>
      <c r="S183" t="s">
        <v>74</v>
      </c>
      <c r="T183" t="s">
        <v>3523</v>
      </c>
      <c r="U183" t="s">
        <v>3524</v>
      </c>
      <c r="V183" t="s">
        <v>3525</v>
      </c>
      <c r="W183" t="s">
        <v>3526</v>
      </c>
      <c r="X183" t="s">
        <v>3527</v>
      </c>
      <c r="Y183" t="s">
        <v>3528</v>
      </c>
      <c r="Z183" t="s">
        <v>3529</v>
      </c>
      <c r="AA183" t="s">
        <v>3530</v>
      </c>
      <c r="AB183" t="s">
        <v>3531</v>
      </c>
      <c r="AC183" t="s">
        <v>3532</v>
      </c>
      <c r="AD183" t="s">
        <v>3532</v>
      </c>
      <c r="AE183" t="s">
        <v>3533</v>
      </c>
      <c r="AF183" t="s">
        <v>74</v>
      </c>
      <c r="AG183">
        <v>49</v>
      </c>
      <c r="AH183">
        <v>50</v>
      </c>
      <c r="AI183">
        <v>56</v>
      </c>
      <c r="AJ183">
        <v>1</v>
      </c>
      <c r="AK183">
        <v>17</v>
      </c>
      <c r="AL183" t="s">
        <v>308</v>
      </c>
      <c r="AM183" t="s">
        <v>309</v>
      </c>
      <c r="AN183" t="s">
        <v>310</v>
      </c>
      <c r="AO183" t="s">
        <v>2242</v>
      </c>
      <c r="AP183" t="s">
        <v>2243</v>
      </c>
      <c r="AQ183" t="s">
        <v>74</v>
      </c>
      <c r="AR183" t="s">
        <v>2244</v>
      </c>
      <c r="AS183" t="s">
        <v>2245</v>
      </c>
      <c r="AT183" t="s">
        <v>3516</v>
      </c>
      <c r="AU183">
        <v>2011</v>
      </c>
      <c r="AV183">
        <v>307</v>
      </c>
      <c r="AW183" t="s">
        <v>315</v>
      </c>
      <c r="AX183" t="s">
        <v>74</v>
      </c>
      <c r="AY183" t="s">
        <v>74</v>
      </c>
      <c r="AZ183" t="s">
        <v>74</v>
      </c>
      <c r="BA183" t="s">
        <v>74</v>
      </c>
      <c r="BB183">
        <v>289</v>
      </c>
      <c r="BC183">
        <v>297</v>
      </c>
      <c r="BD183" t="s">
        <v>74</v>
      </c>
      <c r="BE183" t="s">
        <v>3534</v>
      </c>
      <c r="BF183" t="str">
        <f>HYPERLINK("http://dx.doi.org/10.1016/j.epsl.2011.04.043","http://dx.doi.org/10.1016/j.epsl.2011.04.043")</f>
        <v>http://dx.doi.org/10.1016/j.epsl.2011.04.043</v>
      </c>
      <c r="BG183" t="s">
        <v>74</v>
      </c>
      <c r="BH183" t="s">
        <v>74</v>
      </c>
      <c r="BI183">
        <v>9</v>
      </c>
      <c r="BJ183" t="s">
        <v>488</v>
      </c>
      <c r="BK183" t="s">
        <v>100</v>
      </c>
      <c r="BL183" t="s">
        <v>488</v>
      </c>
      <c r="BM183" t="s">
        <v>3518</v>
      </c>
      <c r="BN183" t="s">
        <v>74</v>
      </c>
      <c r="BO183" t="s">
        <v>702</v>
      </c>
      <c r="BP183" t="s">
        <v>74</v>
      </c>
      <c r="BQ183" t="s">
        <v>74</v>
      </c>
      <c r="BR183" t="s">
        <v>103</v>
      </c>
      <c r="BS183" t="s">
        <v>3535</v>
      </c>
      <c r="BT183" t="str">
        <f>HYPERLINK("https%3A%2F%2Fwww.webofscience.com%2Fwos%2Fwoscc%2Ffull-record%2FWOS:000293258300006","View Full Record in Web of Science")</f>
        <v>View Full Record in Web of Science</v>
      </c>
    </row>
    <row r="184" spans="1:72" x14ac:dyDescent="0.15">
      <c r="A184" t="s">
        <v>72</v>
      </c>
      <c r="B184" t="s">
        <v>3536</v>
      </c>
      <c r="C184" t="s">
        <v>74</v>
      </c>
      <c r="D184" t="s">
        <v>74</v>
      </c>
      <c r="E184" t="s">
        <v>74</v>
      </c>
      <c r="F184" t="s">
        <v>3537</v>
      </c>
      <c r="G184" t="s">
        <v>74</v>
      </c>
      <c r="H184" t="s">
        <v>74</v>
      </c>
      <c r="I184" t="s">
        <v>3538</v>
      </c>
      <c r="J184" t="s">
        <v>3539</v>
      </c>
      <c r="K184" t="s">
        <v>74</v>
      </c>
      <c r="L184" t="s">
        <v>74</v>
      </c>
      <c r="M184" t="s">
        <v>78</v>
      </c>
      <c r="N184" t="s">
        <v>79</v>
      </c>
      <c r="O184" t="s">
        <v>74</v>
      </c>
      <c r="P184" t="s">
        <v>74</v>
      </c>
      <c r="Q184" t="s">
        <v>74</v>
      </c>
      <c r="R184" t="s">
        <v>74</v>
      </c>
      <c r="S184" t="s">
        <v>74</v>
      </c>
      <c r="T184" t="s">
        <v>74</v>
      </c>
      <c r="U184" t="s">
        <v>3540</v>
      </c>
      <c r="V184" t="s">
        <v>3541</v>
      </c>
      <c r="W184" t="s">
        <v>3542</v>
      </c>
      <c r="X184" t="s">
        <v>3543</v>
      </c>
      <c r="Y184" t="s">
        <v>3544</v>
      </c>
      <c r="Z184" t="s">
        <v>3545</v>
      </c>
      <c r="AA184" t="s">
        <v>3546</v>
      </c>
      <c r="AB184" t="s">
        <v>3547</v>
      </c>
      <c r="AC184" t="s">
        <v>3548</v>
      </c>
      <c r="AD184" t="s">
        <v>3549</v>
      </c>
      <c r="AE184" t="s">
        <v>3550</v>
      </c>
      <c r="AF184" t="s">
        <v>74</v>
      </c>
      <c r="AG184">
        <v>97</v>
      </c>
      <c r="AH184">
        <v>36</v>
      </c>
      <c r="AI184">
        <v>39</v>
      </c>
      <c r="AJ184">
        <v>0</v>
      </c>
      <c r="AK184">
        <v>13</v>
      </c>
      <c r="AL184" t="s">
        <v>926</v>
      </c>
      <c r="AM184" t="s">
        <v>508</v>
      </c>
      <c r="AN184" t="s">
        <v>927</v>
      </c>
      <c r="AO184" t="s">
        <v>3551</v>
      </c>
      <c r="AP184" t="s">
        <v>74</v>
      </c>
      <c r="AQ184" t="s">
        <v>74</v>
      </c>
      <c r="AR184" t="s">
        <v>3552</v>
      </c>
      <c r="AS184" t="s">
        <v>3553</v>
      </c>
      <c r="AT184" t="s">
        <v>3516</v>
      </c>
      <c r="AU184">
        <v>2011</v>
      </c>
      <c r="AV184">
        <v>75</v>
      </c>
      <c r="AW184">
        <v>14</v>
      </c>
      <c r="AX184" t="s">
        <v>74</v>
      </c>
      <c r="AY184" t="s">
        <v>74</v>
      </c>
      <c r="AZ184" t="s">
        <v>74</v>
      </c>
      <c r="BA184" t="s">
        <v>74</v>
      </c>
      <c r="BB184">
        <v>4020</v>
      </c>
      <c r="BC184">
        <v>4036</v>
      </c>
      <c r="BD184" t="s">
        <v>74</v>
      </c>
      <c r="BE184" t="s">
        <v>3554</v>
      </c>
      <c r="BF184" t="str">
        <f>HYPERLINK("http://dx.doi.org/10.1016/j.gca.2011.04.019","http://dx.doi.org/10.1016/j.gca.2011.04.019")</f>
        <v>http://dx.doi.org/10.1016/j.gca.2011.04.019</v>
      </c>
      <c r="BG184" t="s">
        <v>74</v>
      </c>
      <c r="BH184" t="s">
        <v>74</v>
      </c>
      <c r="BI184">
        <v>17</v>
      </c>
      <c r="BJ184" t="s">
        <v>488</v>
      </c>
      <c r="BK184" t="s">
        <v>100</v>
      </c>
      <c r="BL184" t="s">
        <v>488</v>
      </c>
      <c r="BM184" t="s">
        <v>3555</v>
      </c>
      <c r="BN184" t="s">
        <v>74</v>
      </c>
      <c r="BO184" t="s">
        <v>74</v>
      </c>
      <c r="BP184" t="s">
        <v>74</v>
      </c>
      <c r="BQ184" t="s">
        <v>74</v>
      </c>
      <c r="BR184" t="s">
        <v>103</v>
      </c>
      <c r="BS184" t="s">
        <v>3556</v>
      </c>
      <c r="BT184" t="str">
        <f>HYPERLINK("https%3A%2F%2Fwww.webofscience.com%2Fwos%2Fwoscc%2Ffull-record%2FWOS:000293090100009","View Full Record in Web of Science")</f>
        <v>View Full Record in Web of Science</v>
      </c>
    </row>
    <row r="185" spans="1:72" x14ac:dyDescent="0.15">
      <c r="A185" t="s">
        <v>72</v>
      </c>
      <c r="B185" t="s">
        <v>3557</v>
      </c>
      <c r="C185" t="s">
        <v>74</v>
      </c>
      <c r="D185" t="s">
        <v>74</v>
      </c>
      <c r="E185" t="s">
        <v>74</v>
      </c>
      <c r="F185" t="s">
        <v>3558</v>
      </c>
      <c r="G185" t="s">
        <v>74</v>
      </c>
      <c r="H185" t="s">
        <v>74</v>
      </c>
      <c r="I185" t="s">
        <v>3559</v>
      </c>
      <c r="J185" t="s">
        <v>2229</v>
      </c>
      <c r="K185" t="s">
        <v>74</v>
      </c>
      <c r="L185" t="s">
        <v>74</v>
      </c>
      <c r="M185" t="s">
        <v>78</v>
      </c>
      <c r="N185" t="s">
        <v>79</v>
      </c>
      <c r="O185" t="s">
        <v>74</v>
      </c>
      <c r="P185" t="s">
        <v>74</v>
      </c>
      <c r="Q185" t="s">
        <v>74</v>
      </c>
      <c r="R185" t="s">
        <v>74</v>
      </c>
      <c r="S185" t="s">
        <v>74</v>
      </c>
      <c r="T185" t="s">
        <v>3560</v>
      </c>
      <c r="U185" t="s">
        <v>3561</v>
      </c>
      <c r="V185" t="s">
        <v>3562</v>
      </c>
      <c r="W185" t="s">
        <v>3563</v>
      </c>
      <c r="X185" t="s">
        <v>3564</v>
      </c>
      <c r="Y185" t="s">
        <v>3565</v>
      </c>
      <c r="Z185" t="s">
        <v>3566</v>
      </c>
      <c r="AA185" t="s">
        <v>3567</v>
      </c>
      <c r="AB185" t="s">
        <v>3568</v>
      </c>
      <c r="AC185" t="s">
        <v>3569</v>
      </c>
      <c r="AD185" t="s">
        <v>3570</v>
      </c>
      <c r="AE185" t="s">
        <v>3571</v>
      </c>
      <c r="AF185" t="s">
        <v>74</v>
      </c>
      <c r="AG185">
        <v>46</v>
      </c>
      <c r="AH185">
        <v>11</v>
      </c>
      <c r="AI185">
        <v>12</v>
      </c>
      <c r="AJ185">
        <v>0</v>
      </c>
      <c r="AK185">
        <v>17</v>
      </c>
      <c r="AL185" t="s">
        <v>308</v>
      </c>
      <c r="AM185" t="s">
        <v>309</v>
      </c>
      <c r="AN185" t="s">
        <v>310</v>
      </c>
      <c r="AO185" t="s">
        <v>2242</v>
      </c>
      <c r="AP185" t="s">
        <v>2243</v>
      </c>
      <c r="AQ185" t="s">
        <v>74</v>
      </c>
      <c r="AR185" t="s">
        <v>2244</v>
      </c>
      <c r="AS185" t="s">
        <v>2245</v>
      </c>
      <c r="AT185" t="s">
        <v>3516</v>
      </c>
      <c r="AU185">
        <v>2011</v>
      </c>
      <c r="AV185">
        <v>307</v>
      </c>
      <c r="AW185" t="s">
        <v>315</v>
      </c>
      <c r="AX185" t="s">
        <v>74</v>
      </c>
      <c r="AY185" t="s">
        <v>74</v>
      </c>
      <c r="AZ185" t="s">
        <v>74</v>
      </c>
      <c r="BA185" t="s">
        <v>74</v>
      </c>
      <c r="BB185">
        <v>334</v>
      </c>
      <c r="BC185">
        <v>340</v>
      </c>
      <c r="BD185" t="s">
        <v>74</v>
      </c>
      <c r="BE185" t="s">
        <v>3572</v>
      </c>
      <c r="BF185" t="str">
        <f>HYPERLINK("http://dx.doi.org/10.1016/j.epsl.2011.05.007","http://dx.doi.org/10.1016/j.epsl.2011.05.007")</f>
        <v>http://dx.doi.org/10.1016/j.epsl.2011.05.007</v>
      </c>
      <c r="BG185" t="s">
        <v>74</v>
      </c>
      <c r="BH185" t="s">
        <v>74</v>
      </c>
      <c r="BI185">
        <v>7</v>
      </c>
      <c r="BJ185" t="s">
        <v>488</v>
      </c>
      <c r="BK185" t="s">
        <v>100</v>
      </c>
      <c r="BL185" t="s">
        <v>488</v>
      </c>
      <c r="BM185" t="s">
        <v>3518</v>
      </c>
      <c r="BN185" t="s">
        <v>74</v>
      </c>
      <c r="BO185" t="s">
        <v>74</v>
      </c>
      <c r="BP185" t="s">
        <v>74</v>
      </c>
      <c r="BQ185" t="s">
        <v>74</v>
      </c>
      <c r="BR185" t="s">
        <v>103</v>
      </c>
      <c r="BS185" t="s">
        <v>3573</v>
      </c>
      <c r="BT185" t="str">
        <f>HYPERLINK("https%3A%2F%2Fwww.webofscience.com%2Fwos%2Fwoscc%2Ffull-record%2FWOS:000293258300010","View Full Record in Web of Science")</f>
        <v>View Full Record in Web of Science</v>
      </c>
    </row>
    <row r="186" spans="1:72" x14ac:dyDescent="0.15">
      <c r="A186" t="s">
        <v>72</v>
      </c>
      <c r="B186" t="s">
        <v>3574</v>
      </c>
      <c r="C186" t="s">
        <v>74</v>
      </c>
      <c r="D186" t="s">
        <v>74</v>
      </c>
      <c r="E186" t="s">
        <v>74</v>
      </c>
      <c r="F186" t="s">
        <v>3575</v>
      </c>
      <c r="G186" t="s">
        <v>74</v>
      </c>
      <c r="H186" t="s">
        <v>74</v>
      </c>
      <c r="I186" t="s">
        <v>3576</v>
      </c>
      <c r="J186" t="s">
        <v>1722</v>
      </c>
      <c r="K186" t="s">
        <v>74</v>
      </c>
      <c r="L186" t="s">
        <v>74</v>
      </c>
      <c r="M186" t="s">
        <v>78</v>
      </c>
      <c r="N186" t="s">
        <v>79</v>
      </c>
      <c r="O186" t="s">
        <v>74</v>
      </c>
      <c r="P186" t="s">
        <v>74</v>
      </c>
      <c r="Q186" t="s">
        <v>74</v>
      </c>
      <c r="R186" t="s">
        <v>74</v>
      </c>
      <c r="S186" t="s">
        <v>74</v>
      </c>
      <c r="T186" t="s">
        <v>74</v>
      </c>
      <c r="U186" t="s">
        <v>3577</v>
      </c>
      <c r="V186" t="s">
        <v>3578</v>
      </c>
      <c r="W186" t="s">
        <v>3579</v>
      </c>
      <c r="X186" t="s">
        <v>3580</v>
      </c>
      <c r="Y186" t="s">
        <v>3581</v>
      </c>
      <c r="Z186" t="s">
        <v>3582</v>
      </c>
      <c r="AA186" t="s">
        <v>3583</v>
      </c>
      <c r="AB186" t="s">
        <v>3584</v>
      </c>
      <c r="AC186" t="s">
        <v>3585</v>
      </c>
      <c r="AD186" t="s">
        <v>3586</v>
      </c>
      <c r="AE186" t="s">
        <v>3587</v>
      </c>
      <c r="AF186" t="s">
        <v>74</v>
      </c>
      <c r="AG186">
        <v>55</v>
      </c>
      <c r="AH186">
        <v>56</v>
      </c>
      <c r="AI186">
        <v>57</v>
      </c>
      <c r="AJ186">
        <v>4</v>
      </c>
      <c r="AK186">
        <v>51</v>
      </c>
      <c r="AL186" t="s">
        <v>216</v>
      </c>
      <c r="AM186" t="s">
        <v>121</v>
      </c>
      <c r="AN186" t="s">
        <v>217</v>
      </c>
      <c r="AO186" t="s">
        <v>1734</v>
      </c>
      <c r="AP186" t="s">
        <v>3588</v>
      </c>
      <c r="AQ186" t="s">
        <v>74</v>
      </c>
      <c r="AR186" t="s">
        <v>1735</v>
      </c>
      <c r="AS186" t="s">
        <v>1736</v>
      </c>
      <c r="AT186" t="s">
        <v>3516</v>
      </c>
      <c r="AU186">
        <v>2011</v>
      </c>
      <c r="AV186">
        <v>45</v>
      </c>
      <c r="AW186">
        <v>14</v>
      </c>
      <c r="AX186" t="s">
        <v>74</v>
      </c>
      <c r="AY186" t="s">
        <v>74</v>
      </c>
      <c r="AZ186" t="s">
        <v>74</v>
      </c>
      <c r="BA186" t="s">
        <v>74</v>
      </c>
      <c r="BB186">
        <v>5929</v>
      </c>
      <c r="BC186">
        <v>5935</v>
      </c>
      <c r="BD186" t="s">
        <v>74</v>
      </c>
      <c r="BE186" t="s">
        <v>3589</v>
      </c>
      <c r="BF186" t="str">
        <f>HYPERLINK("http://dx.doi.org/10.1021/es2005732","http://dx.doi.org/10.1021/es2005732")</f>
        <v>http://dx.doi.org/10.1021/es2005732</v>
      </c>
      <c r="BG186" t="s">
        <v>74</v>
      </c>
      <c r="BH186" t="s">
        <v>74</v>
      </c>
      <c r="BI186">
        <v>7</v>
      </c>
      <c r="BJ186" t="s">
        <v>1739</v>
      </c>
      <c r="BK186" t="s">
        <v>100</v>
      </c>
      <c r="BL186" t="s">
        <v>1740</v>
      </c>
      <c r="BM186" t="s">
        <v>3590</v>
      </c>
      <c r="BN186">
        <v>21662990</v>
      </c>
      <c r="BO186" t="s">
        <v>74</v>
      </c>
      <c r="BP186" t="s">
        <v>74</v>
      </c>
      <c r="BQ186" t="s">
        <v>74</v>
      </c>
      <c r="BR186" t="s">
        <v>103</v>
      </c>
      <c r="BS186" t="s">
        <v>3591</v>
      </c>
      <c r="BT186" t="str">
        <f>HYPERLINK("https%3A%2F%2Fwww.webofscience.com%2Fwos%2Fwoscc%2Ffull-record%2FWOS:000292850200004","View Full Record in Web of Science")</f>
        <v>View Full Record in Web of Science</v>
      </c>
    </row>
    <row r="187" spans="1:72" x14ac:dyDescent="0.15">
      <c r="A187" t="s">
        <v>72</v>
      </c>
      <c r="B187" t="s">
        <v>3592</v>
      </c>
      <c r="C187" t="s">
        <v>74</v>
      </c>
      <c r="D187" t="s">
        <v>74</v>
      </c>
      <c r="E187" t="s">
        <v>74</v>
      </c>
      <c r="F187" t="s">
        <v>3593</v>
      </c>
      <c r="G187" t="s">
        <v>74</v>
      </c>
      <c r="H187" t="s">
        <v>74</v>
      </c>
      <c r="I187" t="s">
        <v>3594</v>
      </c>
      <c r="J187" t="s">
        <v>3595</v>
      </c>
      <c r="K187" t="s">
        <v>74</v>
      </c>
      <c r="L187" t="s">
        <v>74</v>
      </c>
      <c r="M187" t="s">
        <v>78</v>
      </c>
      <c r="N187" t="s">
        <v>79</v>
      </c>
      <c r="O187" t="s">
        <v>74</v>
      </c>
      <c r="P187" t="s">
        <v>74</v>
      </c>
      <c r="Q187" t="s">
        <v>74</v>
      </c>
      <c r="R187" t="s">
        <v>74</v>
      </c>
      <c r="S187" t="s">
        <v>74</v>
      </c>
      <c r="T187" t="s">
        <v>3596</v>
      </c>
      <c r="U187" t="s">
        <v>3597</v>
      </c>
      <c r="V187" t="s">
        <v>3598</v>
      </c>
      <c r="W187" t="s">
        <v>3599</v>
      </c>
      <c r="X187" t="s">
        <v>3600</v>
      </c>
      <c r="Y187" t="s">
        <v>3601</v>
      </c>
      <c r="Z187" t="s">
        <v>3602</v>
      </c>
      <c r="AA187" t="s">
        <v>3603</v>
      </c>
      <c r="AB187" t="s">
        <v>3604</v>
      </c>
      <c r="AC187" t="s">
        <v>3605</v>
      </c>
      <c r="AD187" t="s">
        <v>3606</v>
      </c>
      <c r="AE187" t="s">
        <v>3607</v>
      </c>
      <c r="AF187" t="s">
        <v>74</v>
      </c>
      <c r="AG187">
        <v>35</v>
      </c>
      <c r="AH187">
        <v>17</v>
      </c>
      <c r="AI187">
        <v>24</v>
      </c>
      <c r="AJ187">
        <v>5</v>
      </c>
      <c r="AK187">
        <v>82</v>
      </c>
      <c r="AL187" t="s">
        <v>2669</v>
      </c>
      <c r="AM187" t="s">
        <v>309</v>
      </c>
      <c r="AN187" t="s">
        <v>2670</v>
      </c>
      <c r="AO187" t="s">
        <v>3608</v>
      </c>
      <c r="AP187" t="s">
        <v>74</v>
      </c>
      <c r="AQ187" t="s">
        <v>74</v>
      </c>
      <c r="AR187" t="s">
        <v>3609</v>
      </c>
      <c r="AS187" t="s">
        <v>3610</v>
      </c>
      <c r="AT187" t="s">
        <v>3516</v>
      </c>
      <c r="AU187">
        <v>2011</v>
      </c>
      <c r="AV187">
        <v>262</v>
      </c>
      <c r="AW187">
        <v>2</v>
      </c>
      <c r="AX187" t="s">
        <v>74</v>
      </c>
      <c r="AY187" t="s">
        <v>74</v>
      </c>
      <c r="AZ187" t="s">
        <v>74</v>
      </c>
      <c r="BA187" t="s">
        <v>74</v>
      </c>
      <c r="BB187">
        <v>263</v>
      </c>
      <c r="BC187">
        <v>269</v>
      </c>
      <c r="BD187" t="s">
        <v>74</v>
      </c>
      <c r="BE187" t="s">
        <v>3611</v>
      </c>
      <c r="BF187" t="str">
        <f>HYPERLINK("http://dx.doi.org/10.1016/j.foreco.2011.03.031","http://dx.doi.org/10.1016/j.foreco.2011.03.031")</f>
        <v>http://dx.doi.org/10.1016/j.foreco.2011.03.031</v>
      </c>
      <c r="BG187" t="s">
        <v>74</v>
      </c>
      <c r="BH187" t="s">
        <v>74</v>
      </c>
      <c r="BI187">
        <v>7</v>
      </c>
      <c r="BJ187" t="s">
        <v>3612</v>
      </c>
      <c r="BK187" t="s">
        <v>100</v>
      </c>
      <c r="BL187" t="s">
        <v>3612</v>
      </c>
      <c r="BM187" t="s">
        <v>3613</v>
      </c>
      <c r="BN187" t="s">
        <v>74</v>
      </c>
      <c r="BO187" t="s">
        <v>74</v>
      </c>
      <c r="BP187" t="s">
        <v>74</v>
      </c>
      <c r="BQ187" t="s">
        <v>74</v>
      </c>
      <c r="BR187" t="s">
        <v>103</v>
      </c>
      <c r="BS187" t="s">
        <v>3614</v>
      </c>
      <c r="BT187" t="str">
        <f>HYPERLINK("https%3A%2F%2Fwww.webofscience.com%2Fwos%2Fwoscc%2Ffull-record%2FWOS:000292234900026","View Full Record in Web of Science")</f>
        <v>View Full Record in Web of Science</v>
      </c>
    </row>
    <row r="188" spans="1:72" x14ac:dyDescent="0.15">
      <c r="A188" t="s">
        <v>72</v>
      </c>
      <c r="B188" t="s">
        <v>3615</v>
      </c>
      <c r="C188" t="s">
        <v>74</v>
      </c>
      <c r="D188" t="s">
        <v>74</v>
      </c>
      <c r="E188" t="s">
        <v>74</v>
      </c>
      <c r="F188" t="s">
        <v>3616</v>
      </c>
      <c r="G188" t="s">
        <v>74</v>
      </c>
      <c r="H188" t="s">
        <v>74</v>
      </c>
      <c r="I188" t="s">
        <v>3617</v>
      </c>
      <c r="J188" t="s">
        <v>3539</v>
      </c>
      <c r="K188" t="s">
        <v>74</v>
      </c>
      <c r="L188" t="s">
        <v>74</v>
      </c>
      <c r="M188" t="s">
        <v>78</v>
      </c>
      <c r="N188" t="s">
        <v>79</v>
      </c>
      <c r="O188" t="s">
        <v>74</v>
      </c>
      <c r="P188" t="s">
        <v>74</v>
      </c>
      <c r="Q188" t="s">
        <v>74</v>
      </c>
      <c r="R188" t="s">
        <v>74</v>
      </c>
      <c r="S188" t="s">
        <v>74</v>
      </c>
      <c r="T188" t="s">
        <v>74</v>
      </c>
      <c r="U188" t="s">
        <v>3618</v>
      </c>
      <c r="V188" t="s">
        <v>3619</v>
      </c>
      <c r="W188" t="s">
        <v>3620</v>
      </c>
      <c r="X188" t="s">
        <v>3621</v>
      </c>
      <c r="Y188" t="s">
        <v>3622</v>
      </c>
      <c r="Z188" t="s">
        <v>3623</v>
      </c>
      <c r="AA188" t="s">
        <v>3624</v>
      </c>
      <c r="AB188" t="s">
        <v>3625</v>
      </c>
      <c r="AC188" t="s">
        <v>3626</v>
      </c>
      <c r="AD188" t="s">
        <v>3627</v>
      </c>
      <c r="AE188" t="s">
        <v>3628</v>
      </c>
      <c r="AF188" t="s">
        <v>74</v>
      </c>
      <c r="AG188">
        <v>70</v>
      </c>
      <c r="AH188">
        <v>198</v>
      </c>
      <c r="AI188">
        <v>215</v>
      </c>
      <c r="AJ188">
        <v>7</v>
      </c>
      <c r="AK188">
        <v>142</v>
      </c>
      <c r="AL188" t="s">
        <v>926</v>
      </c>
      <c r="AM188" t="s">
        <v>508</v>
      </c>
      <c r="AN188" t="s">
        <v>927</v>
      </c>
      <c r="AO188" t="s">
        <v>3551</v>
      </c>
      <c r="AP188" t="s">
        <v>3629</v>
      </c>
      <c r="AQ188" t="s">
        <v>74</v>
      </c>
      <c r="AR188" t="s">
        <v>3552</v>
      </c>
      <c r="AS188" t="s">
        <v>3553</v>
      </c>
      <c r="AT188" t="s">
        <v>3516</v>
      </c>
      <c r="AU188">
        <v>2011</v>
      </c>
      <c r="AV188">
        <v>75</v>
      </c>
      <c r="AW188">
        <v>14</v>
      </c>
      <c r="AX188" t="s">
        <v>74</v>
      </c>
      <c r="AY188" t="s">
        <v>74</v>
      </c>
      <c r="AZ188" t="s">
        <v>74</v>
      </c>
      <c r="BA188" t="s">
        <v>74</v>
      </c>
      <c r="BB188">
        <v>4037</v>
      </c>
      <c r="BC188">
        <v>4052</v>
      </c>
      <c r="BD188" t="s">
        <v>74</v>
      </c>
      <c r="BE188" t="s">
        <v>3630</v>
      </c>
      <c r="BF188" t="str">
        <f>HYPERLINK("http://dx.doi.org/10.1016/j.gca.2011.05.001","http://dx.doi.org/10.1016/j.gca.2011.05.001")</f>
        <v>http://dx.doi.org/10.1016/j.gca.2011.05.001</v>
      </c>
      <c r="BG188" t="s">
        <v>74</v>
      </c>
      <c r="BH188" t="s">
        <v>74</v>
      </c>
      <c r="BI188">
        <v>16</v>
      </c>
      <c r="BJ188" t="s">
        <v>488</v>
      </c>
      <c r="BK188" t="s">
        <v>100</v>
      </c>
      <c r="BL188" t="s">
        <v>488</v>
      </c>
      <c r="BM188" t="s">
        <v>3555</v>
      </c>
      <c r="BN188" t="s">
        <v>74</v>
      </c>
      <c r="BO188" t="s">
        <v>702</v>
      </c>
      <c r="BP188" t="s">
        <v>74</v>
      </c>
      <c r="BQ188" t="s">
        <v>74</v>
      </c>
      <c r="BR188" t="s">
        <v>103</v>
      </c>
      <c r="BS188" t="s">
        <v>3631</v>
      </c>
      <c r="BT188" t="str">
        <f>HYPERLINK("https%3A%2F%2Fwww.webofscience.com%2Fwos%2Fwoscc%2Ffull-record%2FWOS:000293090100010","View Full Record in Web of Science")</f>
        <v>View Full Record in Web of Science</v>
      </c>
    </row>
    <row r="189" spans="1:72" x14ac:dyDescent="0.15">
      <c r="A189" t="s">
        <v>72</v>
      </c>
      <c r="B189" t="s">
        <v>3632</v>
      </c>
      <c r="C189" t="s">
        <v>74</v>
      </c>
      <c r="D189" t="s">
        <v>74</v>
      </c>
      <c r="E189" t="s">
        <v>74</v>
      </c>
      <c r="F189" t="s">
        <v>3633</v>
      </c>
      <c r="G189" t="s">
        <v>74</v>
      </c>
      <c r="H189" t="s">
        <v>74</v>
      </c>
      <c r="I189" t="s">
        <v>3634</v>
      </c>
      <c r="J189" t="s">
        <v>3023</v>
      </c>
      <c r="K189" t="s">
        <v>74</v>
      </c>
      <c r="L189" t="s">
        <v>74</v>
      </c>
      <c r="M189" t="s">
        <v>78</v>
      </c>
      <c r="N189" t="s">
        <v>79</v>
      </c>
      <c r="O189" t="s">
        <v>74</v>
      </c>
      <c r="P189" t="s">
        <v>74</v>
      </c>
      <c r="Q189" t="s">
        <v>74</v>
      </c>
      <c r="R189" t="s">
        <v>74</v>
      </c>
      <c r="S189" t="s">
        <v>74</v>
      </c>
      <c r="T189" t="s">
        <v>3635</v>
      </c>
      <c r="U189" t="s">
        <v>3636</v>
      </c>
      <c r="V189" t="s">
        <v>3637</v>
      </c>
      <c r="W189" t="s">
        <v>3638</v>
      </c>
      <c r="X189" t="s">
        <v>2015</v>
      </c>
      <c r="Y189" t="s">
        <v>3639</v>
      </c>
      <c r="Z189" t="s">
        <v>3640</v>
      </c>
      <c r="AA189" t="s">
        <v>3641</v>
      </c>
      <c r="AB189" t="s">
        <v>3642</v>
      </c>
      <c r="AC189" t="s">
        <v>3643</v>
      </c>
      <c r="AD189" t="s">
        <v>2067</v>
      </c>
      <c r="AE189" t="s">
        <v>74</v>
      </c>
      <c r="AF189" t="s">
        <v>74</v>
      </c>
      <c r="AG189">
        <v>48</v>
      </c>
      <c r="AH189">
        <v>23</v>
      </c>
      <c r="AI189">
        <v>25</v>
      </c>
      <c r="AJ189">
        <v>1</v>
      </c>
      <c r="AK189">
        <v>30</v>
      </c>
      <c r="AL189" t="s">
        <v>2669</v>
      </c>
      <c r="AM189" t="s">
        <v>309</v>
      </c>
      <c r="AN189" t="s">
        <v>2670</v>
      </c>
      <c r="AO189" t="s">
        <v>3036</v>
      </c>
      <c r="AP189" t="s">
        <v>74</v>
      </c>
      <c r="AQ189" t="s">
        <v>74</v>
      </c>
      <c r="AR189" t="s">
        <v>3037</v>
      </c>
      <c r="AS189" t="s">
        <v>3038</v>
      </c>
      <c r="AT189" t="s">
        <v>3516</v>
      </c>
      <c r="AU189">
        <v>2011</v>
      </c>
      <c r="AV189">
        <v>403</v>
      </c>
      <c r="AW189" t="s">
        <v>2154</v>
      </c>
      <c r="AX189" t="s">
        <v>74</v>
      </c>
      <c r="AY189" t="s">
        <v>74</v>
      </c>
      <c r="AZ189" t="s">
        <v>74</v>
      </c>
      <c r="BA189" t="s">
        <v>74</v>
      </c>
      <c r="BB189">
        <v>39</v>
      </c>
      <c r="BC189">
        <v>45</v>
      </c>
      <c r="BD189" t="s">
        <v>74</v>
      </c>
      <c r="BE189" t="s">
        <v>3644</v>
      </c>
      <c r="BF189" t="str">
        <f>HYPERLINK("http://dx.doi.org/10.1016/j.jembe.2011.04.003","http://dx.doi.org/10.1016/j.jembe.2011.04.003")</f>
        <v>http://dx.doi.org/10.1016/j.jembe.2011.04.003</v>
      </c>
      <c r="BG189" t="s">
        <v>74</v>
      </c>
      <c r="BH189" t="s">
        <v>74</v>
      </c>
      <c r="BI189">
        <v>7</v>
      </c>
      <c r="BJ189" t="s">
        <v>3041</v>
      </c>
      <c r="BK189" t="s">
        <v>100</v>
      </c>
      <c r="BL189" t="s">
        <v>3042</v>
      </c>
      <c r="BM189" t="s">
        <v>3645</v>
      </c>
      <c r="BN189" t="s">
        <v>74</v>
      </c>
      <c r="BO189" t="s">
        <v>74</v>
      </c>
      <c r="BP189" t="s">
        <v>74</v>
      </c>
      <c r="BQ189" t="s">
        <v>74</v>
      </c>
      <c r="BR189" t="s">
        <v>103</v>
      </c>
      <c r="BS189" t="s">
        <v>3646</v>
      </c>
      <c r="BT189" t="str">
        <f>HYPERLINK("https%3A%2F%2Fwww.webofscience.com%2Fwos%2Fwoscc%2Ffull-record%2FWOS:000291770600006","View Full Record in Web of Science")</f>
        <v>View Full Record in Web of Science</v>
      </c>
    </row>
    <row r="190" spans="1:72" x14ac:dyDescent="0.15">
      <c r="A190" t="s">
        <v>72</v>
      </c>
      <c r="B190" t="s">
        <v>3647</v>
      </c>
      <c r="C190" t="s">
        <v>74</v>
      </c>
      <c r="D190" t="s">
        <v>74</v>
      </c>
      <c r="E190" t="s">
        <v>74</v>
      </c>
      <c r="F190" t="s">
        <v>3648</v>
      </c>
      <c r="G190" t="s">
        <v>74</v>
      </c>
      <c r="H190" t="s">
        <v>74</v>
      </c>
      <c r="I190" t="s">
        <v>3649</v>
      </c>
      <c r="J190" t="s">
        <v>3650</v>
      </c>
      <c r="K190" t="s">
        <v>74</v>
      </c>
      <c r="L190" t="s">
        <v>74</v>
      </c>
      <c r="M190" t="s">
        <v>78</v>
      </c>
      <c r="N190" t="s">
        <v>79</v>
      </c>
      <c r="O190" t="s">
        <v>74</v>
      </c>
      <c r="P190" t="s">
        <v>74</v>
      </c>
      <c r="Q190" t="s">
        <v>74</v>
      </c>
      <c r="R190" t="s">
        <v>74</v>
      </c>
      <c r="S190" t="s">
        <v>74</v>
      </c>
      <c r="T190" t="s">
        <v>74</v>
      </c>
      <c r="U190" t="s">
        <v>3651</v>
      </c>
      <c r="V190" t="s">
        <v>3652</v>
      </c>
      <c r="W190" t="s">
        <v>3653</v>
      </c>
      <c r="X190" t="s">
        <v>3654</v>
      </c>
      <c r="Y190" t="s">
        <v>3655</v>
      </c>
      <c r="Z190" t="s">
        <v>3656</v>
      </c>
      <c r="AA190" t="s">
        <v>74</v>
      </c>
      <c r="AB190" t="s">
        <v>3657</v>
      </c>
      <c r="AC190" t="s">
        <v>3658</v>
      </c>
      <c r="AD190" t="s">
        <v>3658</v>
      </c>
      <c r="AE190" t="s">
        <v>3659</v>
      </c>
      <c r="AF190" t="s">
        <v>74</v>
      </c>
      <c r="AG190">
        <v>38</v>
      </c>
      <c r="AH190">
        <v>40</v>
      </c>
      <c r="AI190">
        <v>41</v>
      </c>
      <c r="AJ190">
        <v>1</v>
      </c>
      <c r="AK190">
        <v>15</v>
      </c>
      <c r="AL190" t="s">
        <v>3660</v>
      </c>
      <c r="AM190" t="s">
        <v>3661</v>
      </c>
      <c r="AN190" t="s">
        <v>3662</v>
      </c>
      <c r="AO190" t="s">
        <v>3663</v>
      </c>
      <c r="AP190" t="s">
        <v>74</v>
      </c>
      <c r="AQ190" t="s">
        <v>74</v>
      </c>
      <c r="AR190" t="s">
        <v>3664</v>
      </c>
      <c r="AS190" t="s">
        <v>3665</v>
      </c>
      <c r="AT190" t="s">
        <v>3666</v>
      </c>
      <c r="AU190">
        <v>2011</v>
      </c>
      <c r="AV190">
        <v>1</v>
      </c>
      <c r="AW190" t="s">
        <v>74</v>
      </c>
      <c r="AX190" t="s">
        <v>74</v>
      </c>
      <c r="AY190" t="s">
        <v>74</v>
      </c>
      <c r="AZ190" t="s">
        <v>74</v>
      </c>
      <c r="BA190" t="s">
        <v>74</v>
      </c>
      <c r="BB190" t="s">
        <v>74</v>
      </c>
      <c r="BC190" t="s">
        <v>74</v>
      </c>
      <c r="BD190">
        <v>38</v>
      </c>
      <c r="BE190" t="s">
        <v>3667</v>
      </c>
      <c r="BF190" t="str">
        <f>HYPERLINK("http://dx.doi.org/10.1038/srep00038","http://dx.doi.org/10.1038/srep00038")</f>
        <v>http://dx.doi.org/10.1038/srep00038</v>
      </c>
      <c r="BG190" t="s">
        <v>74</v>
      </c>
      <c r="BH190" t="s">
        <v>74</v>
      </c>
      <c r="BI190">
        <v>8</v>
      </c>
      <c r="BJ190" t="s">
        <v>177</v>
      </c>
      <c r="BK190" t="s">
        <v>100</v>
      </c>
      <c r="BL190" t="s">
        <v>178</v>
      </c>
      <c r="BM190" t="s">
        <v>3668</v>
      </c>
      <c r="BN190">
        <v>22355557</v>
      </c>
      <c r="BO190" t="s">
        <v>198</v>
      </c>
      <c r="BP190" t="s">
        <v>74</v>
      </c>
      <c r="BQ190" t="s">
        <v>74</v>
      </c>
      <c r="BR190" t="s">
        <v>103</v>
      </c>
      <c r="BS190" t="s">
        <v>3669</v>
      </c>
      <c r="BT190" t="str">
        <f>HYPERLINK("https%3A%2F%2Fwww.webofscience.com%2Fwos%2Fwoscc%2Ffull-record%2FWOS:000296049200002","View Full Record in Web of Science")</f>
        <v>View Full Record in Web of Science</v>
      </c>
    </row>
    <row r="191" spans="1:72" x14ac:dyDescent="0.15">
      <c r="A191" t="s">
        <v>72</v>
      </c>
      <c r="B191" t="s">
        <v>3670</v>
      </c>
      <c r="C191" t="s">
        <v>74</v>
      </c>
      <c r="D191" t="s">
        <v>74</v>
      </c>
      <c r="E191" t="s">
        <v>74</v>
      </c>
      <c r="F191" t="s">
        <v>3671</v>
      </c>
      <c r="G191" t="s">
        <v>74</v>
      </c>
      <c r="H191" t="s">
        <v>74</v>
      </c>
      <c r="I191" t="s">
        <v>3672</v>
      </c>
      <c r="J191" t="s">
        <v>108</v>
      </c>
      <c r="K191" t="s">
        <v>74</v>
      </c>
      <c r="L191" t="s">
        <v>74</v>
      </c>
      <c r="M191" t="s">
        <v>78</v>
      </c>
      <c r="N191" t="s">
        <v>79</v>
      </c>
      <c r="O191" t="s">
        <v>74</v>
      </c>
      <c r="P191" t="s">
        <v>74</v>
      </c>
      <c r="Q191" t="s">
        <v>74</v>
      </c>
      <c r="R191" t="s">
        <v>74</v>
      </c>
      <c r="S191" t="s">
        <v>74</v>
      </c>
      <c r="T191" t="s">
        <v>74</v>
      </c>
      <c r="U191" t="s">
        <v>3673</v>
      </c>
      <c r="V191" t="s">
        <v>3674</v>
      </c>
      <c r="W191" t="s">
        <v>3675</v>
      </c>
      <c r="X191" t="s">
        <v>3676</v>
      </c>
      <c r="Y191" t="s">
        <v>3677</v>
      </c>
      <c r="Z191" t="s">
        <v>3678</v>
      </c>
      <c r="AA191" t="s">
        <v>74</v>
      </c>
      <c r="AB191" t="s">
        <v>74</v>
      </c>
      <c r="AC191" t="s">
        <v>3679</v>
      </c>
      <c r="AD191" t="s">
        <v>3680</v>
      </c>
      <c r="AE191" t="s">
        <v>3681</v>
      </c>
      <c r="AF191" t="s">
        <v>74</v>
      </c>
      <c r="AG191">
        <v>34</v>
      </c>
      <c r="AH191">
        <v>41</v>
      </c>
      <c r="AI191">
        <v>44</v>
      </c>
      <c r="AJ191">
        <v>0</v>
      </c>
      <c r="AK191">
        <v>10</v>
      </c>
      <c r="AL191" t="s">
        <v>120</v>
      </c>
      <c r="AM191" t="s">
        <v>121</v>
      </c>
      <c r="AN191" t="s">
        <v>122</v>
      </c>
      <c r="AO191" t="s">
        <v>123</v>
      </c>
      <c r="AP191" t="s">
        <v>124</v>
      </c>
      <c r="AQ191" t="s">
        <v>74</v>
      </c>
      <c r="AR191" t="s">
        <v>125</v>
      </c>
      <c r="AS191" t="s">
        <v>126</v>
      </c>
      <c r="AT191" t="s">
        <v>3682</v>
      </c>
      <c r="AU191">
        <v>2011</v>
      </c>
      <c r="AV191">
        <v>38</v>
      </c>
      <c r="AW191" t="s">
        <v>74</v>
      </c>
      <c r="AX191" t="s">
        <v>74</v>
      </c>
      <c r="AY191" t="s">
        <v>74</v>
      </c>
      <c r="AZ191" t="s">
        <v>74</v>
      </c>
      <c r="BA191" t="s">
        <v>74</v>
      </c>
      <c r="BB191" t="s">
        <v>74</v>
      </c>
      <c r="BC191" t="s">
        <v>74</v>
      </c>
      <c r="BD191" t="s">
        <v>3683</v>
      </c>
      <c r="BE191" t="s">
        <v>3684</v>
      </c>
      <c r="BF191" t="str">
        <f>HYPERLINK("http://dx.doi.org/10.1029/2011GL047879","http://dx.doi.org/10.1029/2011GL047879")</f>
        <v>http://dx.doi.org/10.1029/2011GL047879</v>
      </c>
      <c r="BG191" t="s">
        <v>74</v>
      </c>
      <c r="BH191" t="s">
        <v>74</v>
      </c>
      <c r="BI191">
        <v>6</v>
      </c>
      <c r="BJ191" t="s">
        <v>130</v>
      </c>
      <c r="BK191" t="s">
        <v>100</v>
      </c>
      <c r="BL191" t="s">
        <v>131</v>
      </c>
      <c r="BM191" t="s">
        <v>3685</v>
      </c>
      <c r="BN191" t="s">
        <v>74</v>
      </c>
      <c r="BO191" t="s">
        <v>152</v>
      </c>
      <c r="BP191" t="s">
        <v>74</v>
      </c>
      <c r="BQ191" t="s">
        <v>74</v>
      </c>
      <c r="BR191" t="s">
        <v>103</v>
      </c>
      <c r="BS191" t="s">
        <v>3686</v>
      </c>
      <c r="BT191" t="str">
        <f>HYPERLINK("https%3A%2F%2Fwww.webofscience.com%2Fwos%2Fwoscc%2Ffull-record%2FWOS:000292834500002","View Full Record in Web of Science")</f>
        <v>View Full Record in Web of Science</v>
      </c>
    </row>
    <row r="192" spans="1:72" x14ac:dyDescent="0.15">
      <c r="A192" t="s">
        <v>72</v>
      </c>
      <c r="B192" t="s">
        <v>3687</v>
      </c>
      <c r="C192" t="s">
        <v>74</v>
      </c>
      <c r="D192" t="s">
        <v>74</v>
      </c>
      <c r="E192" t="s">
        <v>74</v>
      </c>
      <c r="F192" t="s">
        <v>3688</v>
      </c>
      <c r="G192" t="s">
        <v>74</v>
      </c>
      <c r="H192" t="s">
        <v>74</v>
      </c>
      <c r="I192" t="s">
        <v>3689</v>
      </c>
      <c r="J192" t="s">
        <v>230</v>
      </c>
      <c r="K192" t="s">
        <v>74</v>
      </c>
      <c r="L192" t="s">
        <v>74</v>
      </c>
      <c r="M192" t="s">
        <v>78</v>
      </c>
      <c r="N192" t="s">
        <v>79</v>
      </c>
      <c r="O192" t="s">
        <v>74</v>
      </c>
      <c r="P192" t="s">
        <v>74</v>
      </c>
      <c r="Q192" t="s">
        <v>74</v>
      </c>
      <c r="R192" t="s">
        <v>74</v>
      </c>
      <c r="S192" t="s">
        <v>74</v>
      </c>
      <c r="T192" t="s">
        <v>74</v>
      </c>
      <c r="U192" t="s">
        <v>3690</v>
      </c>
      <c r="V192" t="s">
        <v>3691</v>
      </c>
      <c r="W192" t="s">
        <v>3692</v>
      </c>
      <c r="X192" t="s">
        <v>3693</v>
      </c>
      <c r="Y192" t="s">
        <v>3694</v>
      </c>
      <c r="Z192" t="s">
        <v>3695</v>
      </c>
      <c r="AA192" t="s">
        <v>3696</v>
      </c>
      <c r="AB192" t="s">
        <v>3697</v>
      </c>
      <c r="AC192" t="s">
        <v>74</v>
      </c>
      <c r="AD192" t="s">
        <v>74</v>
      </c>
      <c r="AE192" t="s">
        <v>74</v>
      </c>
      <c r="AF192" t="s">
        <v>74</v>
      </c>
      <c r="AG192">
        <v>51</v>
      </c>
      <c r="AH192">
        <v>51</v>
      </c>
      <c r="AI192">
        <v>52</v>
      </c>
      <c r="AJ192">
        <v>1</v>
      </c>
      <c r="AK192">
        <v>9</v>
      </c>
      <c r="AL192" t="s">
        <v>120</v>
      </c>
      <c r="AM192" t="s">
        <v>121</v>
      </c>
      <c r="AN192" t="s">
        <v>122</v>
      </c>
      <c r="AO192" t="s">
        <v>242</v>
      </c>
      <c r="AP192" t="s">
        <v>74</v>
      </c>
      <c r="AQ192" t="s">
        <v>74</v>
      </c>
      <c r="AR192" t="s">
        <v>244</v>
      </c>
      <c r="AS192" t="s">
        <v>245</v>
      </c>
      <c r="AT192" t="s">
        <v>3682</v>
      </c>
      <c r="AU192">
        <v>2011</v>
      </c>
      <c r="AV192">
        <v>116</v>
      </c>
      <c r="AW192" t="s">
        <v>74</v>
      </c>
      <c r="AX192" t="s">
        <v>74</v>
      </c>
      <c r="AY192" t="s">
        <v>74</v>
      </c>
      <c r="AZ192" t="s">
        <v>74</v>
      </c>
      <c r="BA192" t="s">
        <v>74</v>
      </c>
      <c r="BB192" t="s">
        <v>74</v>
      </c>
      <c r="BC192" t="s">
        <v>74</v>
      </c>
      <c r="BD192" t="s">
        <v>3698</v>
      </c>
      <c r="BE192" t="s">
        <v>3699</v>
      </c>
      <c r="BF192" t="str">
        <f>HYPERLINK("http://dx.doi.org/10.1029/2010JD015164","http://dx.doi.org/10.1029/2010JD015164")</f>
        <v>http://dx.doi.org/10.1029/2010JD015164</v>
      </c>
      <c r="BG192" t="s">
        <v>74</v>
      </c>
      <c r="BH192" t="s">
        <v>74</v>
      </c>
      <c r="BI192">
        <v>12</v>
      </c>
      <c r="BJ192" t="s">
        <v>248</v>
      </c>
      <c r="BK192" t="s">
        <v>100</v>
      </c>
      <c r="BL192" t="s">
        <v>248</v>
      </c>
      <c r="BM192" t="s">
        <v>3700</v>
      </c>
      <c r="BN192" t="s">
        <v>74</v>
      </c>
      <c r="BO192" t="s">
        <v>152</v>
      </c>
      <c r="BP192" t="s">
        <v>74</v>
      </c>
      <c r="BQ192" t="s">
        <v>74</v>
      </c>
      <c r="BR192" t="s">
        <v>103</v>
      </c>
      <c r="BS192" t="s">
        <v>3701</v>
      </c>
      <c r="BT192" t="str">
        <f>HYPERLINK("https%3A%2F%2Fwww.webofscience.com%2Fwos%2Fwoscc%2Ffull-record%2FWOS:000292840000001","View Full Record in Web of Science")</f>
        <v>View Full Record in Web of Science</v>
      </c>
    </row>
    <row r="193" spans="1:72" x14ac:dyDescent="0.15">
      <c r="A193" t="s">
        <v>72</v>
      </c>
      <c r="B193" t="s">
        <v>3702</v>
      </c>
      <c r="C193" t="s">
        <v>74</v>
      </c>
      <c r="D193" t="s">
        <v>74</v>
      </c>
      <c r="E193" t="s">
        <v>74</v>
      </c>
      <c r="F193" t="s">
        <v>3703</v>
      </c>
      <c r="G193" t="s">
        <v>74</v>
      </c>
      <c r="H193" t="s">
        <v>74</v>
      </c>
      <c r="I193" t="s">
        <v>3704</v>
      </c>
      <c r="J193" t="s">
        <v>373</v>
      </c>
      <c r="K193" t="s">
        <v>74</v>
      </c>
      <c r="L193" t="s">
        <v>74</v>
      </c>
      <c r="M193" t="s">
        <v>78</v>
      </c>
      <c r="N193" t="s">
        <v>79</v>
      </c>
      <c r="O193" t="s">
        <v>74</v>
      </c>
      <c r="P193" t="s">
        <v>74</v>
      </c>
      <c r="Q193" t="s">
        <v>74</v>
      </c>
      <c r="R193" t="s">
        <v>74</v>
      </c>
      <c r="S193" t="s">
        <v>74</v>
      </c>
      <c r="T193" t="s">
        <v>74</v>
      </c>
      <c r="U193" t="s">
        <v>3705</v>
      </c>
      <c r="V193" t="s">
        <v>3706</v>
      </c>
      <c r="W193" t="s">
        <v>3707</v>
      </c>
      <c r="X193" t="s">
        <v>3708</v>
      </c>
      <c r="Y193" t="s">
        <v>3709</v>
      </c>
      <c r="Z193" t="s">
        <v>3710</v>
      </c>
      <c r="AA193" t="s">
        <v>3711</v>
      </c>
      <c r="AB193" t="s">
        <v>3712</v>
      </c>
      <c r="AC193" t="s">
        <v>3713</v>
      </c>
      <c r="AD193" t="s">
        <v>3714</v>
      </c>
      <c r="AE193" t="s">
        <v>3715</v>
      </c>
      <c r="AF193" t="s">
        <v>74</v>
      </c>
      <c r="AG193">
        <v>23</v>
      </c>
      <c r="AH193">
        <v>14</v>
      </c>
      <c r="AI193">
        <v>17</v>
      </c>
      <c r="AJ193">
        <v>0</v>
      </c>
      <c r="AK193">
        <v>21</v>
      </c>
      <c r="AL193" t="s">
        <v>120</v>
      </c>
      <c r="AM193" t="s">
        <v>121</v>
      </c>
      <c r="AN193" t="s">
        <v>122</v>
      </c>
      <c r="AO193" t="s">
        <v>385</v>
      </c>
      <c r="AP193" t="s">
        <v>386</v>
      </c>
      <c r="AQ193" t="s">
        <v>74</v>
      </c>
      <c r="AR193" t="s">
        <v>387</v>
      </c>
      <c r="AS193" t="s">
        <v>388</v>
      </c>
      <c r="AT193" t="s">
        <v>3716</v>
      </c>
      <c r="AU193">
        <v>2011</v>
      </c>
      <c r="AV193">
        <v>116</v>
      </c>
      <c r="AW193" t="s">
        <v>74</v>
      </c>
      <c r="AX193" t="s">
        <v>74</v>
      </c>
      <c r="AY193" t="s">
        <v>74</v>
      </c>
      <c r="AZ193" t="s">
        <v>74</v>
      </c>
      <c r="BA193" t="s">
        <v>74</v>
      </c>
      <c r="BB193" t="s">
        <v>74</v>
      </c>
      <c r="BC193" t="s">
        <v>74</v>
      </c>
      <c r="BD193" t="s">
        <v>3717</v>
      </c>
      <c r="BE193" t="s">
        <v>3718</v>
      </c>
      <c r="BF193" t="str">
        <f>HYPERLINK("http://dx.doi.org/10.1029/2011JA016497","http://dx.doi.org/10.1029/2011JA016497")</f>
        <v>http://dx.doi.org/10.1029/2011JA016497</v>
      </c>
      <c r="BG193" t="s">
        <v>74</v>
      </c>
      <c r="BH193" t="s">
        <v>74</v>
      </c>
      <c r="BI193">
        <v>9</v>
      </c>
      <c r="BJ193" t="s">
        <v>391</v>
      </c>
      <c r="BK193" t="s">
        <v>100</v>
      </c>
      <c r="BL193" t="s">
        <v>391</v>
      </c>
      <c r="BM193" t="s">
        <v>3719</v>
      </c>
      <c r="BN193" t="s">
        <v>74</v>
      </c>
      <c r="BO193" t="s">
        <v>152</v>
      </c>
      <c r="BP193" t="s">
        <v>74</v>
      </c>
      <c r="BQ193" t="s">
        <v>74</v>
      </c>
      <c r="BR193" t="s">
        <v>103</v>
      </c>
      <c r="BS193" t="s">
        <v>3720</v>
      </c>
      <c r="BT193" t="str">
        <f>HYPERLINK("https%3A%2F%2Fwww.webofscience.com%2Fwos%2Fwoscc%2Ffull-record%2FWOS:000292838000002","View Full Record in Web of Science")</f>
        <v>View Full Record in Web of Science</v>
      </c>
    </row>
    <row r="194" spans="1:72" x14ac:dyDescent="0.15">
      <c r="A194" t="s">
        <v>72</v>
      </c>
      <c r="B194" t="s">
        <v>3721</v>
      </c>
      <c r="C194" t="s">
        <v>74</v>
      </c>
      <c r="D194" t="s">
        <v>74</v>
      </c>
      <c r="E194" t="s">
        <v>74</v>
      </c>
      <c r="F194" t="s">
        <v>3722</v>
      </c>
      <c r="G194" t="s">
        <v>74</v>
      </c>
      <c r="H194" t="s">
        <v>74</v>
      </c>
      <c r="I194" t="s">
        <v>3723</v>
      </c>
      <c r="J194" t="s">
        <v>254</v>
      </c>
      <c r="K194" t="s">
        <v>74</v>
      </c>
      <c r="L194" t="s">
        <v>74</v>
      </c>
      <c r="M194" t="s">
        <v>78</v>
      </c>
      <c r="N194" t="s">
        <v>79</v>
      </c>
      <c r="O194" t="s">
        <v>74</v>
      </c>
      <c r="P194" t="s">
        <v>74</v>
      </c>
      <c r="Q194" t="s">
        <v>74</v>
      </c>
      <c r="R194" t="s">
        <v>74</v>
      </c>
      <c r="S194" t="s">
        <v>74</v>
      </c>
      <c r="T194" t="s">
        <v>74</v>
      </c>
      <c r="U194" t="s">
        <v>3724</v>
      </c>
      <c r="V194" t="s">
        <v>3725</v>
      </c>
      <c r="W194" t="s">
        <v>3726</v>
      </c>
      <c r="X194" t="s">
        <v>3727</v>
      </c>
      <c r="Y194" t="s">
        <v>3728</v>
      </c>
      <c r="Z194" t="s">
        <v>3729</v>
      </c>
      <c r="AA194" t="s">
        <v>3730</v>
      </c>
      <c r="AB194" t="s">
        <v>3731</v>
      </c>
      <c r="AC194" t="s">
        <v>3732</v>
      </c>
      <c r="AD194" t="s">
        <v>3733</v>
      </c>
      <c r="AE194" t="s">
        <v>74</v>
      </c>
      <c r="AF194" t="s">
        <v>74</v>
      </c>
      <c r="AG194">
        <v>41</v>
      </c>
      <c r="AH194">
        <v>13</v>
      </c>
      <c r="AI194">
        <v>15</v>
      </c>
      <c r="AJ194">
        <v>0</v>
      </c>
      <c r="AK194">
        <v>15</v>
      </c>
      <c r="AL194" t="s">
        <v>120</v>
      </c>
      <c r="AM194" t="s">
        <v>121</v>
      </c>
      <c r="AN194" t="s">
        <v>122</v>
      </c>
      <c r="AO194" t="s">
        <v>265</v>
      </c>
      <c r="AP194" t="s">
        <v>266</v>
      </c>
      <c r="AQ194" t="s">
        <v>74</v>
      </c>
      <c r="AR194" t="s">
        <v>267</v>
      </c>
      <c r="AS194" t="s">
        <v>268</v>
      </c>
      <c r="AT194" t="s">
        <v>3716</v>
      </c>
      <c r="AU194">
        <v>2011</v>
      </c>
      <c r="AV194">
        <v>116</v>
      </c>
      <c r="AW194" t="s">
        <v>74</v>
      </c>
      <c r="AX194" t="s">
        <v>74</v>
      </c>
      <c r="AY194" t="s">
        <v>74</v>
      </c>
      <c r="AZ194" t="s">
        <v>74</v>
      </c>
      <c r="BA194" t="s">
        <v>74</v>
      </c>
      <c r="BB194" t="s">
        <v>74</v>
      </c>
      <c r="BC194" t="s">
        <v>74</v>
      </c>
      <c r="BD194" t="s">
        <v>3734</v>
      </c>
      <c r="BE194" t="s">
        <v>3735</v>
      </c>
      <c r="BF194" t="str">
        <f>HYPERLINK("http://dx.doi.org/10.1029/2009JC006089","http://dx.doi.org/10.1029/2009JC006089")</f>
        <v>http://dx.doi.org/10.1029/2009JC006089</v>
      </c>
      <c r="BG194" t="s">
        <v>74</v>
      </c>
      <c r="BH194" t="s">
        <v>74</v>
      </c>
      <c r="BI194">
        <v>9</v>
      </c>
      <c r="BJ194" t="s">
        <v>271</v>
      </c>
      <c r="BK194" t="s">
        <v>100</v>
      </c>
      <c r="BL194" t="s">
        <v>271</v>
      </c>
      <c r="BM194" t="s">
        <v>3736</v>
      </c>
      <c r="BN194" t="s">
        <v>74</v>
      </c>
      <c r="BO194" t="s">
        <v>152</v>
      </c>
      <c r="BP194" t="s">
        <v>74</v>
      </c>
      <c r="BQ194" t="s">
        <v>74</v>
      </c>
      <c r="BR194" t="s">
        <v>103</v>
      </c>
      <c r="BS194" t="s">
        <v>3737</v>
      </c>
      <c r="BT194" t="str">
        <f>HYPERLINK("https%3A%2F%2Fwww.webofscience.com%2Fwos%2Fwoscc%2Ffull-record%2FWOS:000292836200001","View Full Record in Web of Science")</f>
        <v>View Full Record in Web of Science</v>
      </c>
    </row>
    <row r="195" spans="1:72" x14ac:dyDescent="0.15">
      <c r="A195" t="s">
        <v>72</v>
      </c>
      <c r="B195" t="s">
        <v>3738</v>
      </c>
      <c r="C195" t="s">
        <v>74</v>
      </c>
      <c r="D195" t="s">
        <v>74</v>
      </c>
      <c r="E195" t="s">
        <v>74</v>
      </c>
      <c r="F195" t="s">
        <v>3739</v>
      </c>
      <c r="G195" t="s">
        <v>74</v>
      </c>
      <c r="H195" t="s">
        <v>74</v>
      </c>
      <c r="I195" t="s">
        <v>3740</v>
      </c>
      <c r="J195" t="s">
        <v>3741</v>
      </c>
      <c r="K195" t="s">
        <v>74</v>
      </c>
      <c r="L195" t="s">
        <v>74</v>
      </c>
      <c r="M195" t="s">
        <v>78</v>
      </c>
      <c r="N195" t="s">
        <v>79</v>
      </c>
      <c r="O195" t="s">
        <v>74</v>
      </c>
      <c r="P195" t="s">
        <v>74</v>
      </c>
      <c r="Q195" t="s">
        <v>74</v>
      </c>
      <c r="R195" t="s">
        <v>74</v>
      </c>
      <c r="S195" t="s">
        <v>74</v>
      </c>
      <c r="T195" t="s">
        <v>3742</v>
      </c>
      <c r="U195" t="s">
        <v>3743</v>
      </c>
      <c r="V195" t="s">
        <v>3744</v>
      </c>
      <c r="W195" t="s">
        <v>3745</v>
      </c>
      <c r="X195" t="s">
        <v>3746</v>
      </c>
      <c r="Y195" t="s">
        <v>3747</v>
      </c>
      <c r="Z195" t="s">
        <v>3748</v>
      </c>
      <c r="AA195" t="s">
        <v>3749</v>
      </c>
      <c r="AB195" t="s">
        <v>3750</v>
      </c>
      <c r="AC195" t="s">
        <v>3751</v>
      </c>
      <c r="AD195" t="s">
        <v>3752</v>
      </c>
      <c r="AE195" t="s">
        <v>3753</v>
      </c>
      <c r="AF195" t="s">
        <v>74</v>
      </c>
      <c r="AG195">
        <v>33</v>
      </c>
      <c r="AH195">
        <v>88</v>
      </c>
      <c r="AI195">
        <v>103</v>
      </c>
      <c r="AJ195">
        <v>0</v>
      </c>
      <c r="AK195">
        <v>39</v>
      </c>
      <c r="AL195" t="s">
        <v>3754</v>
      </c>
      <c r="AM195" t="s">
        <v>121</v>
      </c>
      <c r="AN195" t="s">
        <v>3755</v>
      </c>
      <c r="AO195" t="s">
        <v>3756</v>
      </c>
      <c r="AP195" t="s">
        <v>74</v>
      </c>
      <c r="AQ195" t="s">
        <v>74</v>
      </c>
      <c r="AR195" t="s">
        <v>3757</v>
      </c>
      <c r="AS195" t="s">
        <v>3758</v>
      </c>
      <c r="AT195" t="s">
        <v>3716</v>
      </c>
      <c r="AU195">
        <v>2011</v>
      </c>
      <c r="AV195">
        <v>108</v>
      </c>
      <c r="AW195">
        <v>28</v>
      </c>
      <c r="AX195" t="s">
        <v>74</v>
      </c>
      <c r="AY195" t="s">
        <v>74</v>
      </c>
      <c r="AZ195" t="s">
        <v>74</v>
      </c>
      <c r="BA195" t="s">
        <v>74</v>
      </c>
      <c r="BB195">
        <v>11356</v>
      </c>
      <c r="BC195">
        <v>11360</v>
      </c>
      <c r="BD195" t="s">
        <v>74</v>
      </c>
      <c r="BE195" t="s">
        <v>3759</v>
      </c>
      <c r="BF195" t="str">
        <f>HYPERLINK("http://dx.doi.org/10.1073/pnas.1014885108","http://dx.doi.org/10.1073/pnas.1014885108")</f>
        <v>http://dx.doi.org/10.1073/pnas.1014885108</v>
      </c>
      <c r="BG195" t="s">
        <v>74</v>
      </c>
      <c r="BH195" t="s">
        <v>74</v>
      </c>
      <c r="BI195">
        <v>5</v>
      </c>
      <c r="BJ195" t="s">
        <v>177</v>
      </c>
      <c r="BK195" t="s">
        <v>100</v>
      </c>
      <c r="BL195" t="s">
        <v>178</v>
      </c>
      <c r="BM195" t="s">
        <v>3760</v>
      </c>
      <c r="BN195">
        <v>21709269</v>
      </c>
      <c r="BO195" t="s">
        <v>3761</v>
      </c>
      <c r="BP195" t="s">
        <v>74</v>
      </c>
      <c r="BQ195" t="s">
        <v>74</v>
      </c>
      <c r="BR195" t="s">
        <v>103</v>
      </c>
      <c r="BS195" t="s">
        <v>3762</v>
      </c>
      <c r="BT195" t="str">
        <f>HYPERLINK("https%3A%2F%2Fwww.webofscience.com%2Fwos%2Fwoscc%2Ffull-record%2FWOS:000292635200019","View Full Record in Web of Science")</f>
        <v>View Full Record in Web of Science</v>
      </c>
    </row>
    <row r="196" spans="1:72" x14ac:dyDescent="0.15">
      <c r="A196" t="s">
        <v>72</v>
      </c>
      <c r="B196" t="s">
        <v>3763</v>
      </c>
      <c r="C196" t="s">
        <v>74</v>
      </c>
      <c r="D196" t="s">
        <v>74</v>
      </c>
      <c r="E196" t="s">
        <v>74</v>
      </c>
      <c r="F196" t="s">
        <v>3764</v>
      </c>
      <c r="G196" t="s">
        <v>74</v>
      </c>
      <c r="H196" t="s">
        <v>74</v>
      </c>
      <c r="I196" t="s">
        <v>3765</v>
      </c>
      <c r="J196" t="s">
        <v>3214</v>
      </c>
      <c r="K196" t="s">
        <v>74</v>
      </c>
      <c r="L196" t="s">
        <v>74</v>
      </c>
      <c r="M196" t="s">
        <v>78</v>
      </c>
      <c r="N196" t="s">
        <v>79</v>
      </c>
      <c r="O196" t="s">
        <v>74</v>
      </c>
      <c r="P196" t="s">
        <v>74</v>
      </c>
      <c r="Q196" t="s">
        <v>74</v>
      </c>
      <c r="R196" t="s">
        <v>74</v>
      </c>
      <c r="S196" t="s">
        <v>74</v>
      </c>
      <c r="T196" t="s">
        <v>3766</v>
      </c>
      <c r="U196" t="s">
        <v>3767</v>
      </c>
      <c r="V196" t="s">
        <v>3768</v>
      </c>
      <c r="W196" t="s">
        <v>3769</v>
      </c>
      <c r="X196" t="s">
        <v>3770</v>
      </c>
      <c r="Y196" t="s">
        <v>3771</v>
      </c>
      <c r="Z196" t="s">
        <v>3772</v>
      </c>
      <c r="AA196" t="s">
        <v>3773</v>
      </c>
      <c r="AB196" t="s">
        <v>74</v>
      </c>
      <c r="AC196" t="s">
        <v>74</v>
      </c>
      <c r="AD196" t="s">
        <v>74</v>
      </c>
      <c r="AE196" t="s">
        <v>74</v>
      </c>
      <c r="AF196" t="s">
        <v>74</v>
      </c>
      <c r="AG196">
        <v>470</v>
      </c>
      <c r="AH196">
        <v>4</v>
      </c>
      <c r="AI196">
        <v>8</v>
      </c>
      <c r="AJ196">
        <v>0</v>
      </c>
      <c r="AK196">
        <v>1</v>
      </c>
      <c r="AL196" t="s">
        <v>3225</v>
      </c>
      <c r="AM196" t="s">
        <v>3226</v>
      </c>
      <c r="AN196" t="s">
        <v>3227</v>
      </c>
      <c r="AO196" t="s">
        <v>3228</v>
      </c>
      <c r="AP196" t="s">
        <v>3229</v>
      </c>
      <c r="AQ196" t="s">
        <v>74</v>
      </c>
      <c r="AR196" t="s">
        <v>3214</v>
      </c>
      <c r="AS196" t="s">
        <v>3230</v>
      </c>
      <c r="AT196" t="s">
        <v>3774</v>
      </c>
      <c r="AU196">
        <v>2011</v>
      </c>
      <c r="AV196" t="s">
        <v>74</v>
      </c>
      <c r="AW196">
        <v>2950</v>
      </c>
      <c r="AX196" t="s">
        <v>74</v>
      </c>
      <c r="AY196" t="s">
        <v>74</v>
      </c>
      <c r="AZ196" t="s">
        <v>74</v>
      </c>
      <c r="BA196" t="s">
        <v>74</v>
      </c>
      <c r="BB196">
        <v>1</v>
      </c>
      <c r="BC196">
        <v>108</v>
      </c>
      <c r="BD196" t="s">
        <v>74</v>
      </c>
      <c r="BE196" t="s">
        <v>74</v>
      </c>
      <c r="BF196" t="s">
        <v>74</v>
      </c>
      <c r="BG196" t="s">
        <v>74</v>
      </c>
      <c r="BH196" t="s">
        <v>74</v>
      </c>
      <c r="BI196">
        <v>108</v>
      </c>
      <c r="BJ196" t="s">
        <v>3232</v>
      </c>
      <c r="BK196" t="s">
        <v>100</v>
      </c>
      <c r="BL196" t="s">
        <v>3232</v>
      </c>
      <c r="BM196" t="s">
        <v>3775</v>
      </c>
      <c r="BN196" t="s">
        <v>74</v>
      </c>
      <c r="BO196" t="s">
        <v>74</v>
      </c>
      <c r="BP196" t="s">
        <v>74</v>
      </c>
      <c r="BQ196" t="s">
        <v>74</v>
      </c>
      <c r="BR196" t="s">
        <v>103</v>
      </c>
      <c r="BS196" t="s">
        <v>3776</v>
      </c>
      <c r="BT196" t="str">
        <f>HYPERLINK("https%3A%2F%2Fwww.webofscience.com%2Fwos%2Fwoscc%2Ffull-record%2FWOS:000292504600001","View Full Record in Web of Science")</f>
        <v>View Full Record in Web of Science</v>
      </c>
    </row>
    <row r="197" spans="1:72" x14ac:dyDescent="0.15">
      <c r="A197" t="s">
        <v>72</v>
      </c>
      <c r="B197" t="s">
        <v>3777</v>
      </c>
      <c r="C197" t="s">
        <v>74</v>
      </c>
      <c r="D197" t="s">
        <v>74</v>
      </c>
      <c r="E197" t="s">
        <v>74</v>
      </c>
      <c r="F197" t="s">
        <v>3778</v>
      </c>
      <c r="G197" t="s">
        <v>74</v>
      </c>
      <c r="H197" t="s">
        <v>74</v>
      </c>
      <c r="I197" t="s">
        <v>3779</v>
      </c>
      <c r="J197" t="s">
        <v>108</v>
      </c>
      <c r="K197" t="s">
        <v>74</v>
      </c>
      <c r="L197" t="s">
        <v>74</v>
      </c>
      <c r="M197" t="s">
        <v>78</v>
      </c>
      <c r="N197" t="s">
        <v>79</v>
      </c>
      <c r="O197" t="s">
        <v>74</v>
      </c>
      <c r="P197" t="s">
        <v>74</v>
      </c>
      <c r="Q197" t="s">
        <v>74</v>
      </c>
      <c r="R197" t="s">
        <v>74</v>
      </c>
      <c r="S197" t="s">
        <v>74</v>
      </c>
      <c r="T197" t="s">
        <v>74</v>
      </c>
      <c r="U197" t="s">
        <v>3780</v>
      </c>
      <c r="V197" t="s">
        <v>3781</v>
      </c>
      <c r="W197" t="s">
        <v>3782</v>
      </c>
      <c r="X197" t="s">
        <v>3783</v>
      </c>
      <c r="Y197" t="s">
        <v>3784</v>
      </c>
      <c r="Z197" t="s">
        <v>3785</v>
      </c>
      <c r="AA197" t="s">
        <v>3786</v>
      </c>
      <c r="AB197" t="s">
        <v>3787</v>
      </c>
      <c r="AC197" t="s">
        <v>74</v>
      </c>
      <c r="AD197" t="s">
        <v>74</v>
      </c>
      <c r="AE197" t="s">
        <v>74</v>
      </c>
      <c r="AF197" t="s">
        <v>74</v>
      </c>
      <c r="AG197">
        <v>21</v>
      </c>
      <c r="AH197">
        <v>15</v>
      </c>
      <c r="AI197">
        <v>17</v>
      </c>
      <c r="AJ197">
        <v>1</v>
      </c>
      <c r="AK197">
        <v>24</v>
      </c>
      <c r="AL197" t="s">
        <v>120</v>
      </c>
      <c r="AM197" t="s">
        <v>121</v>
      </c>
      <c r="AN197" t="s">
        <v>122</v>
      </c>
      <c r="AO197" t="s">
        <v>123</v>
      </c>
      <c r="AP197" t="s">
        <v>74</v>
      </c>
      <c r="AQ197" t="s">
        <v>74</v>
      </c>
      <c r="AR197" t="s">
        <v>125</v>
      </c>
      <c r="AS197" t="s">
        <v>126</v>
      </c>
      <c r="AT197" t="s">
        <v>3788</v>
      </c>
      <c r="AU197">
        <v>2011</v>
      </c>
      <c r="AV197">
        <v>38</v>
      </c>
      <c r="AW197" t="s">
        <v>74</v>
      </c>
      <c r="AX197" t="s">
        <v>74</v>
      </c>
      <c r="AY197" t="s">
        <v>74</v>
      </c>
      <c r="AZ197" t="s">
        <v>74</v>
      </c>
      <c r="BA197" t="s">
        <v>74</v>
      </c>
      <c r="BB197" t="s">
        <v>74</v>
      </c>
      <c r="BC197" t="s">
        <v>74</v>
      </c>
      <c r="BD197" t="s">
        <v>3789</v>
      </c>
      <c r="BE197" t="s">
        <v>3790</v>
      </c>
      <c r="BF197" t="str">
        <f>HYPERLINK("http://dx.doi.org/10.1029/2011GL047469","http://dx.doi.org/10.1029/2011GL047469")</f>
        <v>http://dx.doi.org/10.1029/2011GL047469</v>
      </c>
      <c r="BG197" t="s">
        <v>74</v>
      </c>
      <c r="BH197" t="s">
        <v>74</v>
      </c>
      <c r="BI197">
        <v>4</v>
      </c>
      <c r="BJ197" t="s">
        <v>130</v>
      </c>
      <c r="BK197" t="s">
        <v>100</v>
      </c>
      <c r="BL197" t="s">
        <v>131</v>
      </c>
      <c r="BM197" t="s">
        <v>3791</v>
      </c>
      <c r="BN197" t="s">
        <v>74</v>
      </c>
      <c r="BO197" t="s">
        <v>1025</v>
      </c>
      <c r="BP197" t="s">
        <v>74</v>
      </c>
      <c r="BQ197" t="s">
        <v>74</v>
      </c>
      <c r="BR197" t="s">
        <v>103</v>
      </c>
      <c r="BS197" t="s">
        <v>3792</v>
      </c>
      <c r="BT197" t="str">
        <f>HYPERLINK("https%3A%2F%2Fwww.webofscience.com%2Fwos%2Fwoscc%2Ffull-record%2FWOS:000292608600001","View Full Record in Web of Science")</f>
        <v>View Full Record in Web of Science</v>
      </c>
    </row>
    <row r="198" spans="1:72" x14ac:dyDescent="0.15">
      <c r="A198" t="s">
        <v>72</v>
      </c>
      <c r="B198" t="s">
        <v>3793</v>
      </c>
      <c r="C198" t="s">
        <v>74</v>
      </c>
      <c r="D198" t="s">
        <v>74</v>
      </c>
      <c r="E198" t="s">
        <v>74</v>
      </c>
      <c r="F198" t="s">
        <v>3794</v>
      </c>
      <c r="G198" t="s">
        <v>74</v>
      </c>
      <c r="H198" t="s">
        <v>74</v>
      </c>
      <c r="I198" t="s">
        <v>3795</v>
      </c>
      <c r="J198" t="s">
        <v>373</v>
      </c>
      <c r="K198" t="s">
        <v>74</v>
      </c>
      <c r="L198" t="s">
        <v>74</v>
      </c>
      <c r="M198" t="s">
        <v>78</v>
      </c>
      <c r="N198" t="s">
        <v>79</v>
      </c>
      <c r="O198" t="s">
        <v>74</v>
      </c>
      <c r="P198" t="s">
        <v>74</v>
      </c>
      <c r="Q198" t="s">
        <v>74</v>
      </c>
      <c r="R198" t="s">
        <v>74</v>
      </c>
      <c r="S198" t="s">
        <v>74</v>
      </c>
      <c r="T198" t="s">
        <v>74</v>
      </c>
      <c r="U198" t="s">
        <v>3796</v>
      </c>
      <c r="V198" t="s">
        <v>3797</v>
      </c>
      <c r="W198" t="s">
        <v>3798</v>
      </c>
      <c r="X198" t="s">
        <v>3799</v>
      </c>
      <c r="Y198" t="s">
        <v>3800</v>
      </c>
      <c r="Z198" t="s">
        <v>3801</v>
      </c>
      <c r="AA198" t="s">
        <v>3802</v>
      </c>
      <c r="AB198" t="s">
        <v>3803</v>
      </c>
      <c r="AC198" t="s">
        <v>3804</v>
      </c>
      <c r="AD198" t="s">
        <v>3805</v>
      </c>
      <c r="AE198" t="s">
        <v>3806</v>
      </c>
      <c r="AF198" t="s">
        <v>74</v>
      </c>
      <c r="AG198">
        <v>22</v>
      </c>
      <c r="AH198">
        <v>3</v>
      </c>
      <c r="AI198">
        <v>3</v>
      </c>
      <c r="AJ198">
        <v>0</v>
      </c>
      <c r="AK198">
        <v>10</v>
      </c>
      <c r="AL198" t="s">
        <v>120</v>
      </c>
      <c r="AM198" t="s">
        <v>121</v>
      </c>
      <c r="AN198" t="s">
        <v>122</v>
      </c>
      <c r="AO198" t="s">
        <v>385</v>
      </c>
      <c r="AP198" t="s">
        <v>386</v>
      </c>
      <c r="AQ198" t="s">
        <v>74</v>
      </c>
      <c r="AR198" t="s">
        <v>387</v>
      </c>
      <c r="AS198" t="s">
        <v>388</v>
      </c>
      <c r="AT198" t="s">
        <v>3788</v>
      </c>
      <c r="AU198">
        <v>2011</v>
      </c>
      <c r="AV198">
        <v>116</v>
      </c>
      <c r="AW198" t="s">
        <v>74</v>
      </c>
      <c r="AX198" t="s">
        <v>74</v>
      </c>
      <c r="AY198" t="s">
        <v>74</v>
      </c>
      <c r="AZ198" t="s">
        <v>74</v>
      </c>
      <c r="BA198" t="s">
        <v>74</v>
      </c>
      <c r="BB198" t="s">
        <v>74</v>
      </c>
      <c r="BC198" t="s">
        <v>74</v>
      </c>
      <c r="BD198" t="s">
        <v>3807</v>
      </c>
      <c r="BE198" t="s">
        <v>3808</v>
      </c>
      <c r="BF198" t="str">
        <f>HYPERLINK("http://dx.doi.org/10.1029/2011JA016804","http://dx.doi.org/10.1029/2011JA016804")</f>
        <v>http://dx.doi.org/10.1029/2011JA016804</v>
      </c>
      <c r="BG198" t="s">
        <v>74</v>
      </c>
      <c r="BH198" t="s">
        <v>74</v>
      </c>
      <c r="BI198">
        <v>6</v>
      </c>
      <c r="BJ198" t="s">
        <v>391</v>
      </c>
      <c r="BK198" t="s">
        <v>100</v>
      </c>
      <c r="BL198" t="s">
        <v>391</v>
      </c>
      <c r="BM198" t="s">
        <v>3809</v>
      </c>
      <c r="BN198" t="s">
        <v>74</v>
      </c>
      <c r="BO198" t="s">
        <v>152</v>
      </c>
      <c r="BP198" t="s">
        <v>74</v>
      </c>
      <c r="BQ198" t="s">
        <v>74</v>
      </c>
      <c r="BR198" t="s">
        <v>103</v>
      </c>
      <c r="BS198" t="s">
        <v>3810</v>
      </c>
      <c r="BT198" t="str">
        <f>HYPERLINK("https%3A%2F%2Fwww.webofscience.com%2Fwos%2Fwoscc%2Ffull-record%2FWOS:000292609700004","View Full Record in Web of Science")</f>
        <v>View Full Record in Web of Science</v>
      </c>
    </row>
    <row r="199" spans="1:72" x14ac:dyDescent="0.15">
      <c r="A199" t="s">
        <v>72</v>
      </c>
      <c r="B199" t="s">
        <v>3811</v>
      </c>
      <c r="C199" t="s">
        <v>74</v>
      </c>
      <c r="D199" t="s">
        <v>74</v>
      </c>
      <c r="E199" t="s">
        <v>74</v>
      </c>
      <c r="F199" t="s">
        <v>3812</v>
      </c>
      <c r="G199" t="s">
        <v>74</v>
      </c>
      <c r="H199" t="s">
        <v>74</v>
      </c>
      <c r="I199" t="s">
        <v>3813</v>
      </c>
      <c r="J199" t="s">
        <v>108</v>
      </c>
      <c r="K199" t="s">
        <v>74</v>
      </c>
      <c r="L199" t="s">
        <v>74</v>
      </c>
      <c r="M199" t="s">
        <v>78</v>
      </c>
      <c r="N199" t="s">
        <v>79</v>
      </c>
      <c r="O199" t="s">
        <v>74</v>
      </c>
      <c r="P199" t="s">
        <v>74</v>
      </c>
      <c r="Q199" t="s">
        <v>74</v>
      </c>
      <c r="R199" t="s">
        <v>74</v>
      </c>
      <c r="S199" t="s">
        <v>74</v>
      </c>
      <c r="T199" t="s">
        <v>74</v>
      </c>
      <c r="U199" t="s">
        <v>3814</v>
      </c>
      <c r="V199" t="s">
        <v>3815</v>
      </c>
      <c r="W199" t="s">
        <v>3816</v>
      </c>
      <c r="X199" t="s">
        <v>3817</v>
      </c>
      <c r="Y199" t="s">
        <v>3818</v>
      </c>
      <c r="Z199" t="s">
        <v>3819</v>
      </c>
      <c r="AA199" t="s">
        <v>74</v>
      </c>
      <c r="AB199" t="s">
        <v>3820</v>
      </c>
      <c r="AC199" t="s">
        <v>3821</v>
      </c>
      <c r="AD199" t="s">
        <v>3822</v>
      </c>
      <c r="AE199" t="s">
        <v>3823</v>
      </c>
      <c r="AF199" t="s">
        <v>74</v>
      </c>
      <c r="AG199">
        <v>25</v>
      </c>
      <c r="AH199">
        <v>11</v>
      </c>
      <c r="AI199">
        <v>14</v>
      </c>
      <c r="AJ199">
        <v>0</v>
      </c>
      <c r="AK199">
        <v>7</v>
      </c>
      <c r="AL199" t="s">
        <v>120</v>
      </c>
      <c r="AM199" t="s">
        <v>121</v>
      </c>
      <c r="AN199" t="s">
        <v>122</v>
      </c>
      <c r="AO199" t="s">
        <v>123</v>
      </c>
      <c r="AP199" t="s">
        <v>124</v>
      </c>
      <c r="AQ199" t="s">
        <v>74</v>
      </c>
      <c r="AR199" t="s">
        <v>125</v>
      </c>
      <c r="AS199" t="s">
        <v>126</v>
      </c>
      <c r="AT199" t="s">
        <v>3824</v>
      </c>
      <c r="AU199">
        <v>2011</v>
      </c>
      <c r="AV199">
        <v>38</v>
      </c>
      <c r="AW199" t="s">
        <v>74</v>
      </c>
      <c r="AX199" t="s">
        <v>74</v>
      </c>
      <c r="AY199" t="s">
        <v>74</v>
      </c>
      <c r="AZ199" t="s">
        <v>74</v>
      </c>
      <c r="BA199" t="s">
        <v>74</v>
      </c>
      <c r="BB199" t="s">
        <v>74</v>
      </c>
      <c r="BC199" t="s">
        <v>74</v>
      </c>
      <c r="BD199" t="s">
        <v>3825</v>
      </c>
      <c r="BE199" t="s">
        <v>3826</v>
      </c>
      <c r="BF199" t="str">
        <f>HYPERLINK("http://dx.doi.org/10.1029/2011GL046898","http://dx.doi.org/10.1029/2011GL046898")</f>
        <v>http://dx.doi.org/10.1029/2011GL046898</v>
      </c>
      <c r="BG199" t="s">
        <v>74</v>
      </c>
      <c r="BH199" t="s">
        <v>74</v>
      </c>
      <c r="BI199">
        <v>5</v>
      </c>
      <c r="BJ199" t="s">
        <v>130</v>
      </c>
      <c r="BK199" t="s">
        <v>100</v>
      </c>
      <c r="BL199" t="s">
        <v>131</v>
      </c>
      <c r="BM199" t="s">
        <v>3827</v>
      </c>
      <c r="BN199" t="s">
        <v>74</v>
      </c>
      <c r="BO199" t="s">
        <v>152</v>
      </c>
      <c r="BP199" t="s">
        <v>74</v>
      </c>
      <c r="BQ199" t="s">
        <v>74</v>
      </c>
      <c r="BR199" t="s">
        <v>103</v>
      </c>
      <c r="BS199" t="s">
        <v>3828</v>
      </c>
      <c r="BT199" t="str">
        <f>HYPERLINK("https%3A%2F%2Fwww.webofscience.com%2Fwos%2Fwoscc%2Ffull-record%2FWOS:000292608400001","View Full Record in Web of Science")</f>
        <v>View Full Record in Web of Science</v>
      </c>
    </row>
    <row r="200" spans="1:72" x14ac:dyDescent="0.15">
      <c r="A200" t="s">
        <v>72</v>
      </c>
      <c r="B200" t="s">
        <v>3829</v>
      </c>
      <c r="C200" t="s">
        <v>74</v>
      </c>
      <c r="D200" t="s">
        <v>74</v>
      </c>
      <c r="E200" t="s">
        <v>74</v>
      </c>
      <c r="F200" t="s">
        <v>3830</v>
      </c>
      <c r="G200" t="s">
        <v>74</v>
      </c>
      <c r="H200" t="s">
        <v>74</v>
      </c>
      <c r="I200" t="s">
        <v>3831</v>
      </c>
      <c r="J200" t="s">
        <v>108</v>
      </c>
      <c r="K200" t="s">
        <v>74</v>
      </c>
      <c r="L200" t="s">
        <v>74</v>
      </c>
      <c r="M200" t="s">
        <v>78</v>
      </c>
      <c r="N200" t="s">
        <v>79</v>
      </c>
      <c r="O200" t="s">
        <v>74</v>
      </c>
      <c r="P200" t="s">
        <v>74</v>
      </c>
      <c r="Q200" t="s">
        <v>74</v>
      </c>
      <c r="R200" t="s">
        <v>74</v>
      </c>
      <c r="S200" t="s">
        <v>74</v>
      </c>
      <c r="T200" t="s">
        <v>74</v>
      </c>
      <c r="U200" t="s">
        <v>3832</v>
      </c>
      <c r="V200" t="s">
        <v>3833</v>
      </c>
      <c r="W200" t="s">
        <v>3834</v>
      </c>
      <c r="X200" t="s">
        <v>3835</v>
      </c>
      <c r="Y200" t="s">
        <v>3836</v>
      </c>
      <c r="Z200" t="s">
        <v>3837</v>
      </c>
      <c r="AA200" t="s">
        <v>3838</v>
      </c>
      <c r="AB200" t="s">
        <v>3839</v>
      </c>
      <c r="AC200" t="s">
        <v>1320</v>
      </c>
      <c r="AD200" t="s">
        <v>1321</v>
      </c>
      <c r="AE200" t="s">
        <v>3840</v>
      </c>
      <c r="AF200" t="s">
        <v>74</v>
      </c>
      <c r="AG200">
        <v>19</v>
      </c>
      <c r="AH200">
        <v>18</v>
      </c>
      <c r="AI200">
        <v>21</v>
      </c>
      <c r="AJ200">
        <v>0</v>
      </c>
      <c r="AK200">
        <v>14</v>
      </c>
      <c r="AL200" t="s">
        <v>120</v>
      </c>
      <c r="AM200" t="s">
        <v>121</v>
      </c>
      <c r="AN200" t="s">
        <v>122</v>
      </c>
      <c r="AO200" t="s">
        <v>123</v>
      </c>
      <c r="AP200" t="s">
        <v>124</v>
      </c>
      <c r="AQ200" t="s">
        <v>74</v>
      </c>
      <c r="AR200" t="s">
        <v>125</v>
      </c>
      <c r="AS200" t="s">
        <v>126</v>
      </c>
      <c r="AT200" t="s">
        <v>3841</v>
      </c>
      <c r="AU200">
        <v>2011</v>
      </c>
      <c r="AV200">
        <v>38</v>
      </c>
      <c r="AW200" t="s">
        <v>74</v>
      </c>
      <c r="AX200" t="s">
        <v>74</v>
      </c>
      <c r="AY200" t="s">
        <v>74</v>
      </c>
      <c r="AZ200" t="s">
        <v>74</v>
      </c>
      <c r="BA200" t="s">
        <v>74</v>
      </c>
      <c r="BB200" t="s">
        <v>74</v>
      </c>
      <c r="BC200" t="s">
        <v>74</v>
      </c>
      <c r="BD200" t="s">
        <v>3842</v>
      </c>
      <c r="BE200" t="s">
        <v>3843</v>
      </c>
      <c r="BF200" t="str">
        <f>HYPERLINK("http://dx.doi.org/10.1029/2011GL047553","http://dx.doi.org/10.1029/2011GL047553")</f>
        <v>http://dx.doi.org/10.1029/2011GL047553</v>
      </c>
      <c r="BG200" t="s">
        <v>74</v>
      </c>
      <c r="BH200" t="s">
        <v>74</v>
      </c>
      <c r="BI200">
        <v>6</v>
      </c>
      <c r="BJ200" t="s">
        <v>130</v>
      </c>
      <c r="BK200" t="s">
        <v>100</v>
      </c>
      <c r="BL200" t="s">
        <v>131</v>
      </c>
      <c r="BM200" t="s">
        <v>3844</v>
      </c>
      <c r="BN200" t="s">
        <v>74</v>
      </c>
      <c r="BO200" t="s">
        <v>702</v>
      </c>
      <c r="BP200" t="s">
        <v>74</v>
      </c>
      <c r="BQ200" t="s">
        <v>74</v>
      </c>
      <c r="BR200" t="s">
        <v>103</v>
      </c>
      <c r="BS200" t="s">
        <v>3845</v>
      </c>
      <c r="BT200" t="str">
        <f>HYPERLINK("https%3A%2F%2Fwww.webofscience.com%2Fwos%2Fwoscc%2Ffull-record%2FWOS:000292382500002","View Full Record in Web of Science")</f>
        <v>View Full Record in Web of Science</v>
      </c>
    </row>
    <row r="201" spans="1:72" x14ac:dyDescent="0.15">
      <c r="A201" t="s">
        <v>72</v>
      </c>
      <c r="B201" t="s">
        <v>3846</v>
      </c>
      <c r="C201" t="s">
        <v>74</v>
      </c>
      <c r="D201" t="s">
        <v>74</v>
      </c>
      <c r="E201" t="s">
        <v>74</v>
      </c>
      <c r="F201" t="s">
        <v>3847</v>
      </c>
      <c r="G201" t="s">
        <v>74</v>
      </c>
      <c r="H201" t="s">
        <v>74</v>
      </c>
      <c r="I201" t="s">
        <v>3848</v>
      </c>
      <c r="J201" t="s">
        <v>230</v>
      </c>
      <c r="K201" t="s">
        <v>74</v>
      </c>
      <c r="L201" t="s">
        <v>74</v>
      </c>
      <c r="M201" t="s">
        <v>78</v>
      </c>
      <c r="N201" t="s">
        <v>79</v>
      </c>
      <c r="O201" t="s">
        <v>74</v>
      </c>
      <c r="P201" t="s">
        <v>74</v>
      </c>
      <c r="Q201" t="s">
        <v>74</v>
      </c>
      <c r="R201" t="s">
        <v>74</v>
      </c>
      <c r="S201" t="s">
        <v>74</v>
      </c>
      <c r="T201" t="s">
        <v>74</v>
      </c>
      <c r="U201" t="s">
        <v>3849</v>
      </c>
      <c r="V201" t="s">
        <v>3850</v>
      </c>
      <c r="W201" t="s">
        <v>3851</v>
      </c>
      <c r="X201" t="s">
        <v>2015</v>
      </c>
      <c r="Y201" t="s">
        <v>3852</v>
      </c>
      <c r="Z201" t="s">
        <v>3853</v>
      </c>
      <c r="AA201" t="s">
        <v>3854</v>
      </c>
      <c r="AB201" t="s">
        <v>3855</v>
      </c>
      <c r="AC201" t="s">
        <v>3856</v>
      </c>
      <c r="AD201" t="s">
        <v>2067</v>
      </c>
      <c r="AE201" t="s">
        <v>74</v>
      </c>
      <c r="AF201" t="s">
        <v>74</v>
      </c>
      <c r="AG201">
        <v>69</v>
      </c>
      <c r="AH201">
        <v>8</v>
      </c>
      <c r="AI201">
        <v>8</v>
      </c>
      <c r="AJ201">
        <v>0</v>
      </c>
      <c r="AK201">
        <v>4</v>
      </c>
      <c r="AL201" t="s">
        <v>120</v>
      </c>
      <c r="AM201" t="s">
        <v>121</v>
      </c>
      <c r="AN201" t="s">
        <v>122</v>
      </c>
      <c r="AO201" t="s">
        <v>242</v>
      </c>
      <c r="AP201" t="s">
        <v>243</v>
      </c>
      <c r="AQ201" t="s">
        <v>74</v>
      </c>
      <c r="AR201" t="s">
        <v>244</v>
      </c>
      <c r="AS201" t="s">
        <v>245</v>
      </c>
      <c r="AT201" t="s">
        <v>3841</v>
      </c>
      <c r="AU201">
        <v>2011</v>
      </c>
      <c r="AV201">
        <v>116</v>
      </c>
      <c r="AW201" t="s">
        <v>74</v>
      </c>
      <c r="AX201" t="s">
        <v>74</v>
      </c>
      <c r="AY201" t="s">
        <v>74</v>
      </c>
      <c r="AZ201" t="s">
        <v>74</v>
      </c>
      <c r="BA201" t="s">
        <v>74</v>
      </c>
      <c r="BB201" t="s">
        <v>74</v>
      </c>
      <c r="BC201" t="s">
        <v>74</v>
      </c>
      <c r="BD201" t="s">
        <v>3857</v>
      </c>
      <c r="BE201" t="s">
        <v>3858</v>
      </c>
      <c r="BF201" t="str">
        <f>HYPERLINK("http://dx.doi.org/10.1029/2010JD015427","http://dx.doi.org/10.1029/2010JD015427")</f>
        <v>http://dx.doi.org/10.1029/2010JD015427</v>
      </c>
      <c r="BG201" t="s">
        <v>74</v>
      </c>
      <c r="BH201" t="s">
        <v>74</v>
      </c>
      <c r="BI201">
        <v>15</v>
      </c>
      <c r="BJ201" t="s">
        <v>248</v>
      </c>
      <c r="BK201" t="s">
        <v>100</v>
      </c>
      <c r="BL201" t="s">
        <v>248</v>
      </c>
      <c r="BM201" t="s">
        <v>3859</v>
      </c>
      <c r="BN201" t="s">
        <v>74</v>
      </c>
      <c r="BO201" t="s">
        <v>273</v>
      </c>
      <c r="BP201" t="s">
        <v>74</v>
      </c>
      <c r="BQ201" t="s">
        <v>74</v>
      </c>
      <c r="BR201" t="s">
        <v>103</v>
      </c>
      <c r="BS201" t="s">
        <v>3860</v>
      </c>
      <c r="BT201" t="str">
        <f>HYPERLINK("https%3A%2F%2Fwww.webofscience.com%2Fwos%2Fwoscc%2Ffull-record%2FWOS:000292380900005","View Full Record in Web of Science")</f>
        <v>View Full Record in Web of Science</v>
      </c>
    </row>
    <row r="202" spans="1:72" x14ac:dyDescent="0.15">
      <c r="A202" t="s">
        <v>72</v>
      </c>
      <c r="B202" t="s">
        <v>3861</v>
      </c>
      <c r="C202" t="s">
        <v>74</v>
      </c>
      <c r="D202" t="s">
        <v>74</v>
      </c>
      <c r="E202" t="s">
        <v>74</v>
      </c>
      <c r="F202" t="s">
        <v>3862</v>
      </c>
      <c r="G202" t="s">
        <v>74</v>
      </c>
      <c r="H202" t="s">
        <v>74</v>
      </c>
      <c r="I202" t="s">
        <v>3863</v>
      </c>
      <c r="J202" t="s">
        <v>3864</v>
      </c>
      <c r="K202" t="s">
        <v>74</v>
      </c>
      <c r="L202" t="s">
        <v>74</v>
      </c>
      <c r="M202" t="s">
        <v>78</v>
      </c>
      <c r="N202" t="s">
        <v>79</v>
      </c>
      <c r="O202" t="s">
        <v>74</v>
      </c>
      <c r="P202" t="s">
        <v>74</v>
      </c>
      <c r="Q202" t="s">
        <v>74</v>
      </c>
      <c r="R202" t="s">
        <v>74</v>
      </c>
      <c r="S202" t="s">
        <v>74</v>
      </c>
      <c r="T202" t="s">
        <v>3865</v>
      </c>
      <c r="U202" t="s">
        <v>3866</v>
      </c>
      <c r="V202" t="s">
        <v>3867</v>
      </c>
      <c r="W202" t="s">
        <v>3868</v>
      </c>
      <c r="X202" t="s">
        <v>3869</v>
      </c>
      <c r="Y202" t="s">
        <v>3870</v>
      </c>
      <c r="Z202" t="s">
        <v>3871</v>
      </c>
      <c r="AA202" t="s">
        <v>74</v>
      </c>
      <c r="AB202" t="s">
        <v>74</v>
      </c>
      <c r="AC202" t="s">
        <v>3872</v>
      </c>
      <c r="AD202" t="s">
        <v>3873</v>
      </c>
      <c r="AE202" t="s">
        <v>3874</v>
      </c>
      <c r="AF202" t="s">
        <v>74</v>
      </c>
      <c r="AG202">
        <v>25</v>
      </c>
      <c r="AH202">
        <v>7</v>
      </c>
      <c r="AI202">
        <v>8</v>
      </c>
      <c r="AJ202">
        <v>0</v>
      </c>
      <c r="AK202">
        <v>8</v>
      </c>
      <c r="AL202" t="s">
        <v>1441</v>
      </c>
      <c r="AM202" t="s">
        <v>91</v>
      </c>
      <c r="AN202" t="s">
        <v>1902</v>
      </c>
      <c r="AO202" t="s">
        <v>3875</v>
      </c>
      <c r="AP202" t="s">
        <v>3876</v>
      </c>
      <c r="AQ202" t="s">
        <v>74</v>
      </c>
      <c r="AR202" t="s">
        <v>3877</v>
      </c>
      <c r="AS202" t="s">
        <v>3878</v>
      </c>
      <c r="AT202" t="s">
        <v>3879</v>
      </c>
      <c r="AU202">
        <v>2011</v>
      </c>
      <c r="AV202">
        <v>42</v>
      </c>
      <c r="AW202">
        <v>3</v>
      </c>
      <c r="AX202" t="s">
        <v>74</v>
      </c>
      <c r="AY202" t="s">
        <v>74</v>
      </c>
      <c r="AZ202" t="s">
        <v>74</v>
      </c>
      <c r="BA202" t="s">
        <v>74</v>
      </c>
      <c r="BB202">
        <v>927</v>
      </c>
      <c r="BC202">
        <v>936</v>
      </c>
      <c r="BD202" t="s">
        <v>74</v>
      </c>
      <c r="BE202" t="s">
        <v>3880</v>
      </c>
      <c r="BF202" t="str">
        <f>HYPERLINK("http://dx.doi.org/10.1590/S1517-83822011000300011","http://dx.doi.org/10.1590/S1517-83822011000300011")</f>
        <v>http://dx.doi.org/10.1590/S1517-83822011000300011</v>
      </c>
      <c r="BG202" t="s">
        <v>74</v>
      </c>
      <c r="BH202" t="s">
        <v>74</v>
      </c>
      <c r="BI202">
        <v>10</v>
      </c>
      <c r="BJ202" t="s">
        <v>892</v>
      </c>
      <c r="BK202" t="s">
        <v>100</v>
      </c>
      <c r="BL202" t="s">
        <v>892</v>
      </c>
      <c r="BM202" t="s">
        <v>3881</v>
      </c>
      <c r="BN202">
        <v>24031708</v>
      </c>
      <c r="BO202" t="s">
        <v>198</v>
      </c>
      <c r="BP202" t="s">
        <v>74</v>
      </c>
      <c r="BQ202" t="s">
        <v>74</v>
      </c>
      <c r="BR202" t="s">
        <v>103</v>
      </c>
      <c r="BS202" t="s">
        <v>3882</v>
      </c>
      <c r="BT202" t="str">
        <f>HYPERLINK("https%3A%2F%2Fwww.webofscience.com%2Fwos%2Fwoscc%2Ffull-record%2FWOS:000297756800011","View Full Record in Web of Science")</f>
        <v>View Full Record in Web of Science</v>
      </c>
    </row>
    <row r="203" spans="1:72" x14ac:dyDescent="0.15">
      <c r="A203" t="s">
        <v>72</v>
      </c>
      <c r="B203" t="s">
        <v>3883</v>
      </c>
      <c r="C203" t="s">
        <v>74</v>
      </c>
      <c r="D203" t="s">
        <v>74</v>
      </c>
      <c r="E203" t="s">
        <v>74</v>
      </c>
      <c r="F203" t="s">
        <v>3884</v>
      </c>
      <c r="G203" t="s">
        <v>74</v>
      </c>
      <c r="H203" t="s">
        <v>74</v>
      </c>
      <c r="I203" t="s">
        <v>3885</v>
      </c>
      <c r="J203" t="s">
        <v>3886</v>
      </c>
      <c r="K203" t="s">
        <v>74</v>
      </c>
      <c r="L203" t="s">
        <v>74</v>
      </c>
      <c r="M203" t="s">
        <v>78</v>
      </c>
      <c r="N203" t="s">
        <v>79</v>
      </c>
      <c r="O203" t="s">
        <v>74</v>
      </c>
      <c r="P203" t="s">
        <v>74</v>
      </c>
      <c r="Q203" t="s">
        <v>74</v>
      </c>
      <c r="R203" t="s">
        <v>74</v>
      </c>
      <c r="S203" t="s">
        <v>74</v>
      </c>
      <c r="T203" t="s">
        <v>3887</v>
      </c>
      <c r="U203" t="s">
        <v>3888</v>
      </c>
      <c r="V203" t="s">
        <v>3889</v>
      </c>
      <c r="W203" t="s">
        <v>3890</v>
      </c>
      <c r="X203" t="s">
        <v>3891</v>
      </c>
      <c r="Y203" t="s">
        <v>3892</v>
      </c>
      <c r="Z203" t="s">
        <v>3893</v>
      </c>
      <c r="AA203" t="s">
        <v>74</v>
      </c>
      <c r="AB203" t="s">
        <v>3894</v>
      </c>
      <c r="AC203" t="s">
        <v>74</v>
      </c>
      <c r="AD203" t="s">
        <v>74</v>
      </c>
      <c r="AE203" t="s">
        <v>74</v>
      </c>
      <c r="AF203" t="s">
        <v>74</v>
      </c>
      <c r="AG203">
        <v>55</v>
      </c>
      <c r="AH203">
        <v>4</v>
      </c>
      <c r="AI203">
        <v>7</v>
      </c>
      <c r="AJ203">
        <v>1</v>
      </c>
      <c r="AK203">
        <v>12</v>
      </c>
      <c r="AL203" t="s">
        <v>3895</v>
      </c>
      <c r="AM203" t="s">
        <v>3896</v>
      </c>
      <c r="AN203" t="s">
        <v>3897</v>
      </c>
      <c r="AO203" t="s">
        <v>3898</v>
      </c>
      <c r="AP203" t="s">
        <v>3899</v>
      </c>
      <c r="AQ203" t="s">
        <v>74</v>
      </c>
      <c r="AR203" t="s">
        <v>3900</v>
      </c>
      <c r="AS203" t="s">
        <v>3901</v>
      </c>
      <c r="AT203" t="s">
        <v>3902</v>
      </c>
      <c r="AU203">
        <v>2011</v>
      </c>
      <c r="AV203">
        <v>24</v>
      </c>
      <c r="AW203">
        <v>3</v>
      </c>
      <c r="AX203" t="s">
        <v>74</v>
      </c>
      <c r="AY203" t="s">
        <v>74</v>
      </c>
      <c r="AZ203" t="s">
        <v>74</v>
      </c>
      <c r="BA203" t="s">
        <v>74</v>
      </c>
      <c r="BB203">
        <v>329</v>
      </c>
      <c r="BC203">
        <v>335</v>
      </c>
      <c r="BD203" t="s">
        <v>74</v>
      </c>
      <c r="BE203" t="s">
        <v>3903</v>
      </c>
      <c r="BF203" t="str">
        <f>HYPERLINK("http://dx.doi.org/10.1051/alr/2011139","http://dx.doi.org/10.1051/alr/2011139")</f>
        <v>http://dx.doi.org/10.1051/alr/2011139</v>
      </c>
      <c r="BG203" t="s">
        <v>74</v>
      </c>
      <c r="BH203" t="s">
        <v>74</v>
      </c>
      <c r="BI203">
        <v>7</v>
      </c>
      <c r="BJ203" t="s">
        <v>317</v>
      </c>
      <c r="BK203" t="s">
        <v>100</v>
      </c>
      <c r="BL203" t="s">
        <v>317</v>
      </c>
      <c r="BM203" t="s">
        <v>3904</v>
      </c>
      <c r="BN203" t="s">
        <v>74</v>
      </c>
      <c r="BO203" t="s">
        <v>152</v>
      </c>
      <c r="BP203" t="s">
        <v>74</v>
      </c>
      <c r="BQ203" t="s">
        <v>74</v>
      </c>
      <c r="BR203" t="s">
        <v>103</v>
      </c>
      <c r="BS203" t="s">
        <v>3905</v>
      </c>
      <c r="BT203" t="str">
        <f>HYPERLINK("https%3A%2F%2Fwww.webofscience.com%2Fwos%2Fwoscc%2Ffull-record%2FWOS:000296576800011","View Full Record in Web of Science")</f>
        <v>View Full Record in Web of Science</v>
      </c>
    </row>
    <row r="204" spans="1:72" x14ac:dyDescent="0.15">
      <c r="A204" t="s">
        <v>72</v>
      </c>
      <c r="B204" t="s">
        <v>3906</v>
      </c>
      <c r="C204" t="s">
        <v>74</v>
      </c>
      <c r="D204" t="s">
        <v>74</v>
      </c>
      <c r="E204" t="s">
        <v>74</v>
      </c>
      <c r="F204" t="s">
        <v>3907</v>
      </c>
      <c r="G204" t="s">
        <v>74</v>
      </c>
      <c r="H204" t="s">
        <v>74</v>
      </c>
      <c r="I204" t="s">
        <v>3908</v>
      </c>
      <c r="J204" t="s">
        <v>3909</v>
      </c>
      <c r="K204" t="s">
        <v>74</v>
      </c>
      <c r="L204" t="s">
        <v>74</v>
      </c>
      <c r="M204" t="s">
        <v>78</v>
      </c>
      <c r="N204" t="s">
        <v>79</v>
      </c>
      <c r="O204" t="s">
        <v>74</v>
      </c>
      <c r="P204" t="s">
        <v>74</v>
      </c>
      <c r="Q204" t="s">
        <v>74</v>
      </c>
      <c r="R204" t="s">
        <v>74</v>
      </c>
      <c r="S204" t="s">
        <v>74</v>
      </c>
      <c r="T204" t="s">
        <v>3910</v>
      </c>
      <c r="U204" t="s">
        <v>3911</v>
      </c>
      <c r="V204" t="s">
        <v>3912</v>
      </c>
      <c r="W204" t="s">
        <v>3913</v>
      </c>
      <c r="X204" t="s">
        <v>3914</v>
      </c>
      <c r="Y204" t="s">
        <v>3915</v>
      </c>
      <c r="Z204" t="s">
        <v>3916</v>
      </c>
      <c r="AA204" t="s">
        <v>3917</v>
      </c>
      <c r="AB204" t="s">
        <v>3918</v>
      </c>
      <c r="AC204" t="s">
        <v>3919</v>
      </c>
      <c r="AD204" t="s">
        <v>3920</v>
      </c>
      <c r="AE204" t="s">
        <v>3921</v>
      </c>
      <c r="AF204" t="s">
        <v>74</v>
      </c>
      <c r="AG204">
        <v>9</v>
      </c>
      <c r="AH204">
        <v>8</v>
      </c>
      <c r="AI204">
        <v>8</v>
      </c>
      <c r="AJ204">
        <v>1</v>
      </c>
      <c r="AK204">
        <v>7</v>
      </c>
      <c r="AL204" t="s">
        <v>624</v>
      </c>
      <c r="AM204" t="s">
        <v>91</v>
      </c>
      <c r="AN204" t="s">
        <v>625</v>
      </c>
      <c r="AO204" t="s">
        <v>3922</v>
      </c>
      <c r="AP204" t="s">
        <v>74</v>
      </c>
      <c r="AQ204" t="s">
        <v>74</v>
      </c>
      <c r="AR204" t="s">
        <v>3923</v>
      </c>
      <c r="AS204" t="s">
        <v>3924</v>
      </c>
      <c r="AT204" t="s">
        <v>3902</v>
      </c>
      <c r="AU204">
        <v>2011</v>
      </c>
      <c r="AV204">
        <v>37</v>
      </c>
      <c r="AW204">
        <v>4</v>
      </c>
      <c r="AX204" t="s">
        <v>74</v>
      </c>
      <c r="AY204" t="s">
        <v>74</v>
      </c>
      <c r="AZ204" t="s">
        <v>74</v>
      </c>
      <c r="BA204" t="s">
        <v>74</v>
      </c>
      <c r="BB204">
        <v>499</v>
      </c>
      <c r="BC204">
        <v>506</v>
      </c>
      <c r="BD204" t="s">
        <v>74</v>
      </c>
      <c r="BE204" t="s">
        <v>3925</v>
      </c>
      <c r="BF204" t="str">
        <f>HYPERLINK("http://dx.doi.org/10.1134/S1068162011030083","http://dx.doi.org/10.1134/S1068162011030083")</f>
        <v>http://dx.doi.org/10.1134/S1068162011030083</v>
      </c>
      <c r="BG204" t="s">
        <v>74</v>
      </c>
      <c r="BH204" t="s">
        <v>74</v>
      </c>
      <c r="BI204">
        <v>8</v>
      </c>
      <c r="BJ204" t="s">
        <v>3926</v>
      </c>
      <c r="BK204" t="s">
        <v>100</v>
      </c>
      <c r="BL204" t="s">
        <v>3927</v>
      </c>
      <c r="BM204" t="s">
        <v>3928</v>
      </c>
      <c r="BN204" t="s">
        <v>74</v>
      </c>
      <c r="BO204" t="s">
        <v>74</v>
      </c>
      <c r="BP204" t="s">
        <v>74</v>
      </c>
      <c r="BQ204" t="s">
        <v>74</v>
      </c>
      <c r="BR204" t="s">
        <v>103</v>
      </c>
      <c r="BS204" t="s">
        <v>3929</v>
      </c>
      <c r="BT204" t="str">
        <f>HYPERLINK("https%3A%2F%2Fwww.webofscience.com%2Fwos%2Fwoscc%2Ffull-record%2FWOS:000295533100014","View Full Record in Web of Science")</f>
        <v>View Full Record in Web of Science</v>
      </c>
    </row>
    <row r="205" spans="1:72" x14ac:dyDescent="0.15">
      <c r="A205" t="s">
        <v>72</v>
      </c>
      <c r="B205" t="s">
        <v>3930</v>
      </c>
      <c r="C205" t="s">
        <v>74</v>
      </c>
      <c r="D205" t="s">
        <v>74</v>
      </c>
      <c r="E205" t="s">
        <v>74</v>
      </c>
      <c r="F205" t="s">
        <v>3931</v>
      </c>
      <c r="G205" t="s">
        <v>74</v>
      </c>
      <c r="H205" t="s">
        <v>74</v>
      </c>
      <c r="I205" t="s">
        <v>3932</v>
      </c>
      <c r="J205" t="s">
        <v>807</v>
      </c>
      <c r="K205" t="s">
        <v>74</v>
      </c>
      <c r="L205" t="s">
        <v>74</v>
      </c>
      <c r="M205" t="s">
        <v>78</v>
      </c>
      <c r="N205" t="s">
        <v>79</v>
      </c>
      <c r="O205" t="s">
        <v>74</v>
      </c>
      <c r="P205" t="s">
        <v>74</v>
      </c>
      <c r="Q205" t="s">
        <v>74</v>
      </c>
      <c r="R205" t="s">
        <v>74</v>
      </c>
      <c r="S205" t="s">
        <v>74</v>
      </c>
      <c r="T205" t="s">
        <v>3933</v>
      </c>
      <c r="U205" t="s">
        <v>3934</v>
      </c>
      <c r="V205" t="s">
        <v>3935</v>
      </c>
      <c r="W205" t="s">
        <v>3936</v>
      </c>
      <c r="X205" t="s">
        <v>3937</v>
      </c>
      <c r="Y205" t="s">
        <v>3938</v>
      </c>
      <c r="Z205" t="s">
        <v>3939</v>
      </c>
      <c r="AA205" t="s">
        <v>74</v>
      </c>
      <c r="AB205" t="s">
        <v>3940</v>
      </c>
      <c r="AC205" t="s">
        <v>3941</v>
      </c>
      <c r="AD205" t="s">
        <v>3941</v>
      </c>
      <c r="AE205" t="s">
        <v>3942</v>
      </c>
      <c r="AF205" t="s">
        <v>74</v>
      </c>
      <c r="AG205">
        <v>23</v>
      </c>
      <c r="AH205">
        <v>3</v>
      </c>
      <c r="AI205">
        <v>4</v>
      </c>
      <c r="AJ205">
        <v>0</v>
      </c>
      <c r="AK205">
        <v>6</v>
      </c>
      <c r="AL205" t="s">
        <v>819</v>
      </c>
      <c r="AM205" t="s">
        <v>820</v>
      </c>
      <c r="AN205" t="s">
        <v>821</v>
      </c>
      <c r="AO205" t="s">
        <v>822</v>
      </c>
      <c r="AP205" t="s">
        <v>841</v>
      </c>
      <c r="AQ205" t="s">
        <v>74</v>
      </c>
      <c r="AR205" t="s">
        <v>823</v>
      </c>
      <c r="AS205" t="s">
        <v>824</v>
      </c>
      <c r="AT205" t="s">
        <v>3902</v>
      </c>
      <c r="AU205">
        <v>2011</v>
      </c>
      <c r="AV205">
        <v>78</v>
      </c>
      <c r="AW205">
        <v>1</v>
      </c>
      <c r="AX205" t="s">
        <v>74</v>
      </c>
      <c r="AY205" t="s">
        <v>74</v>
      </c>
      <c r="AZ205" t="s">
        <v>74</v>
      </c>
      <c r="BA205" t="s">
        <v>74</v>
      </c>
      <c r="BB205">
        <v>7</v>
      </c>
      <c r="BC205">
        <v>18</v>
      </c>
      <c r="BD205" t="s">
        <v>74</v>
      </c>
      <c r="BE205" t="s">
        <v>3943</v>
      </c>
      <c r="BF205" t="str">
        <f>HYPERLINK("http://dx.doi.org/10.1007/s12594-011-0062-z","http://dx.doi.org/10.1007/s12594-011-0062-z")</f>
        <v>http://dx.doi.org/10.1007/s12594-011-0062-z</v>
      </c>
      <c r="BG205" t="s">
        <v>74</v>
      </c>
      <c r="BH205" t="s">
        <v>74</v>
      </c>
      <c r="BI205">
        <v>12</v>
      </c>
      <c r="BJ205" t="s">
        <v>130</v>
      </c>
      <c r="BK205" t="s">
        <v>100</v>
      </c>
      <c r="BL205" t="s">
        <v>131</v>
      </c>
      <c r="BM205" t="s">
        <v>3944</v>
      </c>
      <c r="BN205" t="s">
        <v>74</v>
      </c>
      <c r="BO205" t="s">
        <v>74</v>
      </c>
      <c r="BP205" t="s">
        <v>74</v>
      </c>
      <c r="BQ205" t="s">
        <v>74</v>
      </c>
      <c r="BR205" t="s">
        <v>103</v>
      </c>
      <c r="BS205" t="s">
        <v>3945</v>
      </c>
      <c r="BT205" t="str">
        <f>HYPERLINK("https%3A%2F%2Fwww.webofscience.com%2Fwos%2Fwoscc%2Ffull-record%2FWOS:000295167800002","View Full Record in Web of Science")</f>
        <v>View Full Record in Web of Science</v>
      </c>
    </row>
    <row r="206" spans="1:72" x14ac:dyDescent="0.15">
      <c r="A206" t="s">
        <v>72</v>
      </c>
      <c r="B206" t="s">
        <v>3946</v>
      </c>
      <c r="C206" t="s">
        <v>74</v>
      </c>
      <c r="D206" t="s">
        <v>74</v>
      </c>
      <c r="E206" t="s">
        <v>74</v>
      </c>
      <c r="F206" t="s">
        <v>3947</v>
      </c>
      <c r="G206" t="s">
        <v>74</v>
      </c>
      <c r="H206" t="s">
        <v>74</v>
      </c>
      <c r="I206" t="s">
        <v>3948</v>
      </c>
      <c r="J206" t="s">
        <v>807</v>
      </c>
      <c r="K206" t="s">
        <v>74</v>
      </c>
      <c r="L206" t="s">
        <v>74</v>
      </c>
      <c r="M206" t="s">
        <v>78</v>
      </c>
      <c r="N206" t="s">
        <v>79</v>
      </c>
      <c r="O206" t="s">
        <v>74</v>
      </c>
      <c r="P206" t="s">
        <v>74</v>
      </c>
      <c r="Q206" t="s">
        <v>74</v>
      </c>
      <c r="R206" t="s">
        <v>74</v>
      </c>
      <c r="S206" t="s">
        <v>74</v>
      </c>
      <c r="T206" t="s">
        <v>3949</v>
      </c>
      <c r="U206" t="s">
        <v>3950</v>
      </c>
      <c r="V206" t="s">
        <v>3951</v>
      </c>
      <c r="W206" t="s">
        <v>3952</v>
      </c>
      <c r="X206" t="s">
        <v>3953</v>
      </c>
      <c r="Y206" t="s">
        <v>3954</v>
      </c>
      <c r="Z206" t="s">
        <v>3955</v>
      </c>
      <c r="AA206" t="s">
        <v>74</v>
      </c>
      <c r="AB206" t="s">
        <v>3956</v>
      </c>
      <c r="AC206" t="s">
        <v>3957</v>
      </c>
      <c r="AD206" t="s">
        <v>3957</v>
      </c>
      <c r="AE206" t="s">
        <v>3958</v>
      </c>
      <c r="AF206" t="s">
        <v>74</v>
      </c>
      <c r="AG206">
        <v>60</v>
      </c>
      <c r="AH206">
        <v>5</v>
      </c>
      <c r="AI206">
        <v>8</v>
      </c>
      <c r="AJ206">
        <v>0</v>
      </c>
      <c r="AK206">
        <v>21</v>
      </c>
      <c r="AL206" t="s">
        <v>819</v>
      </c>
      <c r="AM206" t="s">
        <v>820</v>
      </c>
      <c r="AN206" t="s">
        <v>821</v>
      </c>
      <c r="AO206" t="s">
        <v>822</v>
      </c>
      <c r="AP206" t="s">
        <v>841</v>
      </c>
      <c r="AQ206" t="s">
        <v>74</v>
      </c>
      <c r="AR206" t="s">
        <v>823</v>
      </c>
      <c r="AS206" t="s">
        <v>824</v>
      </c>
      <c r="AT206" t="s">
        <v>3902</v>
      </c>
      <c r="AU206">
        <v>2011</v>
      </c>
      <c r="AV206">
        <v>78</v>
      </c>
      <c r="AW206">
        <v>1</v>
      </c>
      <c r="AX206" t="s">
        <v>74</v>
      </c>
      <c r="AY206" t="s">
        <v>74</v>
      </c>
      <c r="AZ206" t="s">
        <v>74</v>
      </c>
      <c r="BA206" t="s">
        <v>74</v>
      </c>
      <c r="BB206">
        <v>19</v>
      </c>
      <c r="BC206">
        <v>29</v>
      </c>
      <c r="BD206" t="s">
        <v>74</v>
      </c>
      <c r="BE206" t="s">
        <v>3959</v>
      </c>
      <c r="BF206" t="str">
        <f>HYPERLINK("http://dx.doi.org/10.1007/s12594-011-0063-y","http://dx.doi.org/10.1007/s12594-011-0063-y")</f>
        <v>http://dx.doi.org/10.1007/s12594-011-0063-y</v>
      </c>
      <c r="BG206" t="s">
        <v>74</v>
      </c>
      <c r="BH206" t="s">
        <v>74</v>
      </c>
      <c r="BI206">
        <v>11</v>
      </c>
      <c r="BJ206" t="s">
        <v>130</v>
      </c>
      <c r="BK206" t="s">
        <v>100</v>
      </c>
      <c r="BL206" t="s">
        <v>131</v>
      </c>
      <c r="BM206" t="s">
        <v>3944</v>
      </c>
      <c r="BN206" t="s">
        <v>74</v>
      </c>
      <c r="BO206" t="s">
        <v>74</v>
      </c>
      <c r="BP206" t="s">
        <v>74</v>
      </c>
      <c r="BQ206" t="s">
        <v>74</v>
      </c>
      <c r="BR206" t="s">
        <v>103</v>
      </c>
      <c r="BS206" t="s">
        <v>3960</v>
      </c>
      <c r="BT206" t="str">
        <f>HYPERLINK("https%3A%2F%2Fwww.webofscience.com%2Fwos%2Fwoscc%2Ffull-record%2FWOS:000295167800003","View Full Record in Web of Science")</f>
        <v>View Full Record in Web of Science</v>
      </c>
    </row>
    <row r="207" spans="1:72" x14ac:dyDescent="0.15">
      <c r="A207" t="s">
        <v>72</v>
      </c>
      <c r="B207" t="s">
        <v>3961</v>
      </c>
      <c r="C207" t="s">
        <v>74</v>
      </c>
      <c r="D207" t="s">
        <v>74</v>
      </c>
      <c r="E207" t="s">
        <v>74</v>
      </c>
      <c r="F207" t="s">
        <v>3962</v>
      </c>
      <c r="G207" t="s">
        <v>74</v>
      </c>
      <c r="H207" t="s">
        <v>74</v>
      </c>
      <c r="I207" t="s">
        <v>3963</v>
      </c>
      <c r="J207" t="s">
        <v>807</v>
      </c>
      <c r="K207" t="s">
        <v>74</v>
      </c>
      <c r="L207" t="s">
        <v>74</v>
      </c>
      <c r="M207" t="s">
        <v>78</v>
      </c>
      <c r="N207" t="s">
        <v>79</v>
      </c>
      <c r="O207" t="s">
        <v>74</v>
      </c>
      <c r="P207" t="s">
        <v>74</v>
      </c>
      <c r="Q207" t="s">
        <v>74</v>
      </c>
      <c r="R207" t="s">
        <v>74</v>
      </c>
      <c r="S207" t="s">
        <v>74</v>
      </c>
      <c r="T207" t="s">
        <v>3964</v>
      </c>
      <c r="U207" t="s">
        <v>3965</v>
      </c>
      <c r="V207" t="s">
        <v>3966</v>
      </c>
      <c r="W207" t="s">
        <v>3967</v>
      </c>
      <c r="X207" t="s">
        <v>3968</v>
      </c>
      <c r="Y207" t="s">
        <v>3969</v>
      </c>
      <c r="Z207" t="s">
        <v>3970</v>
      </c>
      <c r="AA207" t="s">
        <v>3971</v>
      </c>
      <c r="AB207" t="s">
        <v>3972</v>
      </c>
      <c r="AC207" t="s">
        <v>74</v>
      </c>
      <c r="AD207" t="s">
        <v>74</v>
      </c>
      <c r="AE207" t="s">
        <v>74</v>
      </c>
      <c r="AF207" t="s">
        <v>74</v>
      </c>
      <c r="AG207">
        <v>32</v>
      </c>
      <c r="AH207">
        <v>8</v>
      </c>
      <c r="AI207">
        <v>10</v>
      </c>
      <c r="AJ207">
        <v>1</v>
      </c>
      <c r="AK207">
        <v>12</v>
      </c>
      <c r="AL207" t="s">
        <v>819</v>
      </c>
      <c r="AM207" t="s">
        <v>820</v>
      </c>
      <c r="AN207" t="s">
        <v>821</v>
      </c>
      <c r="AO207" t="s">
        <v>822</v>
      </c>
      <c r="AP207" t="s">
        <v>841</v>
      </c>
      <c r="AQ207" t="s">
        <v>74</v>
      </c>
      <c r="AR207" t="s">
        <v>823</v>
      </c>
      <c r="AS207" t="s">
        <v>824</v>
      </c>
      <c r="AT207" t="s">
        <v>3902</v>
      </c>
      <c r="AU207">
        <v>2011</v>
      </c>
      <c r="AV207">
        <v>78</v>
      </c>
      <c r="AW207">
        <v>1</v>
      </c>
      <c r="AX207" t="s">
        <v>74</v>
      </c>
      <c r="AY207" t="s">
        <v>74</v>
      </c>
      <c r="AZ207" t="s">
        <v>74</v>
      </c>
      <c r="BA207" t="s">
        <v>74</v>
      </c>
      <c r="BB207">
        <v>30</v>
      </c>
      <c r="BC207">
        <v>35</v>
      </c>
      <c r="BD207" t="s">
        <v>74</v>
      </c>
      <c r="BE207" t="s">
        <v>3973</v>
      </c>
      <c r="BF207" t="str">
        <f>HYPERLINK("http://dx.doi.org/10.1007/s12594-011-0064-x","http://dx.doi.org/10.1007/s12594-011-0064-x")</f>
        <v>http://dx.doi.org/10.1007/s12594-011-0064-x</v>
      </c>
      <c r="BG207" t="s">
        <v>74</v>
      </c>
      <c r="BH207" t="s">
        <v>74</v>
      </c>
      <c r="BI207">
        <v>6</v>
      </c>
      <c r="BJ207" t="s">
        <v>130</v>
      </c>
      <c r="BK207" t="s">
        <v>100</v>
      </c>
      <c r="BL207" t="s">
        <v>131</v>
      </c>
      <c r="BM207" t="s">
        <v>3944</v>
      </c>
      <c r="BN207" t="s">
        <v>74</v>
      </c>
      <c r="BO207" t="s">
        <v>74</v>
      </c>
      <c r="BP207" t="s">
        <v>74</v>
      </c>
      <c r="BQ207" t="s">
        <v>74</v>
      </c>
      <c r="BR207" t="s">
        <v>103</v>
      </c>
      <c r="BS207" t="s">
        <v>3974</v>
      </c>
      <c r="BT207" t="str">
        <f>HYPERLINK("https%3A%2F%2Fwww.webofscience.com%2Fwos%2Fwoscc%2Ffull-record%2FWOS:000295167800004","View Full Record in Web of Science")</f>
        <v>View Full Record in Web of Science</v>
      </c>
    </row>
    <row r="208" spans="1:72" x14ac:dyDescent="0.15">
      <c r="A208" t="s">
        <v>72</v>
      </c>
      <c r="B208" t="s">
        <v>3975</v>
      </c>
      <c r="C208" t="s">
        <v>74</v>
      </c>
      <c r="D208" t="s">
        <v>74</v>
      </c>
      <c r="E208" t="s">
        <v>74</v>
      </c>
      <c r="F208" t="s">
        <v>3976</v>
      </c>
      <c r="G208" t="s">
        <v>74</v>
      </c>
      <c r="H208" t="s">
        <v>74</v>
      </c>
      <c r="I208" t="s">
        <v>3977</v>
      </c>
      <c r="J208" t="s">
        <v>807</v>
      </c>
      <c r="K208" t="s">
        <v>74</v>
      </c>
      <c r="L208" t="s">
        <v>74</v>
      </c>
      <c r="M208" t="s">
        <v>78</v>
      </c>
      <c r="N208" t="s">
        <v>79</v>
      </c>
      <c r="O208" t="s">
        <v>74</v>
      </c>
      <c r="P208" t="s">
        <v>74</v>
      </c>
      <c r="Q208" t="s">
        <v>74</v>
      </c>
      <c r="R208" t="s">
        <v>74</v>
      </c>
      <c r="S208" t="s">
        <v>74</v>
      </c>
      <c r="T208" t="s">
        <v>3978</v>
      </c>
      <c r="U208" t="s">
        <v>3979</v>
      </c>
      <c r="V208" t="s">
        <v>3980</v>
      </c>
      <c r="W208" t="s">
        <v>3981</v>
      </c>
      <c r="X208" t="s">
        <v>3982</v>
      </c>
      <c r="Y208" t="s">
        <v>3983</v>
      </c>
      <c r="Z208" t="s">
        <v>3984</v>
      </c>
      <c r="AA208" t="s">
        <v>3985</v>
      </c>
      <c r="AB208" t="s">
        <v>3986</v>
      </c>
      <c r="AC208" t="s">
        <v>3987</v>
      </c>
      <c r="AD208" t="s">
        <v>3987</v>
      </c>
      <c r="AE208" t="s">
        <v>3988</v>
      </c>
      <c r="AF208" t="s">
        <v>74</v>
      </c>
      <c r="AG208">
        <v>79</v>
      </c>
      <c r="AH208">
        <v>3</v>
      </c>
      <c r="AI208">
        <v>5</v>
      </c>
      <c r="AJ208">
        <v>0</v>
      </c>
      <c r="AK208">
        <v>5</v>
      </c>
      <c r="AL208" t="s">
        <v>819</v>
      </c>
      <c r="AM208" t="s">
        <v>820</v>
      </c>
      <c r="AN208" t="s">
        <v>821</v>
      </c>
      <c r="AO208" t="s">
        <v>822</v>
      </c>
      <c r="AP208" t="s">
        <v>841</v>
      </c>
      <c r="AQ208" t="s">
        <v>74</v>
      </c>
      <c r="AR208" t="s">
        <v>823</v>
      </c>
      <c r="AS208" t="s">
        <v>824</v>
      </c>
      <c r="AT208" t="s">
        <v>3902</v>
      </c>
      <c r="AU208">
        <v>2011</v>
      </c>
      <c r="AV208">
        <v>78</v>
      </c>
      <c r="AW208">
        <v>1</v>
      </c>
      <c r="AX208" t="s">
        <v>74</v>
      </c>
      <c r="AY208" t="s">
        <v>74</v>
      </c>
      <c r="AZ208" t="s">
        <v>74</v>
      </c>
      <c r="BA208" t="s">
        <v>74</v>
      </c>
      <c r="BB208">
        <v>36</v>
      </c>
      <c r="BC208">
        <v>44</v>
      </c>
      <c r="BD208" t="s">
        <v>74</v>
      </c>
      <c r="BE208" t="s">
        <v>3989</v>
      </c>
      <c r="BF208" t="str">
        <f>HYPERLINK("http://dx.doi.org/10.1007/s12594-011-0065-9","http://dx.doi.org/10.1007/s12594-011-0065-9")</f>
        <v>http://dx.doi.org/10.1007/s12594-011-0065-9</v>
      </c>
      <c r="BG208" t="s">
        <v>74</v>
      </c>
      <c r="BH208" t="s">
        <v>74</v>
      </c>
      <c r="BI208">
        <v>9</v>
      </c>
      <c r="BJ208" t="s">
        <v>130</v>
      </c>
      <c r="BK208" t="s">
        <v>100</v>
      </c>
      <c r="BL208" t="s">
        <v>131</v>
      </c>
      <c r="BM208" t="s">
        <v>3944</v>
      </c>
      <c r="BN208" t="s">
        <v>74</v>
      </c>
      <c r="BO208" t="s">
        <v>74</v>
      </c>
      <c r="BP208" t="s">
        <v>74</v>
      </c>
      <c r="BQ208" t="s">
        <v>74</v>
      </c>
      <c r="BR208" t="s">
        <v>103</v>
      </c>
      <c r="BS208" t="s">
        <v>3990</v>
      </c>
      <c r="BT208" t="str">
        <f>HYPERLINK("https%3A%2F%2Fwww.webofscience.com%2Fwos%2Fwoscc%2Ffull-record%2FWOS:000295167800005","View Full Record in Web of Science")</f>
        <v>View Full Record in Web of Science</v>
      </c>
    </row>
    <row r="209" spans="1:72" x14ac:dyDescent="0.15">
      <c r="A209" t="s">
        <v>72</v>
      </c>
      <c r="B209" t="s">
        <v>3991</v>
      </c>
      <c r="C209" t="s">
        <v>74</v>
      </c>
      <c r="D209" t="s">
        <v>74</v>
      </c>
      <c r="E209" t="s">
        <v>74</v>
      </c>
      <c r="F209" t="s">
        <v>3992</v>
      </c>
      <c r="G209" t="s">
        <v>74</v>
      </c>
      <c r="H209" t="s">
        <v>74</v>
      </c>
      <c r="I209" t="s">
        <v>3993</v>
      </c>
      <c r="J209" t="s">
        <v>3994</v>
      </c>
      <c r="K209" t="s">
        <v>74</v>
      </c>
      <c r="L209" t="s">
        <v>74</v>
      </c>
      <c r="M209" t="s">
        <v>78</v>
      </c>
      <c r="N209" t="s">
        <v>79</v>
      </c>
      <c r="O209" t="s">
        <v>74</v>
      </c>
      <c r="P209" t="s">
        <v>74</v>
      </c>
      <c r="Q209" t="s">
        <v>74</v>
      </c>
      <c r="R209" t="s">
        <v>74</v>
      </c>
      <c r="S209" t="s">
        <v>74</v>
      </c>
      <c r="T209" t="s">
        <v>3995</v>
      </c>
      <c r="U209" t="s">
        <v>3996</v>
      </c>
      <c r="V209" t="s">
        <v>3997</v>
      </c>
      <c r="W209" t="s">
        <v>3998</v>
      </c>
      <c r="X209" t="s">
        <v>3999</v>
      </c>
      <c r="Y209" t="s">
        <v>4000</v>
      </c>
      <c r="Z209" t="s">
        <v>4001</v>
      </c>
      <c r="AA209" t="s">
        <v>74</v>
      </c>
      <c r="AB209" t="s">
        <v>74</v>
      </c>
      <c r="AC209" t="s">
        <v>4002</v>
      </c>
      <c r="AD209" t="s">
        <v>4003</v>
      </c>
      <c r="AE209" t="s">
        <v>4004</v>
      </c>
      <c r="AF209" t="s">
        <v>74</v>
      </c>
      <c r="AG209">
        <v>93</v>
      </c>
      <c r="AH209">
        <v>15</v>
      </c>
      <c r="AI209">
        <v>15</v>
      </c>
      <c r="AJ209">
        <v>0</v>
      </c>
      <c r="AK209">
        <v>29</v>
      </c>
      <c r="AL209" t="s">
        <v>926</v>
      </c>
      <c r="AM209" t="s">
        <v>508</v>
      </c>
      <c r="AN209" t="s">
        <v>927</v>
      </c>
      <c r="AO209" t="s">
        <v>4005</v>
      </c>
      <c r="AP209" t="s">
        <v>74</v>
      </c>
      <c r="AQ209" t="s">
        <v>74</v>
      </c>
      <c r="AR209" t="s">
        <v>4006</v>
      </c>
      <c r="AS209" t="s">
        <v>4007</v>
      </c>
      <c r="AT209" t="s">
        <v>3902</v>
      </c>
      <c r="AU209">
        <v>2011</v>
      </c>
      <c r="AV209">
        <v>30</v>
      </c>
      <c r="AW209" t="s">
        <v>4008</v>
      </c>
      <c r="AX209" t="s">
        <v>74</v>
      </c>
      <c r="AY209" t="s">
        <v>74</v>
      </c>
      <c r="AZ209" t="s">
        <v>74</v>
      </c>
      <c r="BA209" t="s">
        <v>74</v>
      </c>
      <c r="BB209">
        <v>1829</v>
      </c>
      <c r="BC209">
        <v>1845</v>
      </c>
      <c r="BD209" t="s">
        <v>74</v>
      </c>
      <c r="BE209" t="s">
        <v>4009</v>
      </c>
      <c r="BF209" t="str">
        <f>HYPERLINK("http://dx.doi.org/10.1016/j.quascirev.2011.04.004","http://dx.doi.org/10.1016/j.quascirev.2011.04.004")</f>
        <v>http://dx.doi.org/10.1016/j.quascirev.2011.04.004</v>
      </c>
      <c r="BG209" t="s">
        <v>74</v>
      </c>
      <c r="BH209" t="s">
        <v>74</v>
      </c>
      <c r="BI209">
        <v>17</v>
      </c>
      <c r="BJ209" t="s">
        <v>1496</v>
      </c>
      <c r="BK209" t="s">
        <v>100</v>
      </c>
      <c r="BL209" t="s">
        <v>1497</v>
      </c>
      <c r="BM209" t="s">
        <v>4010</v>
      </c>
      <c r="BN209" t="s">
        <v>74</v>
      </c>
      <c r="BO209" t="s">
        <v>74</v>
      </c>
      <c r="BP209" t="s">
        <v>74</v>
      </c>
      <c r="BQ209" t="s">
        <v>74</v>
      </c>
      <c r="BR209" t="s">
        <v>103</v>
      </c>
      <c r="BS209" t="s">
        <v>4011</v>
      </c>
      <c r="BT209" t="str">
        <f>HYPERLINK("https%3A%2F%2Fwww.webofscience.com%2Fwos%2Fwoscc%2Ffull-record%2FWOS:000293436700004","View Full Record in Web of Science")</f>
        <v>View Full Record in Web of Science</v>
      </c>
    </row>
    <row r="210" spans="1:72" x14ac:dyDescent="0.15">
      <c r="A210" t="s">
        <v>72</v>
      </c>
      <c r="B210" t="s">
        <v>4012</v>
      </c>
      <c r="C210" t="s">
        <v>74</v>
      </c>
      <c r="D210" t="s">
        <v>74</v>
      </c>
      <c r="E210" t="s">
        <v>74</v>
      </c>
      <c r="F210" t="s">
        <v>4013</v>
      </c>
      <c r="G210" t="s">
        <v>74</v>
      </c>
      <c r="H210" t="s">
        <v>74</v>
      </c>
      <c r="I210" t="s">
        <v>4014</v>
      </c>
      <c r="J210" t="s">
        <v>4015</v>
      </c>
      <c r="K210" t="s">
        <v>74</v>
      </c>
      <c r="L210" t="s">
        <v>74</v>
      </c>
      <c r="M210" t="s">
        <v>4016</v>
      </c>
      <c r="N210" t="s">
        <v>79</v>
      </c>
      <c r="O210" t="s">
        <v>74</v>
      </c>
      <c r="P210" t="s">
        <v>74</v>
      </c>
      <c r="Q210" t="s">
        <v>74</v>
      </c>
      <c r="R210" t="s">
        <v>74</v>
      </c>
      <c r="S210" t="s">
        <v>74</v>
      </c>
      <c r="T210" t="s">
        <v>4017</v>
      </c>
      <c r="U210" t="s">
        <v>4018</v>
      </c>
      <c r="V210" t="s">
        <v>4019</v>
      </c>
      <c r="W210" t="s">
        <v>4020</v>
      </c>
      <c r="X210" t="s">
        <v>4021</v>
      </c>
      <c r="Y210" t="s">
        <v>4022</v>
      </c>
      <c r="Z210" t="s">
        <v>4023</v>
      </c>
      <c r="AA210" t="s">
        <v>4024</v>
      </c>
      <c r="AB210" t="s">
        <v>4025</v>
      </c>
      <c r="AC210" t="s">
        <v>74</v>
      </c>
      <c r="AD210" t="s">
        <v>74</v>
      </c>
      <c r="AE210" t="s">
        <v>74</v>
      </c>
      <c r="AF210" t="s">
        <v>74</v>
      </c>
      <c r="AG210">
        <v>26</v>
      </c>
      <c r="AH210">
        <v>37</v>
      </c>
      <c r="AI210">
        <v>37</v>
      </c>
      <c r="AJ210">
        <v>0</v>
      </c>
      <c r="AK210">
        <v>4</v>
      </c>
      <c r="AL210" t="s">
        <v>4026</v>
      </c>
      <c r="AM210" t="s">
        <v>4027</v>
      </c>
      <c r="AN210" t="s">
        <v>4028</v>
      </c>
      <c r="AO210" t="s">
        <v>4029</v>
      </c>
      <c r="AP210" t="s">
        <v>74</v>
      </c>
      <c r="AQ210" t="s">
        <v>74</v>
      </c>
      <c r="AR210" t="s">
        <v>4030</v>
      </c>
      <c r="AS210" t="s">
        <v>4031</v>
      </c>
      <c r="AT210" t="s">
        <v>3902</v>
      </c>
      <c r="AU210">
        <v>2011</v>
      </c>
      <c r="AV210">
        <v>46</v>
      </c>
      <c r="AW210" t="s">
        <v>2154</v>
      </c>
      <c r="AX210" t="s">
        <v>74</v>
      </c>
      <c r="AY210" t="s">
        <v>74</v>
      </c>
      <c r="AZ210" t="s">
        <v>74</v>
      </c>
      <c r="BA210" t="s">
        <v>74</v>
      </c>
      <c r="BB210">
        <v>131</v>
      </c>
      <c r="BC210">
        <v>138</v>
      </c>
      <c r="BD210" t="s">
        <v>74</v>
      </c>
      <c r="BE210" t="s">
        <v>74</v>
      </c>
      <c r="BF210" t="s">
        <v>74</v>
      </c>
      <c r="BG210" t="s">
        <v>74</v>
      </c>
      <c r="BH210" t="s">
        <v>74</v>
      </c>
      <c r="BI210">
        <v>8</v>
      </c>
      <c r="BJ210" t="s">
        <v>4032</v>
      </c>
      <c r="BK210" t="s">
        <v>100</v>
      </c>
      <c r="BL210" t="s">
        <v>4032</v>
      </c>
      <c r="BM210" t="s">
        <v>4033</v>
      </c>
      <c r="BN210" t="s">
        <v>74</v>
      </c>
      <c r="BO210" t="s">
        <v>74</v>
      </c>
      <c r="BP210" t="s">
        <v>74</v>
      </c>
      <c r="BQ210" t="s">
        <v>74</v>
      </c>
      <c r="BR210" t="s">
        <v>103</v>
      </c>
      <c r="BS210" t="s">
        <v>4034</v>
      </c>
      <c r="BT210" t="str">
        <f>HYPERLINK("https%3A%2F%2Fwww.webofscience.com%2Fwos%2Fwoscc%2Ffull-record%2FWOS:000293763000010","View Full Record in Web of Science")</f>
        <v>View Full Record in Web of Science</v>
      </c>
    </row>
    <row r="211" spans="1:72" x14ac:dyDescent="0.15">
      <c r="A211" t="s">
        <v>72</v>
      </c>
      <c r="B211" t="s">
        <v>4035</v>
      </c>
      <c r="C211" t="s">
        <v>74</v>
      </c>
      <c r="D211" t="s">
        <v>74</v>
      </c>
      <c r="E211" t="s">
        <v>74</v>
      </c>
      <c r="F211" t="s">
        <v>4036</v>
      </c>
      <c r="G211" t="s">
        <v>74</v>
      </c>
      <c r="H211" t="s">
        <v>74</v>
      </c>
      <c r="I211" t="s">
        <v>4037</v>
      </c>
      <c r="J211" t="s">
        <v>874</v>
      </c>
      <c r="K211" t="s">
        <v>74</v>
      </c>
      <c r="L211" t="s">
        <v>74</v>
      </c>
      <c r="M211" t="s">
        <v>78</v>
      </c>
      <c r="N211" t="s">
        <v>79</v>
      </c>
      <c r="O211" t="s">
        <v>74</v>
      </c>
      <c r="P211" t="s">
        <v>74</v>
      </c>
      <c r="Q211" t="s">
        <v>74</v>
      </c>
      <c r="R211" t="s">
        <v>74</v>
      </c>
      <c r="S211" t="s">
        <v>74</v>
      </c>
      <c r="T211" t="s">
        <v>74</v>
      </c>
      <c r="U211" t="s">
        <v>4038</v>
      </c>
      <c r="V211" t="s">
        <v>4039</v>
      </c>
      <c r="W211" t="s">
        <v>4040</v>
      </c>
      <c r="X211" t="s">
        <v>4041</v>
      </c>
      <c r="Y211" t="s">
        <v>4042</v>
      </c>
      <c r="Z211" t="s">
        <v>4043</v>
      </c>
      <c r="AA211" t="s">
        <v>4044</v>
      </c>
      <c r="AB211" t="s">
        <v>4045</v>
      </c>
      <c r="AC211" t="s">
        <v>4046</v>
      </c>
      <c r="AD211" t="s">
        <v>4047</v>
      </c>
      <c r="AE211" t="s">
        <v>4048</v>
      </c>
      <c r="AF211" t="s">
        <v>74</v>
      </c>
      <c r="AG211">
        <v>27</v>
      </c>
      <c r="AH211">
        <v>14</v>
      </c>
      <c r="AI211">
        <v>14</v>
      </c>
      <c r="AJ211">
        <v>0</v>
      </c>
      <c r="AK211">
        <v>6</v>
      </c>
      <c r="AL211" t="s">
        <v>885</v>
      </c>
      <c r="AM211" t="s">
        <v>886</v>
      </c>
      <c r="AN211" t="s">
        <v>887</v>
      </c>
      <c r="AO211" t="s">
        <v>888</v>
      </c>
      <c r="AP211" t="s">
        <v>74</v>
      </c>
      <c r="AQ211" t="s">
        <v>74</v>
      </c>
      <c r="AR211" t="s">
        <v>889</v>
      </c>
      <c r="AS211" t="s">
        <v>890</v>
      </c>
      <c r="AT211" t="s">
        <v>3902</v>
      </c>
      <c r="AU211">
        <v>2011</v>
      </c>
      <c r="AV211">
        <v>61</v>
      </c>
      <c r="AW211" t="s">
        <v>74</v>
      </c>
      <c r="AX211">
        <v>7</v>
      </c>
      <c r="AY211" t="s">
        <v>74</v>
      </c>
      <c r="AZ211" t="s">
        <v>74</v>
      </c>
      <c r="BA211" t="s">
        <v>74</v>
      </c>
      <c r="BB211">
        <v>1521</v>
      </c>
      <c r="BC211">
        <v>1527</v>
      </c>
      <c r="BD211" t="s">
        <v>74</v>
      </c>
      <c r="BE211" t="s">
        <v>4049</v>
      </c>
      <c r="BF211" t="str">
        <f>HYPERLINK("http://dx.doi.org/10.1099/ijs.0.025429-0","http://dx.doi.org/10.1099/ijs.0.025429-0")</f>
        <v>http://dx.doi.org/10.1099/ijs.0.025429-0</v>
      </c>
      <c r="BG211" t="s">
        <v>74</v>
      </c>
      <c r="BH211" t="s">
        <v>74</v>
      </c>
      <c r="BI211">
        <v>7</v>
      </c>
      <c r="BJ211" t="s">
        <v>892</v>
      </c>
      <c r="BK211" t="s">
        <v>100</v>
      </c>
      <c r="BL211" t="s">
        <v>892</v>
      </c>
      <c r="BM211" t="s">
        <v>4050</v>
      </c>
      <c r="BN211">
        <v>20656812</v>
      </c>
      <c r="BO211" t="s">
        <v>152</v>
      </c>
      <c r="BP211" t="s">
        <v>74</v>
      </c>
      <c r="BQ211" t="s">
        <v>74</v>
      </c>
      <c r="BR211" t="s">
        <v>103</v>
      </c>
      <c r="BS211" t="s">
        <v>4051</v>
      </c>
      <c r="BT211" t="str">
        <f>HYPERLINK("https%3A%2F%2Fwww.webofscience.com%2Fwos%2Fwoscc%2Ffull-record%2FWOS:000293366900005","View Full Record in Web of Science")</f>
        <v>View Full Record in Web of Science</v>
      </c>
    </row>
    <row r="212" spans="1:72" x14ac:dyDescent="0.15">
      <c r="A212" t="s">
        <v>72</v>
      </c>
      <c r="B212" t="s">
        <v>4052</v>
      </c>
      <c r="C212" t="s">
        <v>74</v>
      </c>
      <c r="D212" t="s">
        <v>74</v>
      </c>
      <c r="E212" t="s">
        <v>74</v>
      </c>
      <c r="F212" t="s">
        <v>4053</v>
      </c>
      <c r="G212" t="s">
        <v>74</v>
      </c>
      <c r="H212" t="s">
        <v>4054</v>
      </c>
      <c r="I212" t="s">
        <v>4055</v>
      </c>
      <c r="J212" t="s">
        <v>913</v>
      </c>
      <c r="K212" t="s">
        <v>74</v>
      </c>
      <c r="L212" t="s">
        <v>74</v>
      </c>
      <c r="M212" t="s">
        <v>78</v>
      </c>
      <c r="N212" t="s">
        <v>79</v>
      </c>
      <c r="O212" t="s">
        <v>74</v>
      </c>
      <c r="P212" t="s">
        <v>74</v>
      </c>
      <c r="Q212" t="s">
        <v>74</v>
      </c>
      <c r="R212" t="s">
        <v>74</v>
      </c>
      <c r="S212" t="s">
        <v>74</v>
      </c>
      <c r="T212" t="s">
        <v>4056</v>
      </c>
      <c r="U212" t="s">
        <v>4057</v>
      </c>
      <c r="V212" t="s">
        <v>4058</v>
      </c>
      <c r="W212" t="s">
        <v>4059</v>
      </c>
      <c r="X212" t="s">
        <v>4060</v>
      </c>
      <c r="Y212" t="s">
        <v>4061</v>
      </c>
      <c r="Z212" t="s">
        <v>4062</v>
      </c>
      <c r="AA212" t="s">
        <v>4063</v>
      </c>
      <c r="AB212" t="s">
        <v>74</v>
      </c>
      <c r="AC212" t="s">
        <v>4064</v>
      </c>
      <c r="AD212" t="s">
        <v>4065</v>
      </c>
      <c r="AE212" t="s">
        <v>4066</v>
      </c>
      <c r="AF212" t="s">
        <v>74</v>
      </c>
      <c r="AG212">
        <v>55</v>
      </c>
      <c r="AH212">
        <v>31</v>
      </c>
      <c r="AI212">
        <v>37</v>
      </c>
      <c r="AJ212">
        <v>0</v>
      </c>
      <c r="AK212">
        <v>9</v>
      </c>
      <c r="AL212" t="s">
        <v>926</v>
      </c>
      <c r="AM212" t="s">
        <v>508</v>
      </c>
      <c r="AN212" t="s">
        <v>927</v>
      </c>
      <c r="AO212" t="s">
        <v>928</v>
      </c>
      <c r="AP212" t="s">
        <v>4067</v>
      </c>
      <c r="AQ212" t="s">
        <v>74</v>
      </c>
      <c r="AR212" t="s">
        <v>929</v>
      </c>
      <c r="AS212" t="s">
        <v>930</v>
      </c>
      <c r="AT212" t="s">
        <v>3902</v>
      </c>
      <c r="AU212">
        <v>2011</v>
      </c>
      <c r="AV212">
        <v>73</v>
      </c>
      <c r="AW212" t="s">
        <v>4068</v>
      </c>
      <c r="AX212" t="s">
        <v>74</v>
      </c>
      <c r="AY212" t="s">
        <v>74</v>
      </c>
      <c r="AZ212" t="s">
        <v>864</v>
      </c>
      <c r="BA212" t="s">
        <v>74</v>
      </c>
      <c r="BB212">
        <v>1425</v>
      </c>
      <c r="BC212">
        <v>1434</v>
      </c>
      <c r="BD212" t="s">
        <v>74</v>
      </c>
      <c r="BE212" t="s">
        <v>4069</v>
      </c>
      <c r="BF212" t="str">
        <f>HYPERLINK("http://dx.doi.org/10.1016/j.jastp.2011.01.006","http://dx.doi.org/10.1016/j.jastp.2011.01.006")</f>
        <v>http://dx.doi.org/10.1016/j.jastp.2011.01.006</v>
      </c>
      <c r="BG212" t="s">
        <v>74</v>
      </c>
      <c r="BH212" t="s">
        <v>74</v>
      </c>
      <c r="BI212">
        <v>10</v>
      </c>
      <c r="BJ212" t="s">
        <v>932</v>
      </c>
      <c r="BK212" t="s">
        <v>100</v>
      </c>
      <c r="BL212" t="s">
        <v>932</v>
      </c>
      <c r="BM212" t="s">
        <v>4070</v>
      </c>
      <c r="BN212" t="s">
        <v>74</v>
      </c>
      <c r="BO212" t="s">
        <v>74</v>
      </c>
      <c r="BP212" t="s">
        <v>74</v>
      </c>
      <c r="BQ212" t="s">
        <v>74</v>
      </c>
      <c r="BR212" t="s">
        <v>103</v>
      </c>
      <c r="BS212" t="s">
        <v>4071</v>
      </c>
      <c r="BT212" t="str">
        <f>HYPERLINK("https%3A%2F%2Fwww.webofscience.com%2Fwos%2Fwoscc%2Ffull-record%2FWOS:000294093500018","View Full Record in Web of Science")</f>
        <v>View Full Record in Web of Science</v>
      </c>
    </row>
    <row r="213" spans="1:72" x14ac:dyDescent="0.15">
      <c r="A213" t="s">
        <v>72</v>
      </c>
      <c r="B213" t="s">
        <v>4072</v>
      </c>
      <c r="C213" t="s">
        <v>74</v>
      </c>
      <c r="D213" t="s">
        <v>74</v>
      </c>
      <c r="E213" t="s">
        <v>74</v>
      </c>
      <c r="F213" t="s">
        <v>4073</v>
      </c>
      <c r="G213" t="s">
        <v>74</v>
      </c>
      <c r="H213" t="s">
        <v>74</v>
      </c>
      <c r="I213" t="s">
        <v>4074</v>
      </c>
      <c r="J213" t="s">
        <v>4075</v>
      </c>
      <c r="K213" t="s">
        <v>74</v>
      </c>
      <c r="L213" t="s">
        <v>74</v>
      </c>
      <c r="M213" t="s">
        <v>78</v>
      </c>
      <c r="N213" t="s">
        <v>79</v>
      </c>
      <c r="O213" t="s">
        <v>74</v>
      </c>
      <c r="P213" t="s">
        <v>74</v>
      </c>
      <c r="Q213" t="s">
        <v>74</v>
      </c>
      <c r="R213" t="s">
        <v>74</v>
      </c>
      <c r="S213" t="s">
        <v>74</v>
      </c>
      <c r="T213" t="s">
        <v>4076</v>
      </c>
      <c r="U213" t="s">
        <v>74</v>
      </c>
      <c r="V213" t="s">
        <v>4077</v>
      </c>
      <c r="W213" t="s">
        <v>4078</v>
      </c>
      <c r="X213" t="s">
        <v>4079</v>
      </c>
      <c r="Y213" t="s">
        <v>4080</v>
      </c>
      <c r="Z213" t="s">
        <v>4081</v>
      </c>
      <c r="AA213" t="s">
        <v>4082</v>
      </c>
      <c r="AB213" t="s">
        <v>74</v>
      </c>
      <c r="AC213" t="s">
        <v>74</v>
      </c>
      <c r="AD213" t="s">
        <v>74</v>
      </c>
      <c r="AE213" t="s">
        <v>74</v>
      </c>
      <c r="AF213" t="s">
        <v>74</v>
      </c>
      <c r="AG213">
        <v>16</v>
      </c>
      <c r="AH213">
        <v>2</v>
      </c>
      <c r="AI213">
        <v>2</v>
      </c>
      <c r="AJ213">
        <v>0</v>
      </c>
      <c r="AK213">
        <v>5</v>
      </c>
      <c r="AL213" t="s">
        <v>624</v>
      </c>
      <c r="AM213" t="s">
        <v>91</v>
      </c>
      <c r="AN213" t="s">
        <v>625</v>
      </c>
      <c r="AO213" t="s">
        <v>4083</v>
      </c>
      <c r="AP213" t="s">
        <v>4084</v>
      </c>
      <c r="AQ213" t="s">
        <v>74</v>
      </c>
      <c r="AR213" t="s">
        <v>4085</v>
      </c>
      <c r="AS213" t="s">
        <v>4086</v>
      </c>
      <c r="AT213" t="s">
        <v>3902</v>
      </c>
      <c r="AU213">
        <v>2011</v>
      </c>
      <c r="AV213">
        <v>37</v>
      </c>
      <c r="AW213">
        <v>4</v>
      </c>
      <c r="AX213" t="s">
        <v>74</v>
      </c>
      <c r="AY213" t="s">
        <v>74</v>
      </c>
      <c r="AZ213" t="s">
        <v>74</v>
      </c>
      <c r="BA213" t="s">
        <v>74</v>
      </c>
      <c r="BB213">
        <v>263</v>
      </c>
      <c r="BC213">
        <v>271</v>
      </c>
      <c r="BD213" t="s">
        <v>74</v>
      </c>
      <c r="BE213" t="s">
        <v>4087</v>
      </c>
      <c r="BF213" t="str">
        <f>HYPERLINK("http://dx.doi.org/10.1134/S1063074011040092","http://dx.doi.org/10.1134/S1063074011040092")</f>
        <v>http://dx.doi.org/10.1134/S1063074011040092</v>
      </c>
      <c r="BG213" t="s">
        <v>74</v>
      </c>
      <c r="BH213" t="s">
        <v>74</v>
      </c>
      <c r="BI213">
        <v>9</v>
      </c>
      <c r="BJ213" t="s">
        <v>700</v>
      </c>
      <c r="BK213" t="s">
        <v>100</v>
      </c>
      <c r="BL213" t="s">
        <v>700</v>
      </c>
      <c r="BM213" t="s">
        <v>4088</v>
      </c>
      <c r="BN213" t="s">
        <v>74</v>
      </c>
      <c r="BO213" t="s">
        <v>74</v>
      </c>
      <c r="BP213" t="s">
        <v>74</v>
      </c>
      <c r="BQ213" t="s">
        <v>74</v>
      </c>
      <c r="BR213" t="s">
        <v>103</v>
      </c>
      <c r="BS213" t="s">
        <v>4089</v>
      </c>
      <c r="BT213" t="str">
        <f>HYPERLINK("https%3A%2F%2Fwww.webofscience.com%2Fwos%2Fwoscc%2Ffull-record%2FWOS:000294066800003","View Full Record in Web of Science")</f>
        <v>View Full Record in Web of Science</v>
      </c>
    </row>
    <row r="214" spans="1:72" x14ac:dyDescent="0.15">
      <c r="A214" t="s">
        <v>72</v>
      </c>
      <c r="B214" t="s">
        <v>4090</v>
      </c>
      <c r="C214" t="s">
        <v>74</v>
      </c>
      <c r="D214" t="s">
        <v>74</v>
      </c>
      <c r="E214" t="s">
        <v>74</v>
      </c>
      <c r="F214" t="s">
        <v>4091</v>
      </c>
      <c r="G214" t="s">
        <v>74</v>
      </c>
      <c r="H214" t="s">
        <v>74</v>
      </c>
      <c r="I214" t="s">
        <v>4092</v>
      </c>
      <c r="J214" t="s">
        <v>4093</v>
      </c>
      <c r="K214" t="s">
        <v>74</v>
      </c>
      <c r="L214" t="s">
        <v>74</v>
      </c>
      <c r="M214" t="s">
        <v>78</v>
      </c>
      <c r="N214" t="s">
        <v>79</v>
      </c>
      <c r="O214" t="s">
        <v>74</v>
      </c>
      <c r="P214" t="s">
        <v>74</v>
      </c>
      <c r="Q214" t="s">
        <v>74</v>
      </c>
      <c r="R214" t="s">
        <v>74</v>
      </c>
      <c r="S214" t="s">
        <v>74</v>
      </c>
      <c r="T214" t="s">
        <v>4094</v>
      </c>
      <c r="U214" t="s">
        <v>4095</v>
      </c>
      <c r="V214" t="s">
        <v>4096</v>
      </c>
      <c r="W214" t="s">
        <v>4097</v>
      </c>
      <c r="X214" t="s">
        <v>4098</v>
      </c>
      <c r="Y214" t="s">
        <v>4099</v>
      </c>
      <c r="Z214" t="s">
        <v>4100</v>
      </c>
      <c r="AA214" t="s">
        <v>74</v>
      </c>
      <c r="AB214" t="s">
        <v>4101</v>
      </c>
      <c r="AC214" t="s">
        <v>4102</v>
      </c>
      <c r="AD214" t="s">
        <v>4103</v>
      </c>
      <c r="AE214" t="s">
        <v>4104</v>
      </c>
      <c r="AF214" t="s">
        <v>74</v>
      </c>
      <c r="AG214">
        <v>36</v>
      </c>
      <c r="AH214">
        <v>19</v>
      </c>
      <c r="AI214">
        <v>20</v>
      </c>
      <c r="AJ214">
        <v>2</v>
      </c>
      <c r="AK214">
        <v>22</v>
      </c>
      <c r="AL214" t="s">
        <v>2669</v>
      </c>
      <c r="AM214" t="s">
        <v>309</v>
      </c>
      <c r="AN214" t="s">
        <v>2670</v>
      </c>
      <c r="AO214" t="s">
        <v>4105</v>
      </c>
      <c r="AP214" t="s">
        <v>74</v>
      </c>
      <c r="AQ214" t="s">
        <v>74</v>
      </c>
      <c r="AR214" t="s">
        <v>4106</v>
      </c>
      <c r="AS214" t="s">
        <v>4107</v>
      </c>
      <c r="AT214" t="s">
        <v>3902</v>
      </c>
      <c r="AU214">
        <v>2011</v>
      </c>
      <c r="AV214">
        <v>87</v>
      </c>
      <c r="AW214">
        <v>3</v>
      </c>
      <c r="AX214" t="s">
        <v>74</v>
      </c>
      <c r="AY214" t="s">
        <v>74</v>
      </c>
      <c r="AZ214" t="s">
        <v>74</v>
      </c>
      <c r="BA214" t="s">
        <v>74</v>
      </c>
      <c r="BB214">
        <v>286</v>
      </c>
      <c r="BC214">
        <v>290</v>
      </c>
      <c r="BD214" t="s">
        <v>74</v>
      </c>
      <c r="BE214" t="s">
        <v>4108</v>
      </c>
      <c r="BF214" t="str">
        <f>HYPERLINK("http://dx.doi.org/10.1016/j.beproc.2011.06.005","http://dx.doi.org/10.1016/j.beproc.2011.06.005")</f>
        <v>http://dx.doi.org/10.1016/j.beproc.2011.06.005</v>
      </c>
      <c r="BG214" t="s">
        <v>74</v>
      </c>
      <c r="BH214" t="s">
        <v>74</v>
      </c>
      <c r="BI214">
        <v>5</v>
      </c>
      <c r="BJ214" t="s">
        <v>4109</v>
      </c>
      <c r="BK214" t="s">
        <v>867</v>
      </c>
      <c r="BL214" t="s">
        <v>4110</v>
      </c>
      <c r="BM214" t="s">
        <v>4111</v>
      </c>
      <c r="BN214">
        <v>21718762</v>
      </c>
      <c r="BO214" t="s">
        <v>74</v>
      </c>
      <c r="BP214" t="s">
        <v>74</v>
      </c>
      <c r="BQ214" t="s">
        <v>74</v>
      </c>
      <c r="BR214" t="s">
        <v>103</v>
      </c>
      <c r="BS214" t="s">
        <v>4112</v>
      </c>
      <c r="BT214" t="str">
        <f>HYPERLINK("https%3A%2F%2Fwww.webofscience.com%2Fwos%2Fwoscc%2Ffull-record%2FWOS:000293941300007","View Full Record in Web of Science")</f>
        <v>View Full Record in Web of Science</v>
      </c>
    </row>
    <row r="215" spans="1:72" x14ac:dyDescent="0.15">
      <c r="A215" t="s">
        <v>72</v>
      </c>
      <c r="B215" t="s">
        <v>4113</v>
      </c>
      <c r="C215" t="s">
        <v>74</v>
      </c>
      <c r="D215" t="s">
        <v>74</v>
      </c>
      <c r="E215" t="s">
        <v>74</v>
      </c>
      <c r="F215" t="s">
        <v>4114</v>
      </c>
      <c r="G215" t="s">
        <v>74</v>
      </c>
      <c r="H215" t="s">
        <v>74</v>
      </c>
      <c r="I215" t="s">
        <v>4115</v>
      </c>
      <c r="J215" t="s">
        <v>4116</v>
      </c>
      <c r="K215" t="s">
        <v>74</v>
      </c>
      <c r="L215" t="s">
        <v>74</v>
      </c>
      <c r="M215" t="s">
        <v>78</v>
      </c>
      <c r="N215" t="s">
        <v>79</v>
      </c>
      <c r="O215" t="s">
        <v>74</v>
      </c>
      <c r="P215" t="s">
        <v>74</v>
      </c>
      <c r="Q215" t="s">
        <v>74</v>
      </c>
      <c r="R215" t="s">
        <v>74</v>
      </c>
      <c r="S215" t="s">
        <v>74</v>
      </c>
      <c r="T215" t="s">
        <v>4117</v>
      </c>
      <c r="U215" t="s">
        <v>4118</v>
      </c>
      <c r="V215" t="s">
        <v>4119</v>
      </c>
      <c r="W215" t="s">
        <v>4120</v>
      </c>
      <c r="X215" t="s">
        <v>4121</v>
      </c>
      <c r="Y215" t="s">
        <v>4122</v>
      </c>
      <c r="Z215" t="s">
        <v>4123</v>
      </c>
      <c r="AA215" t="s">
        <v>4124</v>
      </c>
      <c r="AB215" t="s">
        <v>74</v>
      </c>
      <c r="AC215" t="s">
        <v>4125</v>
      </c>
      <c r="AD215" t="s">
        <v>4126</v>
      </c>
      <c r="AE215" t="s">
        <v>4127</v>
      </c>
      <c r="AF215" t="s">
        <v>74</v>
      </c>
      <c r="AG215">
        <v>41</v>
      </c>
      <c r="AH215">
        <v>13</v>
      </c>
      <c r="AI215">
        <v>13</v>
      </c>
      <c r="AJ215">
        <v>1</v>
      </c>
      <c r="AK215">
        <v>18</v>
      </c>
      <c r="AL215" t="s">
        <v>624</v>
      </c>
      <c r="AM215" t="s">
        <v>91</v>
      </c>
      <c r="AN215" t="s">
        <v>625</v>
      </c>
      <c r="AO215" t="s">
        <v>4128</v>
      </c>
      <c r="AP215" t="s">
        <v>74</v>
      </c>
      <c r="AQ215" t="s">
        <v>74</v>
      </c>
      <c r="AR215" t="s">
        <v>4129</v>
      </c>
      <c r="AS215" t="s">
        <v>4130</v>
      </c>
      <c r="AT215" t="s">
        <v>3902</v>
      </c>
      <c r="AU215">
        <v>2011</v>
      </c>
      <c r="AV215">
        <v>49</v>
      </c>
      <c r="AW215">
        <v>7</v>
      </c>
      <c r="AX215" t="s">
        <v>74</v>
      </c>
      <c r="AY215" t="s">
        <v>74</v>
      </c>
      <c r="AZ215" t="s">
        <v>74</v>
      </c>
      <c r="BA215" t="s">
        <v>74</v>
      </c>
      <c r="BB215">
        <v>641</v>
      </c>
      <c r="BC215">
        <v>653</v>
      </c>
      <c r="BD215" t="s">
        <v>74</v>
      </c>
      <c r="BE215" t="s">
        <v>4131</v>
      </c>
      <c r="BF215" t="str">
        <f>HYPERLINK("http://dx.doi.org/10.1134/S0016702911070032","http://dx.doi.org/10.1134/S0016702911070032")</f>
        <v>http://dx.doi.org/10.1134/S0016702911070032</v>
      </c>
      <c r="BG215" t="s">
        <v>74</v>
      </c>
      <c r="BH215" t="s">
        <v>74</v>
      </c>
      <c r="BI215">
        <v>13</v>
      </c>
      <c r="BJ215" t="s">
        <v>488</v>
      </c>
      <c r="BK215" t="s">
        <v>100</v>
      </c>
      <c r="BL215" t="s">
        <v>488</v>
      </c>
      <c r="BM215" t="s">
        <v>4132</v>
      </c>
      <c r="BN215" t="s">
        <v>74</v>
      </c>
      <c r="BO215" t="s">
        <v>74</v>
      </c>
      <c r="BP215" t="s">
        <v>74</v>
      </c>
      <c r="BQ215" t="s">
        <v>74</v>
      </c>
      <c r="BR215" t="s">
        <v>103</v>
      </c>
      <c r="BS215" t="s">
        <v>4133</v>
      </c>
      <c r="BT215" t="str">
        <f>HYPERLINK("https%3A%2F%2Fwww.webofscience.com%2Fwos%2Fwoscc%2Ffull-record%2FWOS:000293501400001","View Full Record in Web of Science")</f>
        <v>View Full Record in Web of Science</v>
      </c>
    </row>
    <row r="216" spans="1:72" x14ac:dyDescent="0.15">
      <c r="A216" t="s">
        <v>72</v>
      </c>
      <c r="B216" t="s">
        <v>4134</v>
      </c>
      <c r="C216" t="s">
        <v>74</v>
      </c>
      <c r="D216" t="s">
        <v>74</v>
      </c>
      <c r="E216" t="s">
        <v>74</v>
      </c>
      <c r="F216" t="s">
        <v>4135</v>
      </c>
      <c r="G216" t="s">
        <v>74</v>
      </c>
      <c r="H216" t="s">
        <v>74</v>
      </c>
      <c r="I216" t="s">
        <v>4136</v>
      </c>
      <c r="J216" t="s">
        <v>1226</v>
      </c>
      <c r="K216" t="s">
        <v>74</v>
      </c>
      <c r="L216" t="s">
        <v>74</v>
      </c>
      <c r="M216" t="s">
        <v>1227</v>
      </c>
      <c r="N216" t="s">
        <v>79</v>
      </c>
      <c r="O216" t="s">
        <v>74</v>
      </c>
      <c r="P216" t="s">
        <v>74</v>
      </c>
      <c r="Q216" t="s">
        <v>74</v>
      </c>
      <c r="R216" t="s">
        <v>74</v>
      </c>
      <c r="S216" t="s">
        <v>74</v>
      </c>
      <c r="T216" t="s">
        <v>4137</v>
      </c>
      <c r="U216" t="s">
        <v>4138</v>
      </c>
      <c r="V216" t="s">
        <v>4139</v>
      </c>
      <c r="W216" t="s">
        <v>4140</v>
      </c>
      <c r="X216" t="s">
        <v>4141</v>
      </c>
      <c r="Y216" t="s">
        <v>4142</v>
      </c>
      <c r="Z216" t="s">
        <v>4143</v>
      </c>
      <c r="AA216" t="s">
        <v>74</v>
      </c>
      <c r="AB216" t="s">
        <v>74</v>
      </c>
      <c r="AC216" t="s">
        <v>74</v>
      </c>
      <c r="AD216" t="s">
        <v>74</v>
      </c>
      <c r="AE216" t="s">
        <v>74</v>
      </c>
      <c r="AF216" t="s">
        <v>74</v>
      </c>
      <c r="AG216">
        <v>24</v>
      </c>
      <c r="AH216">
        <v>8</v>
      </c>
      <c r="AI216">
        <v>11</v>
      </c>
      <c r="AJ216">
        <v>1</v>
      </c>
      <c r="AK216">
        <v>10</v>
      </c>
      <c r="AL216" t="s">
        <v>1237</v>
      </c>
      <c r="AM216" t="s">
        <v>1238</v>
      </c>
      <c r="AN216" t="s">
        <v>1239</v>
      </c>
      <c r="AO216" t="s">
        <v>1240</v>
      </c>
      <c r="AP216" t="s">
        <v>74</v>
      </c>
      <c r="AQ216" t="s">
        <v>74</v>
      </c>
      <c r="AR216" t="s">
        <v>1241</v>
      </c>
      <c r="AS216" t="s">
        <v>1242</v>
      </c>
      <c r="AT216" t="s">
        <v>3902</v>
      </c>
      <c r="AU216">
        <v>2011</v>
      </c>
      <c r="AV216">
        <v>54</v>
      </c>
      <c r="AW216">
        <v>7</v>
      </c>
      <c r="AX216" t="s">
        <v>74</v>
      </c>
      <c r="AY216" t="s">
        <v>74</v>
      </c>
      <c r="AZ216" t="s">
        <v>74</v>
      </c>
      <c r="BA216" t="s">
        <v>74</v>
      </c>
      <c r="BB216">
        <v>1711</v>
      </c>
      <c r="BC216">
        <v>1717</v>
      </c>
      <c r="BD216" t="s">
        <v>74</v>
      </c>
      <c r="BE216" t="s">
        <v>4144</v>
      </c>
      <c r="BF216" t="str">
        <f>HYPERLINK("http://dx.doi.org/10.3969/j.issn.0001-5733.2011.07.003","http://dx.doi.org/10.3969/j.issn.0001-5733.2011.07.003")</f>
        <v>http://dx.doi.org/10.3969/j.issn.0001-5733.2011.07.003</v>
      </c>
      <c r="BG216" t="s">
        <v>74</v>
      </c>
      <c r="BH216" t="s">
        <v>74</v>
      </c>
      <c r="BI216">
        <v>7</v>
      </c>
      <c r="BJ216" t="s">
        <v>488</v>
      </c>
      <c r="BK216" t="s">
        <v>100</v>
      </c>
      <c r="BL216" t="s">
        <v>488</v>
      </c>
      <c r="BM216" t="s">
        <v>4145</v>
      </c>
      <c r="BN216" t="s">
        <v>74</v>
      </c>
      <c r="BO216" t="s">
        <v>74</v>
      </c>
      <c r="BP216" t="s">
        <v>74</v>
      </c>
      <c r="BQ216" t="s">
        <v>74</v>
      </c>
      <c r="BR216" t="s">
        <v>103</v>
      </c>
      <c r="BS216" t="s">
        <v>4146</v>
      </c>
      <c r="BT216" t="str">
        <f>HYPERLINK("https%3A%2F%2Fwww.webofscience.com%2Fwos%2Fwoscc%2Ffull-record%2FWOS:000293366800003","View Full Record in Web of Science")</f>
        <v>View Full Record in Web of Science</v>
      </c>
    </row>
    <row r="217" spans="1:72" x14ac:dyDescent="0.15">
      <c r="A217" t="s">
        <v>72</v>
      </c>
      <c r="B217" t="s">
        <v>4147</v>
      </c>
      <c r="C217" t="s">
        <v>74</v>
      </c>
      <c r="D217" t="s">
        <v>74</v>
      </c>
      <c r="E217" t="s">
        <v>74</v>
      </c>
      <c r="F217" t="s">
        <v>4148</v>
      </c>
      <c r="G217" t="s">
        <v>74</v>
      </c>
      <c r="H217" t="s">
        <v>74</v>
      </c>
      <c r="I217" t="s">
        <v>4149</v>
      </c>
      <c r="J217" t="s">
        <v>4150</v>
      </c>
      <c r="K217" t="s">
        <v>74</v>
      </c>
      <c r="L217" t="s">
        <v>74</v>
      </c>
      <c r="M217" t="s">
        <v>78</v>
      </c>
      <c r="N217" t="s">
        <v>79</v>
      </c>
      <c r="O217" t="s">
        <v>74</v>
      </c>
      <c r="P217" t="s">
        <v>74</v>
      </c>
      <c r="Q217" t="s">
        <v>74</v>
      </c>
      <c r="R217" t="s">
        <v>74</v>
      </c>
      <c r="S217" t="s">
        <v>74</v>
      </c>
      <c r="T217" t="s">
        <v>4151</v>
      </c>
      <c r="U217" t="s">
        <v>4152</v>
      </c>
      <c r="V217" t="s">
        <v>4153</v>
      </c>
      <c r="W217" t="s">
        <v>4154</v>
      </c>
      <c r="X217" t="s">
        <v>4155</v>
      </c>
      <c r="Y217" t="s">
        <v>4156</v>
      </c>
      <c r="Z217" t="s">
        <v>4157</v>
      </c>
      <c r="AA217" t="s">
        <v>74</v>
      </c>
      <c r="AB217" t="s">
        <v>4158</v>
      </c>
      <c r="AC217" t="s">
        <v>4159</v>
      </c>
      <c r="AD217" t="s">
        <v>4160</v>
      </c>
      <c r="AE217" t="s">
        <v>4161</v>
      </c>
      <c r="AF217" t="s">
        <v>74</v>
      </c>
      <c r="AG217">
        <v>36</v>
      </c>
      <c r="AH217">
        <v>37</v>
      </c>
      <c r="AI217">
        <v>44</v>
      </c>
      <c r="AJ217">
        <v>0</v>
      </c>
      <c r="AK217">
        <v>12</v>
      </c>
      <c r="AL217" t="s">
        <v>1441</v>
      </c>
      <c r="AM217" t="s">
        <v>91</v>
      </c>
      <c r="AN217" t="s">
        <v>1595</v>
      </c>
      <c r="AO217" t="s">
        <v>4162</v>
      </c>
      <c r="AP217" t="s">
        <v>74</v>
      </c>
      <c r="AQ217" t="s">
        <v>74</v>
      </c>
      <c r="AR217" t="s">
        <v>4163</v>
      </c>
      <c r="AS217" t="s">
        <v>4164</v>
      </c>
      <c r="AT217" t="s">
        <v>3902</v>
      </c>
      <c r="AU217">
        <v>2011</v>
      </c>
      <c r="AV217">
        <v>49</v>
      </c>
      <c r="AW217">
        <v>1</v>
      </c>
      <c r="AX217" t="s">
        <v>74</v>
      </c>
      <c r="AY217" t="s">
        <v>74</v>
      </c>
      <c r="AZ217" t="s">
        <v>74</v>
      </c>
      <c r="BA217" t="s">
        <v>74</v>
      </c>
      <c r="BB217">
        <v>13</v>
      </c>
      <c r="BC217">
        <v>22</v>
      </c>
      <c r="BD217" t="s">
        <v>74</v>
      </c>
      <c r="BE217" t="s">
        <v>4165</v>
      </c>
      <c r="BF217" t="str">
        <f>HYPERLINK("http://dx.doi.org/10.1007/s13225-010-0079-4","http://dx.doi.org/10.1007/s13225-010-0079-4")</f>
        <v>http://dx.doi.org/10.1007/s13225-010-0079-4</v>
      </c>
      <c r="BG217" t="s">
        <v>74</v>
      </c>
      <c r="BH217" t="s">
        <v>74</v>
      </c>
      <c r="BI217">
        <v>10</v>
      </c>
      <c r="BJ217" t="s">
        <v>4166</v>
      </c>
      <c r="BK217" t="s">
        <v>100</v>
      </c>
      <c r="BL217" t="s">
        <v>4166</v>
      </c>
      <c r="BM217" t="s">
        <v>4167</v>
      </c>
      <c r="BN217" t="s">
        <v>74</v>
      </c>
      <c r="BO217" t="s">
        <v>74</v>
      </c>
      <c r="BP217" t="s">
        <v>74</v>
      </c>
      <c r="BQ217" t="s">
        <v>74</v>
      </c>
      <c r="BR217" t="s">
        <v>103</v>
      </c>
      <c r="BS217" t="s">
        <v>4168</v>
      </c>
      <c r="BT217" t="str">
        <f>HYPERLINK("https%3A%2F%2Fwww.webofscience.com%2Fwos%2Fwoscc%2Ffull-record%2FWOS:000293186700002","View Full Record in Web of Science")</f>
        <v>View Full Record in Web of Science</v>
      </c>
    </row>
    <row r="218" spans="1:72" x14ac:dyDescent="0.15">
      <c r="A218" t="s">
        <v>72</v>
      </c>
      <c r="B218" t="s">
        <v>4169</v>
      </c>
      <c r="C218" t="s">
        <v>74</v>
      </c>
      <c r="D218" t="s">
        <v>74</v>
      </c>
      <c r="E218" t="s">
        <v>74</v>
      </c>
      <c r="F218" t="s">
        <v>4170</v>
      </c>
      <c r="G218" t="s">
        <v>74</v>
      </c>
      <c r="H218" t="s">
        <v>74</v>
      </c>
      <c r="I218" t="s">
        <v>4171</v>
      </c>
      <c r="J218" t="s">
        <v>1454</v>
      </c>
      <c r="K218" t="s">
        <v>74</v>
      </c>
      <c r="L218" t="s">
        <v>74</v>
      </c>
      <c r="M218" t="s">
        <v>78</v>
      </c>
      <c r="N218" t="s">
        <v>52</v>
      </c>
      <c r="O218" t="s">
        <v>4172</v>
      </c>
      <c r="P218" t="s">
        <v>4173</v>
      </c>
      <c r="Q218" t="s">
        <v>4174</v>
      </c>
      <c r="R218" t="s">
        <v>74</v>
      </c>
      <c r="S218" t="s">
        <v>74</v>
      </c>
      <c r="T218" t="s">
        <v>74</v>
      </c>
      <c r="U218" t="s">
        <v>4175</v>
      </c>
      <c r="V218" t="s">
        <v>74</v>
      </c>
      <c r="W218" t="s">
        <v>4176</v>
      </c>
      <c r="X218" t="s">
        <v>4177</v>
      </c>
      <c r="Y218" t="s">
        <v>74</v>
      </c>
      <c r="Z218" t="s">
        <v>4178</v>
      </c>
      <c r="AA218" t="s">
        <v>74</v>
      </c>
      <c r="AB218" t="s">
        <v>74</v>
      </c>
      <c r="AC218" t="s">
        <v>74</v>
      </c>
      <c r="AD218" t="s">
        <v>74</v>
      </c>
      <c r="AE218" t="s">
        <v>74</v>
      </c>
      <c r="AF218" t="s">
        <v>74</v>
      </c>
      <c r="AG218">
        <v>8</v>
      </c>
      <c r="AH218">
        <v>0</v>
      </c>
      <c r="AI218">
        <v>0</v>
      </c>
      <c r="AJ218">
        <v>0</v>
      </c>
      <c r="AK218">
        <v>2</v>
      </c>
      <c r="AL218" t="s">
        <v>4179</v>
      </c>
      <c r="AM218" t="s">
        <v>1324</v>
      </c>
      <c r="AN218" t="s">
        <v>1325</v>
      </c>
      <c r="AO218" t="s">
        <v>1466</v>
      </c>
      <c r="AP218" t="s">
        <v>74</v>
      </c>
      <c r="AQ218" t="s">
        <v>74</v>
      </c>
      <c r="AR218" t="s">
        <v>1468</v>
      </c>
      <c r="AS218" t="s">
        <v>1469</v>
      </c>
      <c r="AT218" t="s">
        <v>3902</v>
      </c>
      <c r="AU218">
        <v>2011</v>
      </c>
      <c r="AV218">
        <v>46</v>
      </c>
      <c r="AW218" t="s">
        <v>74</v>
      </c>
      <c r="AX218" t="s">
        <v>74</v>
      </c>
      <c r="AY218">
        <v>1</v>
      </c>
      <c r="AZ218" t="s">
        <v>864</v>
      </c>
      <c r="BA218" t="s">
        <v>74</v>
      </c>
      <c r="BB218" t="s">
        <v>4180</v>
      </c>
      <c r="BC218" t="s">
        <v>4180</v>
      </c>
      <c r="BD218" t="s">
        <v>74</v>
      </c>
      <c r="BE218" t="s">
        <v>74</v>
      </c>
      <c r="BF218" t="s">
        <v>74</v>
      </c>
      <c r="BG218" t="s">
        <v>74</v>
      </c>
      <c r="BH218" t="s">
        <v>74</v>
      </c>
      <c r="BI218">
        <v>1</v>
      </c>
      <c r="BJ218" t="s">
        <v>488</v>
      </c>
      <c r="BK218" t="s">
        <v>4181</v>
      </c>
      <c r="BL218" t="s">
        <v>488</v>
      </c>
      <c r="BM218" t="s">
        <v>4182</v>
      </c>
      <c r="BN218" t="s">
        <v>74</v>
      </c>
      <c r="BO218" t="s">
        <v>74</v>
      </c>
      <c r="BP218" t="s">
        <v>74</v>
      </c>
      <c r="BQ218" t="s">
        <v>74</v>
      </c>
      <c r="BR218" t="s">
        <v>103</v>
      </c>
      <c r="BS218" t="s">
        <v>4183</v>
      </c>
      <c r="BT218" t="str">
        <f>HYPERLINK("https%3A%2F%2Fwww.webofscience.com%2Fwos%2Fwoscc%2Ffull-record%2FWOS:000293094700125","View Full Record in Web of Science")</f>
        <v>View Full Record in Web of Science</v>
      </c>
    </row>
    <row r="219" spans="1:72" x14ac:dyDescent="0.15">
      <c r="A219" t="s">
        <v>72</v>
      </c>
      <c r="B219" t="s">
        <v>4184</v>
      </c>
      <c r="C219" t="s">
        <v>74</v>
      </c>
      <c r="D219" t="s">
        <v>74</v>
      </c>
      <c r="E219" t="s">
        <v>74</v>
      </c>
      <c r="F219" t="s">
        <v>4185</v>
      </c>
      <c r="G219" t="s">
        <v>74</v>
      </c>
      <c r="H219" t="s">
        <v>74</v>
      </c>
      <c r="I219" t="s">
        <v>4186</v>
      </c>
      <c r="J219" t="s">
        <v>1454</v>
      </c>
      <c r="K219" t="s">
        <v>74</v>
      </c>
      <c r="L219" t="s">
        <v>74</v>
      </c>
      <c r="M219" t="s">
        <v>78</v>
      </c>
      <c r="N219" t="s">
        <v>52</v>
      </c>
      <c r="O219" t="s">
        <v>4172</v>
      </c>
      <c r="P219" t="s">
        <v>4173</v>
      </c>
      <c r="Q219" t="s">
        <v>4174</v>
      </c>
      <c r="R219" t="s">
        <v>74</v>
      </c>
      <c r="S219" t="s">
        <v>74</v>
      </c>
      <c r="T219" t="s">
        <v>74</v>
      </c>
      <c r="U219" t="s">
        <v>74</v>
      </c>
      <c r="V219" t="s">
        <v>74</v>
      </c>
      <c r="W219" t="s">
        <v>4187</v>
      </c>
      <c r="X219" t="s">
        <v>4188</v>
      </c>
      <c r="Y219" t="s">
        <v>74</v>
      </c>
      <c r="Z219" t="s">
        <v>4189</v>
      </c>
      <c r="AA219" t="s">
        <v>4190</v>
      </c>
      <c r="AB219" t="s">
        <v>4191</v>
      </c>
      <c r="AC219" t="s">
        <v>74</v>
      </c>
      <c r="AD219" t="s">
        <v>74</v>
      </c>
      <c r="AE219" t="s">
        <v>74</v>
      </c>
      <c r="AF219" t="s">
        <v>74</v>
      </c>
      <c r="AG219">
        <v>4</v>
      </c>
      <c r="AH219">
        <v>0</v>
      </c>
      <c r="AI219">
        <v>0</v>
      </c>
      <c r="AJ219">
        <v>0</v>
      </c>
      <c r="AK219">
        <v>3</v>
      </c>
      <c r="AL219" t="s">
        <v>1323</v>
      </c>
      <c r="AM219" t="s">
        <v>1324</v>
      </c>
      <c r="AN219" t="s">
        <v>1325</v>
      </c>
      <c r="AO219" t="s">
        <v>1466</v>
      </c>
      <c r="AP219" t="s">
        <v>1467</v>
      </c>
      <c r="AQ219" t="s">
        <v>74</v>
      </c>
      <c r="AR219" t="s">
        <v>1468</v>
      </c>
      <c r="AS219" t="s">
        <v>1469</v>
      </c>
      <c r="AT219" t="s">
        <v>3902</v>
      </c>
      <c r="AU219">
        <v>2011</v>
      </c>
      <c r="AV219">
        <v>46</v>
      </c>
      <c r="AW219" t="s">
        <v>74</v>
      </c>
      <c r="AX219" t="s">
        <v>74</v>
      </c>
      <c r="AY219">
        <v>1</v>
      </c>
      <c r="AZ219" t="s">
        <v>864</v>
      </c>
      <c r="BA219" t="s">
        <v>74</v>
      </c>
      <c r="BB219" t="s">
        <v>4192</v>
      </c>
      <c r="BC219" t="s">
        <v>4192</v>
      </c>
      <c r="BD219" t="s">
        <v>74</v>
      </c>
      <c r="BE219" t="s">
        <v>74</v>
      </c>
      <c r="BF219" t="s">
        <v>74</v>
      </c>
      <c r="BG219" t="s">
        <v>74</v>
      </c>
      <c r="BH219" t="s">
        <v>74</v>
      </c>
      <c r="BI219">
        <v>1</v>
      </c>
      <c r="BJ219" t="s">
        <v>488</v>
      </c>
      <c r="BK219" t="s">
        <v>4181</v>
      </c>
      <c r="BL219" t="s">
        <v>488</v>
      </c>
      <c r="BM219" t="s">
        <v>4182</v>
      </c>
      <c r="BN219" t="s">
        <v>74</v>
      </c>
      <c r="BO219" t="s">
        <v>74</v>
      </c>
      <c r="BP219" t="s">
        <v>74</v>
      </c>
      <c r="BQ219" t="s">
        <v>74</v>
      </c>
      <c r="BR219" t="s">
        <v>103</v>
      </c>
      <c r="BS219" t="s">
        <v>4193</v>
      </c>
      <c r="BT219" t="str">
        <f>HYPERLINK("https%3A%2F%2Fwww.webofscience.com%2Fwos%2Fwoscc%2Ffull-record%2FWOS:000293094700231","View Full Record in Web of Science")</f>
        <v>View Full Record in Web of Science</v>
      </c>
    </row>
    <row r="220" spans="1:72" x14ac:dyDescent="0.15">
      <c r="A220" t="s">
        <v>72</v>
      </c>
      <c r="B220" t="s">
        <v>4194</v>
      </c>
      <c r="C220" t="s">
        <v>74</v>
      </c>
      <c r="D220" t="s">
        <v>74</v>
      </c>
      <c r="E220" t="s">
        <v>74</v>
      </c>
      <c r="F220" t="s">
        <v>4195</v>
      </c>
      <c r="G220" t="s">
        <v>74</v>
      </c>
      <c r="H220" t="s">
        <v>74</v>
      </c>
      <c r="I220" t="s">
        <v>4196</v>
      </c>
      <c r="J220" t="s">
        <v>1454</v>
      </c>
      <c r="K220" t="s">
        <v>74</v>
      </c>
      <c r="L220" t="s">
        <v>74</v>
      </c>
      <c r="M220" t="s">
        <v>78</v>
      </c>
      <c r="N220" t="s">
        <v>52</v>
      </c>
      <c r="O220" t="s">
        <v>4172</v>
      </c>
      <c r="P220" t="s">
        <v>4173</v>
      </c>
      <c r="Q220" t="s">
        <v>4174</v>
      </c>
      <c r="R220" t="s">
        <v>74</v>
      </c>
      <c r="S220" t="s">
        <v>74</v>
      </c>
      <c r="T220" t="s">
        <v>74</v>
      </c>
      <c r="U220" t="s">
        <v>74</v>
      </c>
      <c r="V220" t="s">
        <v>74</v>
      </c>
      <c r="W220" t="s">
        <v>4197</v>
      </c>
      <c r="X220" t="s">
        <v>4198</v>
      </c>
      <c r="Y220" t="s">
        <v>74</v>
      </c>
      <c r="Z220" t="s">
        <v>4199</v>
      </c>
      <c r="AA220" t="s">
        <v>74</v>
      </c>
      <c r="AB220" t="s">
        <v>74</v>
      </c>
      <c r="AC220" t="s">
        <v>74</v>
      </c>
      <c r="AD220" t="s">
        <v>74</v>
      </c>
      <c r="AE220" t="s">
        <v>74</v>
      </c>
      <c r="AF220" t="s">
        <v>74</v>
      </c>
      <c r="AG220">
        <v>0</v>
      </c>
      <c r="AH220">
        <v>0</v>
      </c>
      <c r="AI220">
        <v>0</v>
      </c>
      <c r="AJ220">
        <v>0</v>
      </c>
      <c r="AK220">
        <v>1</v>
      </c>
      <c r="AL220" t="s">
        <v>4179</v>
      </c>
      <c r="AM220" t="s">
        <v>4200</v>
      </c>
      <c r="AN220" t="s">
        <v>4201</v>
      </c>
      <c r="AO220" t="s">
        <v>1466</v>
      </c>
      <c r="AP220" t="s">
        <v>74</v>
      </c>
      <c r="AQ220" t="s">
        <v>74</v>
      </c>
      <c r="AR220" t="s">
        <v>1468</v>
      </c>
      <c r="AS220" t="s">
        <v>1469</v>
      </c>
      <c r="AT220" t="s">
        <v>3902</v>
      </c>
      <c r="AU220">
        <v>2011</v>
      </c>
      <c r="AV220">
        <v>46</v>
      </c>
      <c r="AW220" t="s">
        <v>74</v>
      </c>
      <c r="AX220" t="s">
        <v>74</v>
      </c>
      <c r="AY220">
        <v>1</v>
      </c>
      <c r="AZ220" t="s">
        <v>864</v>
      </c>
      <c r="BA220" t="s">
        <v>74</v>
      </c>
      <c r="BB220" t="s">
        <v>4202</v>
      </c>
      <c r="BC220" t="s">
        <v>4202</v>
      </c>
      <c r="BD220" t="s">
        <v>74</v>
      </c>
      <c r="BE220" t="s">
        <v>74</v>
      </c>
      <c r="BF220" t="s">
        <v>74</v>
      </c>
      <c r="BG220" t="s">
        <v>74</v>
      </c>
      <c r="BH220" t="s">
        <v>74</v>
      </c>
      <c r="BI220">
        <v>1</v>
      </c>
      <c r="BJ220" t="s">
        <v>488</v>
      </c>
      <c r="BK220" t="s">
        <v>4181</v>
      </c>
      <c r="BL220" t="s">
        <v>488</v>
      </c>
      <c r="BM220" t="s">
        <v>4182</v>
      </c>
      <c r="BN220" t="s">
        <v>74</v>
      </c>
      <c r="BO220" t="s">
        <v>74</v>
      </c>
      <c r="BP220" t="s">
        <v>74</v>
      </c>
      <c r="BQ220" t="s">
        <v>74</v>
      </c>
      <c r="BR220" t="s">
        <v>103</v>
      </c>
      <c r="BS220" t="s">
        <v>4203</v>
      </c>
      <c r="BT220" t="str">
        <f>HYPERLINK("https%3A%2F%2Fwww.webofscience.com%2Fwos%2Fwoscc%2Ffull-record%2FWOS:000293094700406","View Full Record in Web of Science")</f>
        <v>View Full Record in Web of Science</v>
      </c>
    </row>
    <row r="221" spans="1:72" x14ac:dyDescent="0.15">
      <c r="A221" t="s">
        <v>72</v>
      </c>
      <c r="B221" t="s">
        <v>4204</v>
      </c>
      <c r="C221" t="s">
        <v>74</v>
      </c>
      <c r="D221" t="s">
        <v>74</v>
      </c>
      <c r="E221" t="s">
        <v>74</v>
      </c>
      <c r="F221" t="s">
        <v>4205</v>
      </c>
      <c r="G221" t="s">
        <v>74</v>
      </c>
      <c r="H221" t="s">
        <v>74</v>
      </c>
      <c r="I221" t="s">
        <v>4206</v>
      </c>
      <c r="J221" t="s">
        <v>1454</v>
      </c>
      <c r="K221" t="s">
        <v>74</v>
      </c>
      <c r="L221" t="s">
        <v>74</v>
      </c>
      <c r="M221" t="s">
        <v>78</v>
      </c>
      <c r="N221" t="s">
        <v>52</v>
      </c>
      <c r="O221" t="s">
        <v>4172</v>
      </c>
      <c r="P221" t="s">
        <v>4173</v>
      </c>
      <c r="Q221" t="s">
        <v>4174</v>
      </c>
      <c r="R221" t="s">
        <v>74</v>
      </c>
      <c r="S221" t="s">
        <v>74</v>
      </c>
      <c r="T221" t="s">
        <v>74</v>
      </c>
      <c r="U221" t="s">
        <v>74</v>
      </c>
      <c r="V221" t="s">
        <v>74</v>
      </c>
      <c r="W221" t="s">
        <v>4207</v>
      </c>
      <c r="X221" t="s">
        <v>4208</v>
      </c>
      <c r="Y221" t="s">
        <v>74</v>
      </c>
      <c r="Z221" t="s">
        <v>4209</v>
      </c>
      <c r="AA221" t="s">
        <v>74</v>
      </c>
      <c r="AB221" t="s">
        <v>74</v>
      </c>
      <c r="AC221" t="s">
        <v>74</v>
      </c>
      <c r="AD221" t="s">
        <v>74</v>
      </c>
      <c r="AE221" t="s">
        <v>74</v>
      </c>
      <c r="AF221" t="s">
        <v>74</v>
      </c>
      <c r="AG221">
        <v>6</v>
      </c>
      <c r="AH221">
        <v>0</v>
      </c>
      <c r="AI221">
        <v>0</v>
      </c>
      <c r="AJ221">
        <v>0</v>
      </c>
      <c r="AK221">
        <v>3</v>
      </c>
      <c r="AL221" t="s">
        <v>1323</v>
      </c>
      <c r="AM221" t="s">
        <v>1324</v>
      </c>
      <c r="AN221" t="s">
        <v>1325</v>
      </c>
      <c r="AO221" t="s">
        <v>1466</v>
      </c>
      <c r="AP221" t="s">
        <v>1467</v>
      </c>
      <c r="AQ221" t="s">
        <v>74</v>
      </c>
      <c r="AR221" t="s">
        <v>1468</v>
      </c>
      <c r="AS221" t="s">
        <v>1469</v>
      </c>
      <c r="AT221" t="s">
        <v>3902</v>
      </c>
      <c r="AU221">
        <v>2011</v>
      </c>
      <c r="AV221">
        <v>46</v>
      </c>
      <c r="AW221" t="s">
        <v>74</v>
      </c>
      <c r="AX221" t="s">
        <v>74</v>
      </c>
      <c r="AY221">
        <v>1</v>
      </c>
      <c r="AZ221" t="s">
        <v>864</v>
      </c>
      <c r="BA221" t="s">
        <v>74</v>
      </c>
      <c r="BB221" t="s">
        <v>4210</v>
      </c>
      <c r="BC221" t="s">
        <v>4210</v>
      </c>
      <c r="BD221" t="s">
        <v>74</v>
      </c>
      <c r="BE221" t="s">
        <v>74</v>
      </c>
      <c r="BF221" t="s">
        <v>74</v>
      </c>
      <c r="BG221" t="s">
        <v>74</v>
      </c>
      <c r="BH221" t="s">
        <v>74</v>
      </c>
      <c r="BI221">
        <v>1</v>
      </c>
      <c r="BJ221" t="s">
        <v>488</v>
      </c>
      <c r="BK221" t="s">
        <v>4181</v>
      </c>
      <c r="BL221" t="s">
        <v>488</v>
      </c>
      <c r="BM221" t="s">
        <v>4182</v>
      </c>
      <c r="BN221" t="s">
        <v>74</v>
      </c>
      <c r="BO221" t="s">
        <v>74</v>
      </c>
      <c r="BP221" t="s">
        <v>74</v>
      </c>
      <c r="BQ221" t="s">
        <v>74</v>
      </c>
      <c r="BR221" t="s">
        <v>103</v>
      </c>
      <c r="BS221" t="s">
        <v>4211</v>
      </c>
      <c r="BT221" t="str">
        <f>HYPERLINK("https%3A%2F%2Fwww.webofscience.com%2Fwos%2Fwoscc%2Ffull-record%2FWOS:000293094700494","View Full Record in Web of Science")</f>
        <v>View Full Record in Web of Science</v>
      </c>
    </row>
    <row r="222" spans="1:72" x14ac:dyDescent="0.15">
      <c r="A222" t="s">
        <v>72</v>
      </c>
      <c r="B222" t="s">
        <v>4212</v>
      </c>
      <c r="C222" t="s">
        <v>74</v>
      </c>
      <c r="D222" t="s">
        <v>74</v>
      </c>
      <c r="E222" t="s">
        <v>74</v>
      </c>
      <c r="F222" t="s">
        <v>4213</v>
      </c>
      <c r="G222" t="s">
        <v>74</v>
      </c>
      <c r="H222" t="s">
        <v>74</v>
      </c>
      <c r="I222" t="s">
        <v>4214</v>
      </c>
      <c r="J222" t="s">
        <v>4215</v>
      </c>
      <c r="K222" t="s">
        <v>74</v>
      </c>
      <c r="L222" t="s">
        <v>74</v>
      </c>
      <c r="M222" t="s">
        <v>78</v>
      </c>
      <c r="N222" t="s">
        <v>79</v>
      </c>
      <c r="O222" t="s">
        <v>74</v>
      </c>
      <c r="P222" t="s">
        <v>74</v>
      </c>
      <c r="Q222" t="s">
        <v>74</v>
      </c>
      <c r="R222" t="s">
        <v>74</v>
      </c>
      <c r="S222" t="s">
        <v>74</v>
      </c>
      <c r="T222" t="s">
        <v>74</v>
      </c>
      <c r="U222" t="s">
        <v>74</v>
      </c>
      <c r="V222" t="s">
        <v>4216</v>
      </c>
      <c r="W222" t="s">
        <v>4217</v>
      </c>
      <c r="X222" t="s">
        <v>621</v>
      </c>
      <c r="Y222" t="s">
        <v>4218</v>
      </c>
      <c r="Z222" t="s">
        <v>74</v>
      </c>
      <c r="AA222" t="s">
        <v>74</v>
      </c>
      <c r="AB222" t="s">
        <v>4219</v>
      </c>
      <c r="AC222" t="s">
        <v>74</v>
      </c>
      <c r="AD222" t="s">
        <v>74</v>
      </c>
      <c r="AE222" t="s">
        <v>74</v>
      </c>
      <c r="AF222" t="s">
        <v>74</v>
      </c>
      <c r="AG222">
        <v>19</v>
      </c>
      <c r="AH222">
        <v>0</v>
      </c>
      <c r="AI222">
        <v>1</v>
      </c>
      <c r="AJ222">
        <v>0</v>
      </c>
      <c r="AK222">
        <v>3</v>
      </c>
      <c r="AL222" t="s">
        <v>4220</v>
      </c>
      <c r="AM222" t="s">
        <v>4221</v>
      </c>
      <c r="AN222" t="s">
        <v>4222</v>
      </c>
      <c r="AO222" t="s">
        <v>4223</v>
      </c>
      <c r="AP222" t="s">
        <v>4224</v>
      </c>
      <c r="AQ222" t="s">
        <v>74</v>
      </c>
      <c r="AR222" t="s">
        <v>4225</v>
      </c>
      <c r="AS222" t="s">
        <v>4226</v>
      </c>
      <c r="AT222" t="s">
        <v>3902</v>
      </c>
      <c r="AU222">
        <v>2011</v>
      </c>
      <c r="AV222">
        <v>36</v>
      </c>
      <c r="AW222">
        <v>7</v>
      </c>
      <c r="AX222" t="s">
        <v>74</v>
      </c>
      <c r="AY222" t="s">
        <v>74</v>
      </c>
      <c r="AZ222" t="s">
        <v>74</v>
      </c>
      <c r="BA222" t="s">
        <v>74</v>
      </c>
      <c r="BB222">
        <v>460</v>
      </c>
      <c r="BC222">
        <v>466</v>
      </c>
      <c r="BD222" t="s">
        <v>74</v>
      </c>
      <c r="BE222" t="s">
        <v>4227</v>
      </c>
      <c r="BF222" t="str">
        <f>HYPERLINK("http://dx.doi.org/10.3103/S1068373911070053","http://dx.doi.org/10.3103/S1068373911070053")</f>
        <v>http://dx.doi.org/10.3103/S1068373911070053</v>
      </c>
      <c r="BG222" t="s">
        <v>74</v>
      </c>
      <c r="BH222" t="s">
        <v>74</v>
      </c>
      <c r="BI222">
        <v>7</v>
      </c>
      <c r="BJ222" t="s">
        <v>248</v>
      </c>
      <c r="BK222" t="s">
        <v>100</v>
      </c>
      <c r="BL222" t="s">
        <v>248</v>
      </c>
      <c r="BM222" t="s">
        <v>4228</v>
      </c>
      <c r="BN222" t="s">
        <v>74</v>
      </c>
      <c r="BO222" t="s">
        <v>74</v>
      </c>
      <c r="BP222" t="s">
        <v>74</v>
      </c>
      <c r="BQ222" t="s">
        <v>74</v>
      </c>
      <c r="BR222" t="s">
        <v>103</v>
      </c>
      <c r="BS222" t="s">
        <v>4229</v>
      </c>
      <c r="BT222" t="str">
        <f>HYPERLINK("https%3A%2F%2Fwww.webofscience.com%2Fwos%2Fwoscc%2Ffull-record%2FWOS:000293633800005","View Full Record in Web of Science")</f>
        <v>View Full Record in Web of Science</v>
      </c>
    </row>
    <row r="223" spans="1:72" x14ac:dyDescent="0.15">
      <c r="A223" t="s">
        <v>72</v>
      </c>
      <c r="B223" t="s">
        <v>4230</v>
      </c>
      <c r="C223" t="s">
        <v>74</v>
      </c>
      <c r="D223" t="s">
        <v>74</v>
      </c>
      <c r="E223" t="s">
        <v>74</v>
      </c>
      <c r="F223" t="s">
        <v>4231</v>
      </c>
      <c r="G223" t="s">
        <v>74</v>
      </c>
      <c r="H223" t="s">
        <v>74</v>
      </c>
      <c r="I223" t="s">
        <v>4232</v>
      </c>
      <c r="J223" t="s">
        <v>4233</v>
      </c>
      <c r="K223" t="s">
        <v>74</v>
      </c>
      <c r="L223" t="s">
        <v>74</v>
      </c>
      <c r="M223" t="s">
        <v>78</v>
      </c>
      <c r="N223" t="s">
        <v>79</v>
      </c>
      <c r="O223" t="s">
        <v>74</v>
      </c>
      <c r="P223" t="s">
        <v>74</v>
      </c>
      <c r="Q223" t="s">
        <v>74</v>
      </c>
      <c r="R223" t="s">
        <v>74</v>
      </c>
      <c r="S223" t="s">
        <v>74</v>
      </c>
      <c r="T223" t="s">
        <v>4234</v>
      </c>
      <c r="U223" t="s">
        <v>4235</v>
      </c>
      <c r="V223" t="s">
        <v>4236</v>
      </c>
      <c r="W223" t="s">
        <v>4237</v>
      </c>
      <c r="X223" t="s">
        <v>4238</v>
      </c>
      <c r="Y223" t="s">
        <v>1544</v>
      </c>
      <c r="Z223" t="s">
        <v>4239</v>
      </c>
      <c r="AA223" t="s">
        <v>74</v>
      </c>
      <c r="AB223" t="s">
        <v>74</v>
      </c>
      <c r="AC223" t="s">
        <v>4240</v>
      </c>
      <c r="AD223" t="s">
        <v>4241</v>
      </c>
      <c r="AE223" t="s">
        <v>4242</v>
      </c>
      <c r="AF223" t="s">
        <v>74</v>
      </c>
      <c r="AG223">
        <v>59</v>
      </c>
      <c r="AH223">
        <v>19</v>
      </c>
      <c r="AI223">
        <v>25</v>
      </c>
      <c r="AJ223">
        <v>1</v>
      </c>
      <c r="AK223">
        <v>33</v>
      </c>
      <c r="AL223" t="s">
        <v>1323</v>
      </c>
      <c r="AM223" t="s">
        <v>1324</v>
      </c>
      <c r="AN223" t="s">
        <v>1325</v>
      </c>
      <c r="AO223" t="s">
        <v>4243</v>
      </c>
      <c r="AP223" t="s">
        <v>4244</v>
      </c>
      <c r="AQ223" t="s">
        <v>74</v>
      </c>
      <c r="AR223" t="s">
        <v>4245</v>
      </c>
      <c r="AS223" t="s">
        <v>4246</v>
      </c>
      <c r="AT223" t="s">
        <v>3902</v>
      </c>
      <c r="AU223">
        <v>2011</v>
      </c>
      <c r="AV223">
        <v>26</v>
      </c>
      <c r="AW223">
        <v>5</v>
      </c>
      <c r="AX223" t="s">
        <v>74</v>
      </c>
      <c r="AY223" t="s">
        <v>74</v>
      </c>
      <c r="AZ223" t="s">
        <v>74</v>
      </c>
      <c r="BA223" t="s">
        <v>74</v>
      </c>
      <c r="BB223">
        <v>478</v>
      </c>
      <c r="BC223">
        <v>484</v>
      </c>
      <c r="BD223" t="s">
        <v>74</v>
      </c>
      <c r="BE223" t="s">
        <v>4247</v>
      </c>
      <c r="BF223" t="str">
        <f>HYPERLINK("http://dx.doi.org/10.1002/jqs.1471","http://dx.doi.org/10.1002/jqs.1471")</f>
        <v>http://dx.doi.org/10.1002/jqs.1471</v>
      </c>
      <c r="BG223" t="s">
        <v>74</v>
      </c>
      <c r="BH223" t="s">
        <v>74</v>
      </c>
      <c r="BI223">
        <v>7</v>
      </c>
      <c r="BJ223" t="s">
        <v>1496</v>
      </c>
      <c r="BK223" t="s">
        <v>100</v>
      </c>
      <c r="BL223" t="s">
        <v>1497</v>
      </c>
      <c r="BM223" t="s">
        <v>4248</v>
      </c>
      <c r="BN223" t="s">
        <v>74</v>
      </c>
      <c r="BO223" t="s">
        <v>74</v>
      </c>
      <c r="BP223" t="s">
        <v>74</v>
      </c>
      <c r="BQ223" t="s">
        <v>74</v>
      </c>
      <c r="BR223" t="s">
        <v>103</v>
      </c>
      <c r="BS223" t="s">
        <v>4249</v>
      </c>
      <c r="BT223" t="str">
        <f>HYPERLINK("https%3A%2F%2Fwww.webofscience.com%2Fwos%2Fwoscc%2Ffull-record%2FWOS:000293098300005","View Full Record in Web of Science")</f>
        <v>View Full Record in Web of Science</v>
      </c>
    </row>
    <row r="224" spans="1:72" x14ac:dyDescent="0.15">
      <c r="A224" t="s">
        <v>72</v>
      </c>
      <c r="B224" t="s">
        <v>4250</v>
      </c>
      <c r="C224" t="s">
        <v>74</v>
      </c>
      <c r="D224" t="s">
        <v>74</v>
      </c>
      <c r="E224" t="s">
        <v>74</v>
      </c>
      <c r="F224" t="s">
        <v>4251</v>
      </c>
      <c r="G224" t="s">
        <v>74</v>
      </c>
      <c r="H224" t="s">
        <v>74</v>
      </c>
      <c r="I224" t="s">
        <v>4252</v>
      </c>
      <c r="J224" t="s">
        <v>4253</v>
      </c>
      <c r="K224" t="s">
        <v>74</v>
      </c>
      <c r="L224" t="s">
        <v>74</v>
      </c>
      <c r="M224" t="s">
        <v>78</v>
      </c>
      <c r="N224" t="s">
        <v>79</v>
      </c>
      <c r="O224" t="s">
        <v>74</v>
      </c>
      <c r="P224" t="s">
        <v>74</v>
      </c>
      <c r="Q224" t="s">
        <v>74</v>
      </c>
      <c r="R224" t="s">
        <v>74</v>
      </c>
      <c r="S224" t="s">
        <v>74</v>
      </c>
      <c r="T224" t="s">
        <v>4254</v>
      </c>
      <c r="U224" t="s">
        <v>4255</v>
      </c>
      <c r="V224" t="s">
        <v>4256</v>
      </c>
      <c r="W224" t="s">
        <v>4257</v>
      </c>
      <c r="X224" t="s">
        <v>4258</v>
      </c>
      <c r="Y224" t="s">
        <v>4259</v>
      </c>
      <c r="Z224" t="s">
        <v>4260</v>
      </c>
      <c r="AA224" t="s">
        <v>74</v>
      </c>
      <c r="AB224" t="s">
        <v>74</v>
      </c>
      <c r="AC224" t="s">
        <v>4261</v>
      </c>
      <c r="AD224" t="s">
        <v>4262</v>
      </c>
      <c r="AE224" t="s">
        <v>4263</v>
      </c>
      <c r="AF224" t="s">
        <v>74</v>
      </c>
      <c r="AG224">
        <v>27</v>
      </c>
      <c r="AH224">
        <v>25</v>
      </c>
      <c r="AI224">
        <v>29</v>
      </c>
      <c r="AJ224">
        <v>1</v>
      </c>
      <c r="AK224">
        <v>13</v>
      </c>
      <c r="AL224" t="s">
        <v>3455</v>
      </c>
      <c r="AM224" t="s">
        <v>3456</v>
      </c>
      <c r="AN224" t="s">
        <v>3457</v>
      </c>
      <c r="AO224" t="s">
        <v>4264</v>
      </c>
      <c r="AP224" t="s">
        <v>74</v>
      </c>
      <c r="AQ224" t="s">
        <v>74</v>
      </c>
      <c r="AR224" t="s">
        <v>4265</v>
      </c>
      <c r="AS224" t="s">
        <v>4266</v>
      </c>
      <c r="AT224" t="s">
        <v>3902</v>
      </c>
      <c r="AU224">
        <v>2011</v>
      </c>
      <c r="AV224">
        <v>20</v>
      </c>
      <c r="AW224">
        <v>7</v>
      </c>
      <c r="AX224" t="s">
        <v>74</v>
      </c>
      <c r="AY224" t="s">
        <v>74</v>
      </c>
      <c r="AZ224" t="s">
        <v>74</v>
      </c>
      <c r="BA224" t="s">
        <v>74</v>
      </c>
      <c r="BB224" t="s">
        <v>74</v>
      </c>
      <c r="BC224" t="s">
        <v>74</v>
      </c>
      <c r="BD224">
        <v>79201</v>
      </c>
      <c r="BE224" t="s">
        <v>4267</v>
      </c>
      <c r="BF224" t="str">
        <f>HYPERLINK("http://dx.doi.org/10.1088/1674-1056/20/7/079201","http://dx.doi.org/10.1088/1674-1056/20/7/079201")</f>
        <v>http://dx.doi.org/10.1088/1674-1056/20/7/079201</v>
      </c>
      <c r="BG224" t="s">
        <v>74</v>
      </c>
      <c r="BH224" t="s">
        <v>74</v>
      </c>
      <c r="BI224">
        <v>9</v>
      </c>
      <c r="BJ224" t="s">
        <v>4268</v>
      </c>
      <c r="BK224" t="s">
        <v>100</v>
      </c>
      <c r="BL224" t="s">
        <v>775</v>
      </c>
      <c r="BM224" t="s">
        <v>4269</v>
      </c>
      <c r="BN224" t="s">
        <v>74</v>
      </c>
      <c r="BO224" t="s">
        <v>74</v>
      </c>
      <c r="BP224" t="s">
        <v>74</v>
      </c>
      <c r="BQ224" t="s">
        <v>74</v>
      </c>
      <c r="BR224" t="s">
        <v>103</v>
      </c>
      <c r="BS224" t="s">
        <v>4270</v>
      </c>
      <c r="BT224" t="str">
        <f>HYPERLINK("https%3A%2F%2Fwww.webofscience.com%2Fwos%2Fwoscc%2Ffull-record%2FWOS:000293175900079","View Full Record in Web of Science")</f>
        <v>View Full Record in Web of Science</v>
      </c>
    </row>
    <row r="225" spans="1:72" x14ac:dyDescent="0.15">
      <c r="A225" t="s">
        <v>72</v>
      </c>
      <c r="B225" t="s">
        <v>4271</v>
      </c>
      <c r="C225" t="s">
        <v>74</v>
      </c>
      <c r="D225" t="s">
        <v>74</v>
      </c>
      <c r="E225" t="s">
        <v>74</v>
      </c>
      <c r="F225" t="s">
        <v>4272</v>
      </c>
      <c r="G225" t="s">
        <v>74</v>
      </c>
      <c r="H225" t="s">
        <v>74</v>
      </c>
      <c r="I225" t="s">
        <v>4273</v>
      </c>
      <c r="J225" t="s">
        <v>4274</v>
      </c>
      <c r="K225" t="s">
        <v>74</v>
      </c>
      <c r="L225" t="s">
        <v>74</v>
      </c>
      <c r="M225" t="s">
        <v>78</v>
      </c>
      <c r="N225" t="s">
        <v>79</v>
      </c>
      <c r="O225" t="s">
        <v>74</v>
      </c>
      <c r="P225" t="s">
        <v>74</v>
      </c>
      <c r="Q225" t="s">
        <v>74</v>
      </c>
      <c r="R225" t="s">
        <v>74</v>
      </c>
      <c r="S225" t="s">
        <v>74</v>
      </c>
      <c r="T225" t="s">
        <v>4275</v>
      </c>
      <c r="U225" t="s">
        <v>4276</v>
      </c>
      <c r="V225" t="s">
        <v>4277</v>
      </c>
      <c r="W225" t="s">
        <v>4278</v>
      </c>
      <c r="X225" t="s">
        <v>1705</v>
      </c>
      <c r="Y225" t="s">
        <v>1706</v>
      </c>
      <c r="Z225" t="s">
        <v>4279</v>
      </c>
      <c r="AA225" t="s">
        <v>1707</v>
      </c>
      <c r="AB225" t="s">
        <v>1708</v>
      </c>
      <c r="AC225" t="s">
        <v>4280</v>
      </c>
      <c r="AD225" t="s">
        <v>4281</v>
      </c>
      <c r="AE225" t="s">
        <v>4282</v>
      </c>
      <c r="AF225" t="s">
        <v>74</v>
      </c>
      <c r="AG225">
        <v>83</v>
      </c>
      <c r="AH225">
        <v>18</v>
      </c>
      <c r="AI225">
        <v>24</v>
      </c>
      <c r="AJ225">
        <v>1</v>
      </c>
      <c r="AK225">
        <v>15</v>
      </c>
      <c r="AL225" t="s">
        <v>308</v>
      </c>
      <c r="AM225" t="s">
        <v>309</v>
      </c>
      <c r="AN225" t="s">
        <v>310</v>
      </c>
      <c r="AO225" t="s">
        <v>4283</v>
      </c>
      <c r="AP225" t="s">
        <v>4284</v>
      </c>
      <c r="AQ225" t="s">
        <v>74</v>
      </c>
      <c r="AR225" t="s">
        <v>4285</v>
      </c>
      <c r="AS225" t="s">
        <v>4286</v>
      </c>
      <c r="AT225" t="s">
        <v>3902</v>
      </c>
      <c r="AU225">
        <v>2011</v>
      </c>
      <c r="AV225">
        <v>78</v>
      </c>
      <c r="AW225" t="s">
        <v>2154</v>
      </c>
      <c r="AX225" t="s">
        <v>74</v>
      </c>
      <c r="AY225" t="s">
        <v>74</v>
      </c>
      <c r="AZ225" t="s">
        <v>74</v>
      </c>
      <c r="BA225" t="s">
        <v>74</v>
      </c>
      <c r="BB225">
        <v>23</v>
      </c>
      <c r="BC225">
        <v>35</v>
      </c>
      <c r="BD225" t="s">
        <v>74</v>
      </c>
      <c r="BE225" t="s">
        <v>4287</v>
      </c>
      <c r="BF225" t="str">
        <f>HYPERLINK("http://dx.doi.org/10.1016/j.gloplacha.2011.05.002","http://dx.doi.org/10.1016/j.gloplacha.2011.05.002")</f>
        <v>http://dx.doi.org/10.1016/j.gloplacha.2011.05.002</v>
      </c>
      <c r="BG225" t="s">
        <v>74</v>
      </c>
      <c r="BH225" t="s">
        <v>74</v>
      </c>
      <c r="BI225">
        <v>13</v>
      </c>
      <c r="BJ225" t="s">
        <v>1496</v>
      </c>
      <c r="BK225" t="s">
        <v>100</v>
      </c>
      <c r="BL225" t="s">
        <v>1497</v>
      </c>
      <c r="BM225" t="s">
        <v>4288</v>
      </c>
      <c r="BN225" t="s">
        <v>74</v>
      </c>
      <c r="BO225" t="s">
        <v>74</v>
      </c>
      <c r="BP225" t="s">
        <v>74</v>
      </c>
      <c r="BQ225" t="s">
        <v>74</v>
      </c>
      <c r="BR225" t="s">
        <v>103</v>
      </c>
      <c r="BS225" t="s">
        <v>4289</v>
      </c>
      <c r="BT225" t="str">
        <f>HYPERLINK("https%3A%2F%2Fwww.webofscience.com%2Fwos%2Fwoscc%2Ffull-record%2FWOS:000293320300003","View Full Record in Web of Science")</f>
        <v>View Full Record in Web of Science</v>
      </c>
    </row>
    <row r="226" spans="1:72" x14ac:dyDescent="0.15">
      <c r="A226" t="s">
        <v>72</v>
      </c>
      <c r="B226" t="s">
        <v>4290</v>
      </c>
      <c r="C226" t="s">
        <v>74</v>
      </c>
      <c r="D226" t="s">
        <v>74</v>
      </c>
      <c r="E226" t="s">
        <v>74</v>
      </c>
      <c r="F226" t="s">
        <v>4291</v>
      </c>
      <c r="G226" t="s">
        <v>74</v>
      </c>
      <c r="H226" t="s">
        <v>74</v>
      </c>
      <c r="I226" t="s">
        <v>4292</v>
      </c>
      <c r="J226" t="s">
        <v>4293</v>
      </c>
      <c r="K226" t="s">
        <v>74</v>
      </c>
      <c r="L226" t="s">
        <v>74</v>
      </c>
      <c r="M226" t="s">
        <v>78</v>
      </c>
      <c r="N226" t="s">
        <v>79</v>
      </c>
      <c r="O226" t="s">
        <v>74</v>
      </c>
      <c r="P226" t="s">
        <v>74</v>
      </c>
      <c r="Q226" t="s">
        <v>74</v>
      </c>
      <c r="R226" t="s">
        <v>74</v>
      </c>
      <c r="S226" t="s">
        <v>74</v>
      </c>
      <c r="T226" t="s">
        <v>4294</v>
      </c>
      <c r="U226" t="s">
        <v>4295</v>
      </c>
      <c r="V226" t="s">
        <v>4296</v>
      </c>
      <c r="W226" t="s">
        <v>4297</v>
      </c>
      <c r="X226" t="s">
        <v>4298</v>
      </c>
      <c r="Y226" t="s">
        <v>4299</v>
      </c>
      <c r="Z226" t="s">
        <v>4300</v>
      </c>
      <c r="AA226" t="s">
        <v>4301</v>
      </c>
      <c r="AB226" t="s">
        <v>4302</v>
      </c>
      <c r="AC226" t="s">
        <v>4303</v>
      </c>
      <c r="AD226" t="s">
        <v>4304</v>
      </c>
      <c r="AE226" t="s">
        <v>4305</v>
      </c>
      <c r="AF226" t="s">
        <v>74</v>
      </c>
      <c r="AG226">
        <v>59</v>
      </c>
      <c r="AH226">
        <v>40</v>
      </c>
      <c r="AI226">
        <v>40</v>
      </c>
      <c r="AJ226">
        <v>1</v>
      </c>
      <c r="AK226">
        <v>62</v>
      </c>
      <c r="AL226" t="s">
        <v>2968</v>
      </c>
      <c r="AM226" t="s">
        <v>508</v>
      </c>
      <c r="AN226" t="s">
        <v>2969</v>
      </c>
      <c r="AO226" t="s">
        <v>4306</v>
      </c>
      <c r="AP226" t="s">
        <v>4307</v>
      </c>
      <c r="AQ226" t="s">
        <v>74</v>
      </c>
      <c r="AR226" t="s">
        <v>4308</v>
      </c>
      <c r="AS226" t="s">
        <v>4309</v>
      </c>
      <c r="AT226" t="s">
        <v>3902</v>
      </c>
      <c r="AU226">
        <v>2011</v>
      </c>
      <c r="AV226">
        <v>68</v>
      </c>
      <c r="AW226">
        <v>6</v>
      </c>
      <c r="AX226" t="s">
        <v>74</v>
      </c>
      <c r="AY226" t="s">
        <v>74</v>
      </c>
      <c r="AZ226" t="s">
        <v>74</v>
      </c>
      <c r="BA226" t="s">
        <v>74</v>
      </c>
      <c r="BB226">
        <v>1305</v>
      </c>
      <c r="BC226">
        <v>1317</v>
      </c>
      <c r="BD226" t="s">
        <v>74</v>
      </c>
      <c r="BE226" t="s">
        <v>4310</v>
      </c>
      <c r="BF226" t="str">
        <f>HYPERLINK("http://dx.doi.org/10.1093/icesjms/fsr049","http://dx.doi.org/10.1093/icesjms/fsr049")</f>
        <v>http://dx.doi.org/10.1093/icesjms/fsr049</v>
      </c>
      <c r="BG226" t="s">
        <v>74</v>
      </c>
      <c r="BH226" t="s">
        <v>74</v>
      </c>
      <c r="BI226">
        <v>13</v>
      </c>
      <c r="BJ226" t="s">
        <v>4311</v>
      </c>
      <c r="BK226" t="s">
        <v>100</v>
      </c>
      <c r="BL226" t="s">
        <v>4311</v>
      </c>
      <c r="BM226" t="s">
        <v>4312</v>
      </c>
      <c r="BN226" t="s">
        <v>74</v>
      </c>
      <c r="BO226" t="s">
        <v>74</v>
      </c>
      <c r="BP226" t="s">
        <v>74</v>
      </c>
      <c r="BQ226" t="s">
        <v>74</v>
      </c>
      <c r="BR226" t="s">
        <v>103</v>
      </c>
      <c r="BS226" t="s">
        <v>4313</v>
      </c>
      <c r="BT226" t="str">
        <f>HYPERLINK("https%3A%2F%2Fwww.webofscience.com%2Fwos%2Fwoscc%2Ffull-record%2FWOS:000293097200031","View Full Record in Web of Science")</f>
        <v>View Full Record in Web of Science</v>
      </c>
    </row>
    <row r="227" spans="1:72" x14ac:dyDescent="0.15">
      <c r="A227" t="s">
        <v>72</v>
      </c>
      <c r="B227" t="s">
        <v>4314</v>
      </c>
      <c r="C227" t="s">
        <v>74</v>
      </c>
      <c r="D227" t="s">
        <v>74</v>
      </c>
      <c r="E227" t="s">
        <v>74</v>
      </c>
      <c r="F227" t="s">
        <v>4315</v>
      </c>
      <c r="G227" t="s">
        <v>74</v>
      </c>
      <c r="H227" t="s">
        <v>74</v>
      </c>
      <c r="I227" t="s">
        <v>4316</v>
      </c>
      <c r="J227" t="s">
        <v>4317</v>
      </c>
      <c r="K227" t="s">
        <v>74</v>
      </c>
      <c r="L227" t="s">
        <v>74</v>
      </c>
      <c r="M227" t="s">
        <v>78</v>
      </c>
      <c r="N227" t="s">
        <v>79</v>
      </c>
      <c r="O227" t="s">
        <v>74</v>
      </c>
      <c r="P227" t="s">
        <v>74</v>
      </c>
      <c r="Q227" t="s">
        <v>74</v>
      </c>
      <c r="R227" t="s">
        <v>74</v>
      </c>
      <c r="S227" t="s">
        <v>74</v>
      </c>
      <c r="T227" t="s">
        <v>4318</v>
      </c>
      <c r="U227" t="s">
        <v>4319</v>
      </c>
      <c r="V227" t="s">
        <v>4320</v>
      </c>
      <c r="W227" t="s">
        <v>4321</v>
      </c>
      <c r="X227" t="s">
        <v>4322</v>
      </c>
      <c r="Y227" t="s">
        <v>4323</v>
      </c>
      <c r="Z227" t="s">
        <v>4324</v>
      </c>
      <c r="AA227" t="s">
        <v>4325</v>
      </c>
      <c r="AB227" t="s">
        <v>4326</v>
      </c>
      <c r="AC227" t="s">
        <v>4327</v>
      </c>
      <c r="AD227" t="s">
        <v>240</v>
      </c>
      <c r="AE227" t="s">
        <v>4328</v>
      </c>
      <c r="AF227" t="s">
        <v>74</v>
      </c>
      <c r="AG227">
        <v>50</v>
      </c>
      <c r="AH227">
        <v>10</v>
      </c>
      <c r="AI227">
        <v>10</v>
      </c>
      <c r="AJ227">
        <v>1</v>
      </c>
      <c r="AK227">
        <v>22</v>
      </c>
      <c r="AL227" t="s">
        <v>4329</v>
      </c>
      <c r="AM227" t="s">
        <v>4330</v>
      </c>
      <c r="AN227" t="s">
        <v>4331</v>
      </c>
      <c r="AO227" t="s">
        <v>4332</v>
      </c>
      <c r="AP227" t="s">
        <v>4333</v>
      </c>
      <c r="AQ227" t="s">
        <v>74</v>
      </c>
      <c r="AR227" t="s">
        <v>4334</v>
      </c>
      <c r="AS227" t="s">
        <v>4335</v>
      </c>
      <c r="AT227" t="s">
        <v>3902</v>
      </c>
      <c r="AU227">
        <v>2011</v>
      </c>
      <c r="AV227">
        <v>23</v>
      </c>
      <c r="AW227">
        <v>7</v>
      </c>
      <c r="AX227" t="s">
        <v>74</v>
      </c>
      <c r="AY227" t="s">
        <v>74</v>
      </c>
      <c r="AZ227" t="s">
        <v>74</v>
      </c>
      <c r="BA227" t="s">
        <v>74</v>
      </c>
      <c r="BB227">
        <v>1663</v>
      </c>
      <c r="BC227">
        <v>1670</v>
      </c>
      <c r="BD227" t="s">
        <v>74</v>
      </c>
      <c r="BE227" t="s">
        <v>4336</v>
      </c>
      <c r="BF227" t="str">
        <f>HYPERLINK("http://dx.doi.org/10.1002/elan.201100003","http://dx.doi.org/10.1002/elan.201100003")</f>
        <v>http://dx.doi.org/10.1002/elan.201100003</v>
      </c>
      <c r="BG227" t="s">
        <v>74</v>
      </c>
      <c r="BH227" t="s">
        <v>74</v>
      </c>
      <c r="BI227">
        <v>8</v>
      </c>
      <c r="BJ227" t="s">
        <v>4337</v>
      </c>
      <c r="BK227" t="s">
        <v>100</v>
      </c>
      <c r="BL227" t="s">
        <v>4338</v>
      </c>
      <c r="BM227" t="s">
        <v>4339</v>
      </c>
      <c r="BN227" t="s">
        <v>74</v>
      </c>
      <c r="BO227" t="s">
        <v>74</v>
      </c>
      <c r="BP227" t="s">
        <v>74</v>
      </c>
      <c r="BQ227" t="s">
        <v>74</v>
      </c>
      <c r="BR227" t="s">
        <v>103</v>
      </c>
      <c r="BS227" t="s">
        <v>4340</v>
      </c>
      <c r="BT227" t="str">
        <f>HYPERLINK("https%3A%2F%2Fwww.webofscience.com%2Fwos%2Fwoscc%2Ffull-record%2FWOS:000292967900020","View Full Record in Web of Science")</f>
        <v>View Full Record in Web of Science</v>
      </c>
    </row>
    <row r="228" spans="1:72" x14ac:dyDescent="0.15">
      <c r="A228" t="s">
        <v>72</v>
      </c>
      <c r="B228" t="s">
        <v>4341</v>
      </c>
      <c r="C228" t="s">
        <v>74</v>
      </c>
      <c r="D228" t="s">
        <v>74</v>
      </c>
      <c r="E228" t="s">
        <v>74</v>
      </c>
      <c r="F228" t="s">
        <v>4342</v>
      </c>
      <c r="G228" t="s">
        <v>74</v>
      </c>
      <c r="H228" t="s">
        <v>74</v>
      </c>
      <c r="I228" t="s">
        <v>4343</v>
      </c>
      <c r="J228" t="s">
        <v>4344</v>
      </c>
      <c r="K228" t="s">
        <v>74</v>
      </c>
      <c r="L228" t="s">
        <v>74</v>
      </c>
      <c r="M228" t="s">
        <v>78</v>
      </c>
      <c r="N228" t="s">
        <v>79</v>
      </c>
      <c r="O228" t="s">
        <v>74</v>
      </c>
      <c r="P228" t="s">
        <v>74</v>
      </c>
      <c r="Q228" t="s">
        <v>74</v>
      </c>
      <c r="R228" t="s">
        <v>74</v>
      </c>
      <c r="S228" t="s">
        <v>74</v>
      </c>
      <c r="T228" t="s">
        <v>4345</v>
      </c>
      <c r="U228" t="s">
        <v>4346</v>
      </c>
      <c r="V228" t="s">
        <v>4347</v>
      </c>
      <c r="W228" t="s">
        <v>4348</v>
      </c>
      <c r="X228" t="s">
        <v>4349</v>
      </c>
      <c r="Y228" t="s">
        <v>4350</v>
      </c>
      <c r="Z228" t="s">
        <v>4351</v>
      </c>
      <c r="AA228" t="s">
        <v>4352</v>
      </c>
      <c r="AB228" t="s">
        <v>4353</v>
      </c>
      <c r="AC228" t="s">
        <v>4354</v>
      </c>
      <c r="AD228" t="s">
        <v>4355</v>
      </c>
      <c r="AE228" t="s">
        <v>4356</v>
      </c>
      <c r="AF228" t="s">
        <v>74</v>
      </c>
      <c r="AG228">
        <v>41</v>
      </c>
      <c r="AH228">
        <v>1</v>
      </c>
      <c r="AI228">
        <v>1</v>
      </c>
      <c r="AJ228">
        <v>0</v>
      </c>
      <c r="AK228">
        <v>7</v>
      </c>
      <c r="AL228" t="s">
        <v>2669</v>
      </c>
      <c r="AM228" t="s">
        <v>309</v>
      </c>
      <c r="AN228" t="s">
        <v>2670</v>
      </c>
      <c r="AO228" t="s">
        <v>4357</v>
      </c>
      <c r="AP228" t="s">
        <v>4358</v>
      </c>
      <c r="AQ228" t="s">
        <v>74</v>
      </c>
      <c r="AR228" t="s">
        <v>4359</v>
      </c>
      <c r="AS228" t="s">
        <v>4360</v>
      </c>
      <c r="AT228" t="s">
        <v>3902</v>
      </c>
      <c r="AU228">
        <v>2011</v>
      </c>
      <c r="AV228">
        <v>110</v>
      </c>
      <c r="AW228">
        <v>2</v>
      </c>
      <c r="AX228" t="s">
        <v>74</v>
      </c>
      <c r="AY228" t="s">
        <v>74</v>
      </c>
      <c r="AZ228" t="s">
        <v>74</v>
      </c>
      <c r="BA228" t="s">
        <v>74</v>
      </c>
      <c r="BB228">
        <v>236</v>
      </c>
      <c r="BC228">
        <v>243</v>
      </c>
      <c r="BD228" t="s">
        <v>74</v>
      </c>
      <c r="BE228" t="s">
        <v>4361</v>
      </c>
      <c r="BF228" t="str">
        <f>HYPERLINK("http://dx.doi.org/10.1016/j.fishres.2011.04.009","http://dx.doi.org/10.1016/j.fishres.2011.04.009")</f>
        <v>http://dx.doi.org/10.1016/j.fishres.2011.04.009</v>
      </c>
      <c r="BG228" t="s">
        <v>74</v>
      </c>
      <c r="BH228" t="s">
        <v>74</v>
      </c>
      <c r="BI228">
        <v>8</v>
      </c>
      <c r="BJ228" t="s">
        <v>4362</v>
      </c>
      <c r="BK228" t="s">
        <v>100</v>
      </c>
      <c r="BL228" t="s">
        <v>4362</v>
      </c>
      <c r="BM228" t="s">
        <v>4363</v>
      </c>
      <c r="BN228" t="s">
        <v>74</v>
      </c>
      <c r="BO228" t="s">
        <v>74</v>
      </c>
      <c r="BP228" t="s">
        <v>74</v>
      </c>
      <c r="BQ228" t="s">
        <v>74</v>
      </c>
      <c r="BR228" t="s">
        <v>103</v>
      </c>
      <c r="BS228" t="s">
        <v>4364</v>
      </c>
      <c r="BT228" t="str">
        <f>HYPERLINK("https%3A%2F%2Fwww.webofscience.com%2Fwos%2Fwoscc%2Ffull-record%2FWOS:000292943500002","View Full Record in Web of Science")</f>
        <v>View Full Record in Web of Science</v>
      </c>
    </row>
    <row r="229" spans="1:72" x14ac:dyDescent="0.15">
      <c r="A229" t="s">
        <v>72</v>
      </c>
      <c r="B229" t="s">
        <v>4365</v>
      </c>
      <c r="C229" t="s">
        <v>74</v>
      </c>
      <c r="D229" t="s">
        <v>74</v>
      </c>
      <c r="E229" t="s">
        <v>74</v>
      </c>
      <c r="F229" t="s">
        <v>4366</v>
      </c>
      <c r="G229" t="s">
        <v>74</v>
      </c>
      <c r="H229" t="s">
        <v>74</v>
      </c>
      <c r="I229" t="s">
        <v>4367</v>
      </c>
      <c r="J229" t="s">
        <v>4368</v>
      </c>
      <c r="K229" t="s">
        <v>74</v>
      </c>
      <c r="L229" t="s">
        <v>74</v>
      </c>
      <c r="M229" t="s">
        <v>78</v>
      </c>
      <c r="N229" t="s">
        <v>79</v>
      </c>
      <c r="O229" t="s">
        <v>74</v>
      </c>
      <c r="P229" t="s">
        <v>74</v>
      </c>
      <c r="Q229" t="s">
        <v>74</v>
      </c>
      <c r="R229" t="s">
        <v>74</v>
      </c>
      <c r="S229" t="s">
        <v>74</v>
      </c>
      <c r="T229" t="s">
        <v>4369</v>
      </c>
      <c r="U229" t="s">
        <v>4370</v>
      </c>
      <c r="V229" t="s">
        <v>4371</v>
      </c>
      <c r="W229" t="s">
        <v>4372</v>
      </c>
      <c r="X229" t="s">
        <v>4373</v>
      </c>
      <c r="Y229" t="s">
        <v>4374</v>
      </c>
      <c r="Z229" t="s">
        <v>4375</v>
      </c>
      <c r="AA229" t="s">
        <v>4376</v>
      </c>
      <c r="AB229" t="s">
        <v>4377</v>
      </c>
      <c r="AC229" t="s">
        <v>4378</v>
      </c>
      <c r="AD229" t="s">
        <v>4379</v>
      </c>
      <c r="AE229" t="s">
        <v>4380</v>
      </c>
      <c r="AF229" t="s">
        <v>74</v>
      </c>
      <c r="AG229">
        <v>32</v>
      </c>
      <c r="AH229">
        <v>13</v>
      </c>
      <c r="AI229">
        <v>13</v>
      </c>
      <c r="AJ229">
        <v>0</v>
      </c>
      <c r="AK229">
        <v>4</v>
      </c>
      <c r="AL229" t="s">
        <v>4179</v>
      </c>
      <c r="AM229" t="s">
        <v>4200</v>
      </c>
      <c r="AN229" t="s">
        <v>4201</v>
      </c>
      <c r="AO229" t="s">
        <v>4381</v>
      </c>
      <c r="AP229" t="s">
        <v>74</v>
      </c>
      <c r="AQ229" t="s">
        <v>74</v>
      </c>
      <c r="AR229" t="s">
        <v>4368</v>
      </c>
      <c r="AS229" t="s">
        <v>4382</v>
      </c>
      <c r="AT229" t="s">
        <v>3902</v>
      </c>
      <c r="AU229">
        <v>2011</v>
      </c>
      <c r="AV229">
        <v>63</v>
      </c>
      <c r="AW229">
        <v>7</v>
      </c>
      <c r="AX229" t="s">
        <v>74</v>
      </c>
      <c r="AY229" t="s">
        <v>74</v>
      </c>
      <c r="AZ229" t="s">
        <v>864</v>
      </c>
      <c r="BA229" t="s">
        <v>74</v>
      </c>
      <c r="BB229">
        <v>566</v>
      </c>
      <c r="BC229">
        <v>573</v>
      </c>
      <c r="BD229" t="s">
        <v>74</v>
      </c>
      <c r="BE229" t="s">
        <v>4383</v>
      </c>
      <c r="BF229" t="str">
        <f>HYPERLINK("http://dx.doi.org/10.1002/iub.492","http://dx.doi.org/10.1002/iub.492")</f>
        <v>http://dx.doi.org/10.1002/iub.492</v>
      </c>
      <c r="BG229" t="s">
        <v>74</v>
      </c>
      <c r="BH229" t="s">
        <v>74</v>
      </c>
      <c r="BI229">
        <v>8</v>
      </c>
      <c r="BJ229" t="s">
        <v>4384</v>
      </c>
      <c r="BK229" t="s">
        <v>100</v>
      </c>
      <c r="BL229" t="s">
        <v>4384</v>
      </c>
      <c r="BM229" t="s">
        <v>4385</v>
      </c>
      <c r="BN229">
        <v>21698762</v>
      </c>
      <c r="BO229" t="s">
        <v>74</v>
      </c>
      <c r="BP229" t="s">
        <v>74</v>
      </c>
      <c r="BQ229" t="s">
        <v>74</v>
      </c>
      <c r="BR229" t="s">
        <v>103</v>
      </c>
      <c r="BS229" t="s">
        <v>4386</v>
      </c>
      <c r="BT229" t="str">
        <f>HYPERLINK("https%3A%2F%2Fwww.webofscience.com%2Fwos%2Fwoscc%2Ffull-record%2FWOS:000292944000016","View Full Record in Web of Science")</f>
        <v>View Full Record in Web of Science</v>
      </c>
    </row>
    <row r="230" spans="1:72" x14ac:dyDescent="0.15">
      <c r="A230" t="s">
        <v>72</v>
      </c>
      <c r="B230" t="s">
        <v>4387</v>
      </c>
      <c r="C230" t="s">
        <v>74</v>
      </c>
      <c r="D230" t="s">
        <v>74</v>
      </c>
      <c r="E230" t="s">
        <v>74</v>
      </c>
      <c r="F230" t="s">
        <v>4388</v>
      </c>
      <c r="G230" t="s">
        <v>74</v>
      </c>
      <c r="H230" t="s">
        <v>74</v>
      </c>
      <c r="I230" t="s">
        <v>4389</v>
      </c>
      <c r="J230" t="s">
        <v>4390</v>
      </c>
      <c r="K230" t="s">
        <v>74</v>
      </c>
      <c r="L230" t="s">
        <v>74</v>
      </c>
      <c r="M230" t="s">
        <v>78</v>
      </c>
      <c r="N230" t="s">
        <v>79</v>
      </c>
      <c r="O230" t="s">
        <v>74</v>
      </c>
      <c r="P230" t="s">
        <v>74</v>
      </c>
      <c r="Q230" t="s">
        <v>74</v>
      </c>
      <c r="R230" t="s">
        <v>74</v>
      </c>
      <c r="S230" t="s">
        <v>74</v>
      </c>
      <c r="T230" t="s">
        <v>4391</v>
      </c>
      <c r="U230" t="s">
        <v>4392</v>
      </c>
      <c r="V230" t="s">
        <v>4393</v>
      </c>
      <c r="W230" t="s">
        <v>4394</v>
      </c>
      <c r="X230" t="s">
        <v>2960</v>
      </c>
      <c r="Y230" t="s">
        <v>4395</v>
      </c>
      <c r="Z230" t="s">
        <v>2524</v>
      </c>
      <c r="AA230" t="s">
        <v>2963</v>
      </c>
      <c r="AB230" t="s">
        <v>2964</v>
      </c>
      <c r="AC230" t="s">
        <v>4396</v>
      </c>
      <c r="AD230" t="s">
        <v>4397</v>
      </c>
      <c r="AE230" t="s">
        <v>4398</v>
      </c>
      <c r="AF230" t="s">
        <v>74</v>
      </c>
      <c r="AG230">
        <v>88</v>
      </c>
      <c r="AH230">
        <v>38</v>
      </c>
      <c r="AI230">
        <v>42</v>
      </c>
      <c r="AJ230">
        <v>0</v>
      </c>
      <c r="AK230">
        <v>28</v>
      </c>
      <c r="AL230" t="s">
        <v>4399</v>
      </c>
      <c r="AM230" t="s">
        <v>4400</v>
      </c>
      <c r="AN230" t="s">
        <v>4401</v>
      </c>
      <c r="AO230" t="s">
        <v>4402</v>
      </c>
      <c r="AP230" t="s">
        <v>74</v>
      </c>
      <c r="AQ230" t="s">
        <v>74</v>
      </c>
      <c r="AR230" t="s">
        <v>4403</v>
      </c>
      <c r="AS230" t="s">
        <v>4404</v>
      </c>
      <c r="AT230" t="s">
        <v>3902</v>
      </c>
      <c r="AU230">
        <v>2011</v>
      </c>
      <c r="AV230">
        <v>34</v>
      </c>
      <c r="AW230">
        <v>5</v>
      </c>
      <c r="AX230" t="s">
        <v>74</v>
      </c>
      <c r="AY230" t="s">
        <v>74</v>
      </c>
      <c r="AZ230" t="s">
        <v>74</v>
      </c>
      <c r="BA230" t="s">
        <v>74</v>
      </c>
      <c r="BB230">
        <v>360</v>
      </c>
      <c r="BC230">
        <v>367</v>
      </c>
      <c r="BD230" t="s">
        <v>74</v>
      </c>
      <c r="BE230" t="s">
        <v>4405</v>
      </c>
      <c r="BF230" t="str">
        <f>HYPERLINK("http://dx.doi.org/10.1016/j.syapm.2011.02.002","http://dx.doi.org/10.1016/j.syapm.2011.02.002")</f>
        <v>http://dx.doi.org/10.1016/j.syapm.2011.02.002</v>
      </c>
      <c r="BG230" t="s">
        <v>74</v>
      </c>
      <c r="BH230" t="s">
        <v>74</v>
      </c>
      <c r="BI230">
        <v>8</v>
      </c>
      <c r="BJ230" t="s">
        <v>4406</v>
      </c>
      <c r="BK230" t="s">
        <v>100</v>
      </c>
      <c r="BL230" t="s">
        <v>4406</v>
      </c>
      <c r="BM230" t="s">
        <v>4407</v>
      </c>
      <c r="BN230">
        <v>21501941</v>
      </c>
      <c r="BO230" t="s">
        <v>702</v>
      </c>
      <c r="BP230" t="s">
        <v>74</v>
      </c>
      <c r="BQ230" t="s">
        <v>74</v>
      </c>
      <c r="BR230" t="s">
        <v>103</v>
      </c>
      <c r="BS230" t="s">
        <v>4408</v>
      </c>
      <c r="BT230" t="str">
        <f>HYPERLINK("https%3A%2F%2Fwww.webofscience.com%2Fwos%2Fwoscc%2Ffull-record%2FWOS:000292942900007","View Full Record in Web of Science")</f>
        <v>View Full Record in Web of Science</v>
      </c>
    </row>
    <row r="231" spans="1:72" x14ac:dyDescent="0.15">
      <c r="A231" t="s">
        <v>72</v>
      </c>
      <c r="B231" t="s">
        <v>4409</v>
      </c>
      <c r="C231" t="s">
        <v>74</v>
      </c>
      <c r="D231" t="s">
        <v>74</v>
      </c>
      <c r="E231" t="s">
        <v>74</v>
      </c>
      <c r="F231" t="s">
        <v>4410</v>
      </c>
      <c r="G231" t="s">
        <v>74</v>
      </c>
      <c r="H231" t="s">
        <v>4411</v>
      </c>
      <c r="I231" t="s">
        <v>4412</v>
      </c>
      <c r="J231" t="s">
        <v>4413</v>
      </c>
      <c r="K231" t="s">
        <v>74</v>
      </c>
      <c r="L231" t="s">
        <v>74</v>
      </c>
      <c r="M231" t="s">
        <v>78</v>
      </c>
      <c r="N231" t="s">
        <v>79</v>
      </c>
      <c r="O231" t="s">
        <v>74</v>
      </c>
      <c r="P231" t="s">
        <v>74</v>
      </c>
      <c r="Q231" t="s">
        <v>74</v>
      </c>
      <c r="R231" t="s">
        <v>74</v>
      </c>
      <c r="S231" t="s">
        <v>74</v>
      </c>
      <c r="T231" t="s">
        <v>4414</v>
      </c>
      <c r="U231" t="s">
        <v>4415</v>
      </c>
      <c r="V231" t="s">
        <v>4416</v>
      </c>
      <c r="W231" t="s">
        <v>4417</v>
      </c>
      <c r="X231" t="s">
        <v>4418</v>
      </c>
      <c r="Y231" t="s">
        <v>4419</v>
      </c>
      <c r="Z231" t="s">
        <v>74</v>
      </c>
      <c r="AA231" t="s">
        <v>4420</v>
      </c>
      <c r="AB231" t="s">
        <v>4421</v>
      </c>
      <c r="AC231" t="s">
        <v>4422</v>
      </c>
      <c r="AD231" t="s">
        <v>4423</v>
      </c>
      <c r="AE231" t="s">
        <v>4424</v>
      </c>
      <c r="AF231" t="s">
        <v>74</v>
      </c>
      <c r="AG231">
        <v>49</v>
      </c>
      <c r="AH231">
        <v>18</v>
      </c>
      <c r="AI231">
        <v>19</v>
      </c>
      <c r="AJ231">
        <v>0</v>
      </c>
      <c r="AK231">
        <v>8</v>
      </c>
      <c r="AL231" t="s">
        <v>3455</v>
      </c>
      <c r="AM231" t="s">
        <v>3456</v>
      </c>
      <c r="AN231" t="s">
        <v>3457</v>
      </c>
      <c r="AO231" t="s">
        <v>4425</v>
      </c>
      <c r="AP231" t="s">
        <v>74</v>
      </c>
      <c r="AQ231" t="s">
        <v>74</v>
      </c>
      <c r="AR231" t="s">
        <v>4426</v>
      </c>
      <c r="AS231" t="s">
        <v>4427</v>
      </c>
      <c r="AT231" t="s">
        <v>3902</v>
      </c>
      <c r="AU231">
        <v>2011</v>
      </c>
      <c r="AV231">
        <v>195</v>
      </c>
      <c r="AW231">
        <v>1</v>
      </c>
      <c r="AX231" t="s">
        <v>74</v>
      </c>
      <c r="AY231" t="s">
        <v>74</v>
      </c>
      <c r="AZ231" t="s">
        <v>74</v>
      </c>
      <c r="BA231" t="s">
        <v>74</v>
      </c>
      <c r="BB231" t="s">
        <v>74</v>
      </c>
      <c r="BC231" t="s">
        <v>74</v>
      </c>
      <c r="BD231">
        <v>8</v>
      </c>
      <c r="BE231" t="s">
        <v>4428</v>
      </c>
      <c r="BF231" t="str">
        <f>HYPERLINK("http://dx.doi.org/10.1088/0067-0049/195/1/8","http://dx.doi.org/10.1088/0067-0049/195/1/8")</f>
        <v>http://dx.doi.org/10.1088/0067-0049/195/1/8</v>
      </c>
      <c r="BG231" t="s">
        <v>74</v>
      </c>
      <c r="BH231" t="s">
        <v>74</v>
      </c>
      <c r="BI231">
        <v>29</v>
      </c>
      <c r="BJ231" t="s">
        <v>391</v>
      </c>
      <c r="BK231" t="s">
        <v>100</v>
      </c>
      <c r="BL231" t="s">
        <v>391</v>
      </c>
      <c r="BM231" t="s">
        <v>4429</v>
      </c>
      <c r="BN231" t="s">
        <v>74</v>
      </c>
      <c r="BO231" t="s">
        <v>4430</v>
      </c>
      <c r="BP231" t="s">
        <v>74</v>
      </c>
      <c r="BQ231" t="s">
        <v>74</v>
      </c>
      <c r="BR231" t="s">
        <v>103</v>
      </c>
      <c r="BS231" t="s">
        <v>4431</v>
      </c>
      <c r="BT231" t="str">
        <f>HYPERLINK("https%3A%2F%2Fwww.webofscience.com%2Fwos%2Fwoscc%2Ffull-record%2FWOS:000292590200008","View Full Record in Web of Science")</f>
        <v>View Full Record in Web of Science</v>
      </c>
    </row>
    <row r="232" spans="1:72" x14ac:dyDescent="0.15">
      <c r="A232" t="s">
        <v>72</v>
      </c>
      <c r="B232" t="s">
        <v>4432</v>
      </c>
      <c r="C232" t="s">
        <v>74</v>
      </c>
      <c r="D232" t="s">
        <v>74</v>
      </c>
      <c r="E232" t="s">
        <v>74</v>
      </c>
      <c r="F232" t="s">
        <v>4433</v>
      </c>
      <c r="G232" t="s">
        <v>74</v>
      </c>
      <c r="H232" t="s">
        <v>74</v>
      </c>
      <c r="I232" t="s">
        <v>4434</v>
      </c>
      <c r="J232" t="s">
        <v>4435</v>
      </c>
      <c r="K232" t="s">
        <v>74</v>
      </c>
      <c r="L232" t="s">
        <v>74</v>
      </c>
      <c r="M232" t="s">
        <v>78</v>
      </c>
      <c r="N232" t="s">
        <v>79</v>
      </c>
      <c r="O232" t="s">
        <v>74</v>
      </c>
      <c r="P232" t="s">
        <v>74</v>
      </c>
      <c r="Q232" t="s">
        <v>74</v>
      </c>
      <c r="R232" t="s">
        <v>74</v>
      </c>
      <c r="S232" t="s">
        <v>74</v>
      </c>
      <c r="T232" t="s">
        <v>4436</v>
      </c>
      <c r="U232" t="s">
        <v>4437</v>
      </c>
      <c r="V232" t="s">
        <v>4438</v>
      </c>
      <c r="W232" t="s">
        <v>4439</v>
      </c>
      <c r="X232" t="s">
        <v>4440</v>
      </c>
      <c r="Y232" t="s">
        <v>4441</v>
      </c>
      <c r="Z232" t="s">
        <v>4442</v>
      </c>
      <c r="AA232" t="s">
        <v>4443</v>
      </c>
      <c r="AB232" t="s">
        <v>4444</v>
      </c>
      <c r="AC232" t="s">
        <v>4445</v>
      </c>
      <c r="AD232" t="s">
        <v>4446</v>
      </c>
      <c r="AE232" t="s">
        <v>4447</v>
      </c>
      <c r="AF232" t="s">
        <v>74</v>
      </c>
      <c r="AG232">
        <v>41</v>
      </c>
      <c r="AH232">
        <v>25</v>
      </c>
      <c r="AI232">
        <v>33</v>
      </c>
      <c r="AJ232">
        <v>3</v>
      </c>
      <c r="AK232">
        <v>45</v>
      </c>
      <c r="AL232" t="s">
        <v>926</v>
      </c>
      <c r="AM232" t="s">
        <v>508</v>
      </c>
      <c r="AN232" t="s">
        <v>927</v>
      </c>
      <c r="AO232" t="s">
        <v>4448</v>
      </c>
      <c r="AP232" t="s">
        <v>4449</v>
      </c>
      <c r="AQ232" t="s">
        <v>74</v>
      </c>
      <c r="AR232" t="s">
        <v>4450</v>
      </c>
      <c r="AS232" t="s">
        <v>4451</v>
      </c>
      <c r="AT232" t="s">
        <v>3902</v>
      </c>
      <c r="AU232">
        <v>2011</v>
      </c>
      <c r="AV232">
        <v>45</v>
      </c>
      <c r="AW232">
        <v>22</v>
      </c>
      <c r="AX232" t="s">
        <v>74</v>
      </c>
      <c r="AY232" t="s">
        <v>74</v>
      </c>
      <c r="AZ232" t="s">
        <v>74</v>
      </c>
      <c r="BA232" t="s">
        <v>74</v>
      </c>
      <c r="BB232">
        <v>3750</v>
      </c>
      <c r="BC232">
        <v>3757</v>
      </c>
      <c r="BD232" t="s">
        <v>74</v>
      </c>
      <c r="BE232" t="s">
        <v>4452</v>
      </c>
      <c r="BF232" t="str">
        <f>HYPERLINK("http://dx.doi.org/10.1016/j.atmosenv.2011.04.012","http://dx.doi.org/10.1016/j.atmosenv.2011.04.012")</f>
        <v>http://dx.doi.org/10.1016/j.atmosenv.2011.04.012</v>
      </c>
      <c r="BG232" t="s">
        <v>74</v>
      </c>
      <c r="BH232" t="s">
        <v>74</v>
      </c>
      <c r="BI232">
        <v>8</v>
      </c>
      <c r="BJ232" t="s">
        <v>4453</v>
      </c>
      <c r="BK232" t="s">
        <v>100</v>
      </c>
      <c r="BL232" t="s">
        <v>4454</v>
      </c>
      <c r="BM232" t="s">
        <v>4455</v>
      </c>
      <c r="BN232" t="s">
        <v>74</v>
      </c>
      <c r="BO232" t="s">
        <v>74</v>
      </c>
      <c r="BP232" t="s">
        <v>74</v>
      </c>
      <c r="BQ232" t="s">
        <v>74</v>
      </c>
      <c r="BR232" t="s">
        <v>103</v>
      </c>
      <c r="BS232" t="s">
        <v>4456</v>
      </c>
      <c r="BT232" t="str">
        <f>HYPERLINK("https%3A%2F%2Fwww.webofscience.com%2Fwos%2Fwoscc%2Ffull-record%2FWOS:000292436300012","View Full Record in Web of Science")</f>
        <v>View Full Record in Web of Science</v>
      </c>
    </row>
    <row r="233" spans="1:72" x14ac:dyDescent="0.15">
      <c r="A233" t="s">
        <v>72</v>
      </c>
      <c r="B233" t="s">
        <v>4457</v>
      </c>
      <c r="C233" t="s">
        <v>74</v>
      </c>
      <c r="D233" t="s">
        <v>74</v>
      </c>
      <c r="E233" t="s">
        <v>74</v>
      </c>
      <c r="F233" t="s">
        <v>4458</v>
      </c>
      <c r="G233" t="s">
        <v>74</v>
      </c>
      <c r="H233" t="s">
        <v>74</v>
      </c>
      <c r="I233" t="s">
        <v>4459</v>
      </c>
      <c r="J233" t="s">
        <v>4460</v>
      </c>
      <c r="K233" t="s">
        <v>74</v>
      </c>
      <c r="L233" t="s">
        <v>74</v>
      </c>
      <c r="M233" t="s">
        <v>78</v>
      </c>
      <c r="N233" t="s">
        <v>79</v>
      </c>
      <c r="O233" t="s">
        <v>74</v>
      </c>
      <c r="P233" t="s">
        <v>74</v>
      </c>
      <c r="Q233" t="s">
        <v>74</v>
      </c>
      <c r="R233" t="s">
        <v>74</v>
      </c>
      <c r="S233" t="s">
        <v>74</v>
      </c>
      <c r="T233" t="s">
        <v>4461</v>
      </c>
      <c r="U233" t="s">
        <v>4462</v>
      </c>
      <c r="V233" t="s">
        <v>4463</v>
      </c>
      <c r="W233" t="s">
        <v>4464</v>
      </c>
      <c r="X233" t="s">
        <v>4465</v>
      </c>
      <c r="Y233" t="s">
        <v>4466</v>
      </c>
      <c r="Z233" t="s">
        <v>4467</v>
      </c>
      <c r="AA233" t="s">
        <v>74</v>
      </c>
      <c r="AB233" t="s">
        <v>4468</v>
      </c>
      <c r="AC233" t="s">
        <v>4469</v>
      </c>
      <c r="AD233" t="s">
        <v>4470</v>
      </c>
      <c r="AE233" t="s">
        <v>4471</v>
      </c>
      <c r="AF233" t="s">
        <v>74</v>
      </c>
      <c r="AG233">
        <v>98</v>
      </c>
      <c r="AH233">
        <v>179</v>
      </c>
      <c r="AI233">
        <v>213</v>
      </c>
      <c r="AJ233">
        <v>2</v>
      </c>
      <c r="AK233">
        <v>68</v>
      </c>
      <c r="AL233" t="s">
        <v>926</v>
      </c>
      <c r="AM233" t="s">
        <v>508</v>
      </c>
      <c r="AN233" t="s">
        <v>927</v>
      </c>
      <c r="AO233" t="s">
        <v>4472</v>
      </c>
      <c r="AP233" t="s">
        <v>4473</v>
      </c>
      <c r="AQ233" t="s">
        <v>74</v>
      </c>
      <c r="AR233" t="s">
        <v>4474</v>
      </c>
      <c r="AS233" t="s">
        <v>4475</v>
      </c>
      <c r="AT233" t="s">
        <v>4476</v>
      </c>
      <c r="AU233">
        <v>2011</v>
      </c>
      <c r="AV233">
        <v>58</v>
      </c>
      <c r="AW233" t="s">
        <v>4477</v>
      </c>
      <c r="AX233" t="s">
        <v>74</v>
      </c>
      <c r="AY233" t="s">
        <v>74</v>
      </c>
      <c r="AZ233" t="s">
        <v>74</v>
      </c>
      <c r="BA233" t="s">
        <v>74</v>
      </c>
      <c r="BB233">
        <v>1508</v>
      </c>
      <c r="BC233">
        <v>1523</v>
      </c>
      <c r="BD233" t="s">
        <v>74</v>
      </c>
      <c r="BE233" t="s">
        <v>4478</v>
      </c>
      <c r="BF233" t="str">
        <f>HYPERLINK("http://dx.doi.org/10.1016/j.dsr2.2010.11.013","http://dx.doi.org/10.1016/j.dsr2.2010.11.013")</f>
        <v>http://dx.doi.org/10.1016/j.dsr2.2010.11.013</v>
      </c>
      <c r="BG233" t="s">
        <v>74</v>
      </c>
      <c r="BH233" t="s">
        <v>74</v>
      </c>
      <c r="BI233">
        <v>16</v>
      </c>
      <c r="BJ233" t="s">
        <v>271</v>
      </c>
      <c r="BK233" t="s">
        <v>100</v>
      </c>
      <c r="BL233" t="s">
        <v>271</v>
      </c>
      <c r="BM233" t="s">
        <v>4479</v>
      </c>
      <c r="BN233" t="s">
        <v>74</v>
      </c>
      <c r="BO233" t="s">
        <v>74</v>
      </c>
      <c r="BP233" t="s">
        <v>74</v>
      </c>
      <c r="BQ233" t="s">
        <v>74</v>
      </c>
      <c r="BR233" t="s">
        <v>103</v>
      </c>
      <c r="BS233" t="s">
        <v>4480</v>
      </c>
      <c r="BT233" t="str">
        <f>HYPERLINK("https%3A%2F%2Fwww.webofscience.com%2Fwos%2Fwoscc%2Ffull-record%2FWOS:000292438600002","View Full Record in Web of Science")</f>
        <v>View Full Record in Web of Science</v>
      </c>
    </row>
    <row r="234" spans="1:72" x14ac:dyDescent="0.15">
      <c r="A234" t="s">
        <v>72</v>
      </c>
      <c r="B234" t="s">
        <v>4481</v>
      </c>
      <c r="C234" t="s">
        <v>74</v>
      </c>
      <c r="D234" t="s">
        <v>74</v>
      </c>
      <c r="E234" t="s">
        <v>74</v>
      </c>
      <c r="F234" t="s">
        <v>4482</v>
      </c>
      <c r="G234" t="s">
        <v>74</v>
      </c>
      <c r="H234" t="s">
        <v>74</v>
      </c>
      <c r="I234" t="s">
        <v>4483</v>
      </c>
      <c r="J234" t="s">
        <v>4460</v>
      </c>
      <c r="K234" t="s">
        <v>74</v>
      </c>
      <c r="L234" t="s">
        <v>74</v>
      </c>
      <c r="M234" t="s">
        <v>78</v>
      </c>
      <c r="N234" t="s">
        <v>79</v>
      </c>
      <c r="O234" t="s">
        <v>74</v>
      </c>
      <c r="P234" t="s">
        <v>74</v>
      </c>
      <c r="Q234" t="s">
        <v>74</v>
      </c>
      <c r="R234" t="s">
        <v>74</v>
      </c>
      <c r="S234" t="s">
        <v>74</v>
      </c>
      <c r="T234" t="s">
        <v>4484</v>
      </c>
      <c r="U234" t="s">
        <v>4485</v>
      </c>
      <c r="V234" t="s">
        <v>4486</v>
      </c>
      <c r="W234" t="s">
        <v>4487</v>
      </c>
      <c r="X234" t="s">
        <v>4488</v>
      </c>
      <c r="Y234" t="s">
        <v>4489</v>
      </c>
      <c r="Z234" t="s">
        <v>4490</v>
      </c>
      <c r="AA234" t="s">
        <v>74</v>
      </c>
      <c r="AB234" t="s">
        <v>4491</v>
      </c>
      <c r="AC234" t="s">
        <v>4492</v>
      </c>
      <c r="AD234" t="s">
        <v>4493</v>
      </c>
      <c r="AE234" t="s">
        <v>4494</v>
      </c>
      <c r="AF234" t="s">
        <v>74</v>
      </c>
      <c r="AG234">
        <v>91</v>
      </c>
      <c r="AH234">
        <v>53</v>
      </c>
      <c r="AI234">
        <v>60</v>
      </c>
      <c r="AJ234">
        <v>2</v>
      </c>
      <c r="AK234">
        <v>27</v>
      </c>
      <c r="AL234" t="s">
        <v>926</v>
      </c>
      <c r="AM234" t="s">
        <v>508</v>
      </c>
      <c r="AN234" t="s">
        <v>927</v>
      </c>
      <c r="AO234" t="s">
        <v>4472</v>
      </c>
      <c r="AP234" t="s">
        <v>4473</v>
      </c>
      <c r="AQ234" t="s">
        <v>74</v>
      </c>
      <c r="AR234" t="s">
        <v>4474</v>
      </c>
      <c r="AS234" t="s">
        <v>4475</v>
      </c>
      <c r="AT234" t="s">
        <v>4476</v>
      </c>
      <c r="AU234">
        <v>2011</v>
      </c>
      <c r="AV234">
        <v>58</v>
      </c>
      <c r="AW234" t="s">
        <v>4477</v>
      </c>
      <c r="AX234" t="s">
        <v>74</v>
      </c>
      <c r="AY234" t="s">
        <v>74</v>
      </c>
      <c r="AZ234" t="s">
        <v>74</v>
      </c>
      <c r="BA234" t="s">
        <v>74</v>
      </c>
      <c r="BB234">
        <v>1524</v>
      </c>
      <c r="BC234">
        <v>1539</v>
      </c>
      <c r="BD234" t="s">
        <v>74</v>
      </c>
      <c r="BE234" t="s">
        <v>4495</v>
      </c>
      <c r="BF234" t="str">
        <f>HYPERLINK("http://dx.doi.org/10.1016/j.dsr2.2010.07.001","http://dx.doi.org/10.1016/j.dsr2.2010.07.001")</f>
        <v>http://dx.doi.org/10.1016/j.dsr2.2010.07.001</v>
      </c>
      <c r="BG234" t="s">
        <v>74</v>
      </c>
      <c r="BH234" t="s">
        <v>74</v>
      </c>
      <c r="BI234">
        <v>16</v>
      </c>
      <c r="BJ234" t="s">
        <v>271</v>
      </c>
      <c r="BK234" t="s">
        <v>100</v>
      </c>
      <c r="BL234" t="s">
        <v>271</v>
      </c>
      <c r="BM234" t="s">
        <v>4479</v>
      </c>
      <c r="BN234" t="s">
        <v>74</v>
      </c>
      <c r="BO234" t="s">
        <v>74</v>
      </c>
      <c r="BP234" t="s">
        <v>74</v>
      </c>
      <c r="BQ234" t="s">
        <v>74</v>
      </c>
      <c r="BR234" t="s">
        <v>103</v>
      </c>
      <c r="BS234" t="s">
        <v>4496</v>
      </c>
      <c r="BT234" t="str">
        <f>HYPERLINK("https%3A%2F%2Fwww.webofscience.com%2Fwos%2Fwoscc%2Ffull-record%2FWOS:000292438600003","View Full Record in Web of Science")</f>
        <v>View Full Record in Web of Science</v>
      </c>
    </row>
    <row r="235" spans="1:72" x14ac:dyDescent="0.15">
      <c r="A235" t="s">
        <v>72</v>
      </c>
      <c r="B235" t="s">
        <v>4497</v>
      </c>
      <c r="C235" t="s">
        <v>74</v>
      </c>
      <c r="D235" t="s">
        <v>74</v>
      </c>
      <c r="E235" t="s">
        <v>74</v>
      </c>
      <c r="F235" t="s">
        <v>4498</v>
      </c>
      <c r="G235" t="s">
        <v>74</v>
      </c>
      <c r="H235" t="s">
        <v>74</v>
      </c>
      <c r="I235" t="s">
        <v>4499</v>
      </c>
      <c r="J235" t="s">
        <v>4460</v>
      </c>
      <c r="K235" t="s">
        <v>74</v>
      </c>
      <c r="L235" t="s">
        <v>74</v>
      </c>
      <c r="M235" t="s">
        <v>78</v>
      </c>
      <c r="N235" t="s">
        <v>79</v>
      </c>
      <c r="O235" t="s">
        <v>74</v>
      </c>
      <c r="P235" t="s">
        <v>74</v>
      </c>
      <c r="Q235" t="s">
        <v>74</v>
      </c>
      <c r="R235" t="s">
        <v>74</v>
      </c>
      <c r="S235" t="s">
        <v>74</v>
      </c>
      <c r="T235" t="s">
        <v>4500</v>
      </c>
      <c r="U235" t="s">
        <v>4501</v>
      </c>
      <c r="V235" t="s">
        <v>4502</v>
      </c>
      <c r="W235" t="s">
        <v>4503</v>
      </c>
      <c r="X235" t="s">
        <v>4504</v>
      </c>
      <c r="Y235" t="s">
        <v>4505</v>
      </c>
      <c r="Z235" t="s">
        <v>4506</v>
      </c>
      <c r="AA235" t="s">
        <v>74</v>
      </c>
      <c r="AB235" t="s">
        <v>74</v>
      </c>
      <c r="AC235" t="s">
        <v>4507</v>
      </c>
      <c r="AD235" t="s">
        <v>4508</v>
      </c>
      <c r="AE235" t="s">
        <v>4509</v>
      </c>
      <c r="AF235" t="s">
        <v>74</v>
      </c>
      <c r="AG235">
        <v>32</v>
      </c>
      <c r="AH235">
        <v>9</v>
      </c>
      <c r="AI235">
        <v>10</v>
      </c>
      <c r="AJ235">
        <v>1</v>
      </c>
      <c r="AK235">
        <v>17</v>
      </c>
      <c r="AL235" t="s">
        <v>926</v>
      </c>
      <c r="AM235" t="s">
        <v>508</v>
      </c>
      <c r="AN235" t="s">
        <v>927</v>
      </c>
      <c r="AO235" t="s">
        <v>4472</v>
      </c>
      <c r="AP235" t="s">
        <v>4473</v>
      </c>
      <c r="AQ235" t="s">
        <v>74</v>
      </c>
      <c r="AR235" t="s">
        <v>4474</v>
      </c>
      <c r="AS235" t="s">
        <v>4475</v>
      </c>
      <c r="AT235" t="s">
        <v>4476</v>
      </c>
      <c r="AU235">
        <v>2011</v>
      </c>
      <c r="AV235">
        <v>58</v>
      </c>
      <c r="AW235" t="s">
        <v>4477</v>
      </c>
      <c r="AX235" t="s">
        <v>74</v>
      </c>
      <c r="AY235" t="s">
        <v>74</v>
      </c>
      <c r="AZ235" t="s">
        <v>74</v>
      </c>
      <c r="BA235" t="s">
        <v>74</v>
      </c>
      <c r="BB235">
        <v>1553</v>
      </c>
      <c r="BC235">
        <v>1568</v>
      </c>
      <c r="BD235" t="s">
        <v>74</v>
      </c>
      <c r="BE235" t="s">
        <v>4510</v>
      </c>
      <c r="BF235" t="str">
        <f>HYPERLINK("http://dx.doi.org/10.1016/j.dsr2.2010.08.021","http://dx.doi.org/10.1016/j.dsr2.2010.08.021")</f>
        <v>http://dx.doi.org/10.1016/j.dsr2.2010.08.021</v>
      </c>
      <c r="BG235" t="s">
        <v>74</v>
      </c>
      <c r="BH235" t="s">
        <v>74</v>
      </c>
      <c r="BI235">
        <v>16</v>
      </c>
      <c r="BJ235" t="s">
        <v>271</v>
      </c>
      <c r="BK235" t="s">
        <v>100</v>
      </c>
      <c r="BL235" t="s">
        <v>271</v>
      </c>
      <c r="BM235" t="s">
        <v>4479</v>
      </c>
      <c r="BN235" t="s">
        <v>74</v>
      </c>
      <c r="BO235" t="s">
        <v>74</v>
      </c>
      <c r="BP235" t="s">
        <v>74</v>
      </c>
      <c r="BQ235" t="s">
        <v>74</v>
      </c>
      <c r="BR235" t="s">
        <v>103</v>
      </c>
      <c r="BS235" t="s">
        <v>4511</v>
      </c>
      <c r="BT235" t="str">
        <f>HYPERLINK("https%3A%2F%2Fwww.webofscience.com%2Fwos%2Fwoscc%2Ffull-record%2FWOS:000292438600005","View Full Record in Web of Science")</f>
        <v>View Full Record in Web of Science</v>
      </c>
    </row>
    <row r="236" spans="1:72" x14ac:dyDescent="0.15">
      <c r="A236" t="s">
        <v>72</v>
      </c>
      <c r="B236" t="s">
        <v>4512</v>
      </c>
      <c r="C236" t="s">
        <v>74</v>
      </c>
      <c r="D236" t="s">
        <v>74</v>
      </c>
      <c r="E236" t="s">
        <v>74</v>
      </c>
      <c r="F236" t="s">
        <v>4513</v>
      </c>
      <c r="G236" t="s">
        <v>74</v>
      </c>
      <c r="H236" t="s">
        <v>74</v>
      </c>
      <c r="I236" t="s">
        <v>4514</v>
      </c>
      <c r="J236" t="s">
        <v>4460</v>
      </c>
      <c r="K236" t="s">
        <v>74</v>
      </c>
      <c r="L236" t="s">
        <v>74</v>
      </c>
      <c r="M236" t="s">
        <v>78</v>
      </c>
      <c r="N236" t="s">
        <v>79</v>
      </c>
      <c r="O236" t="s">
        <v>74</v>
      </c>
      <c r="P236" t="s">
        <v>74</v>
      </c>
      <c r="Q236" t="s">
        <v>74</v>
      </c>
      <c r="R236" t="s">
        <v>74</v>
      </c>
      <c r="S236" t="s">
        <v>74</v>
      </c>
      <c r="T236" t="s">
        <v>4515</v>
      </c>
      <c r="U236" t="s">
        <v>4516</v>
      </c>
      <c r="V236" t="s">
        <v>4517</v>
      </c>
      <c r="W236" t="s">
        <v>4518</v>
      </c>
      <c r="X236" t="s">
        <v>4519</v>
      </c>
      <c r="Y236" t="s">
        <v>4520</v>
      </c>
      <c r="Z236" t="s">
        <v>4521</v>
      </c>
      <c r="AA236" t="s">
        <v>74</v>
      </c>
      <c r="AB236" t="s">
        <v>74</v>
      </c>
      <c r="AC236" t="s">
        <v>4522</v>
      </c>
      <c r="AD236" t="s">
        <v>2421</v>
      </c>
      <c r="AE236" t="s">
        <v>4523</v>
      </c>
      <c r="AF236" t="s">
        <v>74</v>
      </c>
      <c r="AG236">
        <v>46</v>
      </c>
      <c r="AH236">
        <v>13</v>
      </c>
      <c r="AI236">
        <v>18</v>
      </c>
      <c r="AJ236">
        <v>0</v>
      </c>
      <c r="AK236">
        <v>17</v>
      </c>
      <c r="AL236" t="s">
        <v>926</v>
      </c>
      <c r="AM236" t="s">
        <v>508</v>
      </c>
      <c r="AN236" t="s">
        <v>927</v>
      </c>
      <c r="AO236" t="s">
        <v>4472</v>
      </c>
      <c r="AP236" t="s">
        <v>74</v>
      </c>
      <c r="AQ236" t="s">
        <v>74</v>
      </c>
      <c r="AR236" t="s">
        <v>4474</v>
      </c>
      <c r="AS236" t="s">
        <v>4475</v>
      </c>
      <c r="AT236" t="s">
        <v>4476</v>
      </c>
      <c r="AU236">
        <v>2011</v>
      </c>
      <c r="AV236">
        <v>58</v>
      </c>
      <c r="AW236" t="s">
        <v>4477</v>
      </c>
      <c r="AX236" t="s">
        <v>74</v>
      </c>
      <c r="AY236" t="s">
        <v>74</v>
      </c>
      <c r="AZ236" t="s">
        <v>74</v>
      </c>
      <c r="BA236" t="s">
        <v>74</v>
      </c>
      <c r="BB236">
        <v>1580</v>
      </c>
      <c r="BC236">
        <v>1598</v>
      </c>
      <c r="BD236" t="s">
        <v>74</v>
      </c>
      <c r="BE236" t="s">
        <v>4524</v>
      </c>
      <c r="BF236" t="str">
        <f>HYPERLINK("http://dx.doi.org/10.1016/j.dsr2.2010.08.020","http://dx.doi.org/10.1016/j.dsr2.2010.08.020")</f>
        <v>http://dx.doi.org/10.1016/j.dsr2.2010.08.020</v>
      </c>
      <c r="BG236" t="s">
        <v>74</v>
      </c>
      <c r="BH236" t="s">
        <v>74</v>
      </c>
      <c r="BI236">
        <v>19</v>
      </c>
      <c r="BJ236" t="s">
        <v>271</v>
      </c>
      <c r="BK236" t="s">
        <v>100</v>
      </c>
      <c r="BL236" t="s">
        <v>271</v>
      </c>
      <c r="BM236" t="s">
        <v>4479</v>
      </c>
      <c r="BN236" t="s">
        <v>74</v>
      </c>
      <c r="BO236" t="s">
        <v>74</v>
      </c>
      <c r="BP236" t="s">
        <v>74</v>
      </c>
      <c r="BQ236" t="s">
        <v>74</v>
      </c>
      <c r="BR236" t="s">
        <v>103</v>
      </c>
      <c r="BS236" t="s">
        <v>4525</v>
      </c>
      <c r="BT236" t="str">
        <f>HYPERLINK("https%3A%2F%2Fwww.webofscience.com%2Fwos%2Fwoscc%2Ffull-record%2FWOS:000292438600007","View Full Record in Web of Science")</f>
        <v>View Full Record in Web of Science</v>
      </c>
    </row>
    <row r="237" spans="1:72" x14ac:dyDescent="0.15">
      <c r="A237" t="s">
        <v>72</v>
      </c>
      <c r="B237" t="s">
        <v>4526</v>
      </c>
      <c r="C237" t="s">
        <v>74</v>
      </c>
      <c r="D237" t="s">
        <v>74</v>
      </c>
      <c r="E237" t="s">
        <v>74</v>
      </c>
      <c r="F237" t="s">
        <v>4527</v>
      </c>
      <c r="G237" t="s">
        <v>74</v>
      </c>
      <c r="H237" t="s">
        <v>74</v>
      </c>
      <c r="I237" t="s">
        <v>4528</v>
      </c>
      <c r="J237" t="s">
        <v>4460</v>
      </c>
      <c r="K237" t="s">
        <v>74</v>
      </c>
      <c r="L237" t="s">
        <v>74</v>
      </c>
      <c r="M237" t="s">
        <v>78</v>
      </c>
      <c r="N237" t="s">
        <v>79</v>
      </c>
      <c r="O237" t="s">
        <v>74</v>
      </c>
      <c r="P237" t="s">
        <v>74</v>
      </c>
      <c r="Q237" t="s">
        <v>74</v>
      </c>
      <c r="R237" t="s">
        <v>74</v>
      </c>
      <c r="S237" t="s">
        <v>74</v>
      </c>
      <c r="T237" t="s">
        <v>4529</v>
      </c>
      <c r="U237" t="s">
        <v>4530</v>
      </c>
      <c r="V237" t="s">
        <v>4531</v>
      </c>
      <c r="W237" t="s">
        <v>4532</v>
      </c>
      <c r="X237" t="s">
        <v>4533</v>
      </c>
      <c r="Y237" t="s">
        <v>4534</v>
      </c>
      <c r="Z237" t="s">
        <v>4535</v>
      </c>
      <c r="AA237" t="s">
        <v>74</v>
      </c>
      <c r="AB237" t="s">
        <v>74</v>
      </c>
      <c r="AC237" t="s">
        <v>4536</v>
      </c>
      <c r="AD237" t="s">
        <v>2421</v>
      </c>
      <c r="AE237" t="s">
        <v>4537</v>
      </c>
      <c r="AF237" t="s">
        <v>74</v>
      </c>
      <c r="AG237">
        <v>80</v>
      </c>
      <c r="AH237">
        <v>24</v>
      </c>
      <c r="AI237">
        <v>29</v>
      </c>
      <c r="AJ237">
        <v>0</v>
      </c>
      <c r="AK237">
        <v>39</v>
      </c>
      <c r="AL237" t="s">
        <v>926</v>
      </c>
      <c r="AM237" t="s">
        <v>508</v>
      </c>
      <c r="AN237" t="s">
        <v>927</v>
      </c>
      <c r="AO237" t="s">
        <v>4472</v>
      </c>
      <c r="AP237" t="s">
        <v>4473</v>
      </c>
      <c r="AQ237" t="s">
        <v>74</v>
      </c>
      <c r="AR237" t="s">
        <v>4474</v>
      </c>
      <c r="AS237" t="s">
        <v>4475</v>
      </c>
      <c r="AT237" t="s">
        <v>4476</v>
      </c>
      <c r="AU237">
        <v>2011</v>
      </c>
      <c r="AV237">
        <v>58</v>
      </c>
      <c r="AW237" t="s">
        <v>4477</v>
      </c>
      <c r="AX237" t="s">
        <v>74</v>
      </c>
      <c r="AY237" t="s">
        <v>74</v>
      </c>
      <c r="AZ237" t="s">
        <v>74</v>
      </c>
      <c r="BA237" t="s">
        <v>74</v>
      </c>
      <c r="BB237">
        <v>1599</v>
      </c>
      <c r="BC237">
        <v>1613</v>
      </c>
      <c r="BD237" t="s">
        <v>74</v>
      </c>
      <c r="BE237" t="s">
        <v>4538</v>
      </c>
      <c r="BF237" t="str">
        <f>HYPERLINK("http://dx.doi.org/10.1016/j.dsr2.2010.12.007","http://dx.doi.org/10.1016/j.dsr2.2010.12.007")</f>
        <v>http://dx.doi.org/10.1016/j.dsr2.2010.12.007</v>
      </c>
      <c r="BG237" t="s">
        <v>74</v>
      </c>
      <c r="BH237" t="s">
        <v>74</v>
      </c>
      <c r="BI237">
        <v>15</v>
      </c>
      <c r="BJ237" t="s">
        <v>271</v>
      </c>
      <c r="BK237" t="s">
        <v>100</v>
      </c>
      <c r="BL237" t="s">
        <v>271</v>
      </c>
      <c r="BM237" t="s">
        <v>4479</v>
      </c>
      <c r="BN237" t="s">
        <v>74</v>
      </c>
      <c r="BO237" t="s">
        <v>74</v>
      </c>
      <c r="BP237" t="s">
        <v>74</v>
      </c>
      <c r="BQ237" t="s">
        <v>74</v>
      </c>
      <c r="BR237" t="s">
        <v>103</v>
      </c>
      <c r="BS237" t="s">
        <v>4539</v>
      </c>
      <c r="BT237" t="str">
        <f>HYPERLINK("https%3A%2F%2Fwww.webofscience.com%2Fwos%2Fwoscc%2Ffull-record%2FWOS:000292438600008","View Full Record in Web of Science")</f>
        <v>View Full Record in Web of Science</v>
      </c>
    </row>
    <row r="238" spans="1:72" x14ac:dyDescent="0.15">
      <c r="A238" t="s">
        <v>72</v>
      </c>
      <c r="B238" t="s">
        <v>4540</v>
      </c>
      <c r="C238" t="s">
        <v>74</v>
      </c>
      <c r="D238" t="s">
        <v>74</v>
      </c>
      <c r="E238" t="s">
        <v>74</v>
      </c>
      <c r="F238" t="s">
        <v>4541</v>
      </c>
      <c r="G238" t="s">
        <v>74</v>
      </c>
      <c r="H238" t="s">
        <v>74</v>
      </c>
      <c r="I238" t="s">
        <v>4542</v>
      </c>
      <c r="J238" t="s">
        <v>4460</v>
      </c>
      <c r="K238" t="s">
        <v>74</v>
      </c>
      <c r="L238" t="s">
        <v>74</v>
      </c>
      <c r="M238" t="s">
        <v>78</v>
      </c>
      <c r="N238" t="s">
        <v>79</v>
      </c>
      <c r="O238" t="s">
        <v>74</v>
      </c>
      <c r="P238" t="s">
        <v>74</v>
      </c>
      <c r="Q238" t="s">
        <v>74</v>
      </c>
      <c r="R238" t="s">
        <v>74</v>
      </c>
      <c r="S238" t="s">
        <v>74</v>
      </c>
      <c r="T238" t="s">
        <v>4543</v>
      </c>
      <c r="U238" t="s">
        <v>4544</v>
      </c>
      <c r="V238" t="s">
        <v>4545</v>
      </c>
      <c r="W238" t="s">
        <v>4546</v>
      </c>
      <c r="X238" t="s">
        <v>4547</v>
      </c>
      <c r="Y238" t="s">
        <v>4548</v>
      </c>
      <c r="Z238" t="s">
        <v>4549</v>
      </c>
      <c r="AA238" t="s">
        <v>4550</v>
      </c>
      <c r="AB238" t="s">
        <v>4551</v>
      </c>
      <c r="AC238" t="s">
        <v>4552</v>
      </c>
      <c r="AD238" t="s">
        <v>4553</v>
      </c>
      <c r="AE238" t="s">
        <v>4554</v>
      </c>
      <c r="AF238" t="s">
        <v>74</v>
      </c>
      <c r="AG238">
        <v>80</v>
      </c>
      <c r="AH238">
        <v>18</v>
      </c>
      <c r="AI238">
        <v>21</v>
      </c>
      <c r="AJ238">
        <v>0</v>
      </c>
      <c r="AK238">
        <v>36</v>
      </c>
      <c r="AL238" t="s">
        <v>926</v>
      </c>
      <c r="AM238" t="s">
        <v>508</v>
      </c>
      <c r="AN238" t="s">
        <v>927</v>
      </c>
      <c r="AO238" t="s">
        <v>4472</v>
      </c>
      <c r="AP238" t="s">
        <v>4473</v>
      </c>
      <c r="AQ238" t="s">
        <v>74</v>
      </c>
      <c r="AR238" t="s">
        <v>4474</v>
      </c>
      <c r="AS238" t="s">
        <v>4475</v>
      </c>
      <c r="AT238" t="s">
        <v>4476</v>
      </c>
      <c r="AU238">
        <v>2011</v>
      </c>
      <c r="AV238">
        <v>58</v>
      </c>
      <c r="AW238" t="s">
        <v>4477</v>
      </c>
      <c r="AX238" t="s">
        <v>74</v>
      </c>
      <c r="AY238" t="s">
        <v>74</v>
      </c>
      <c r="AZ238" t="s">
        <v>74</v>
      </c>
      <c r="BA238" t="s">
        <v>74</v>
      </c>
      <c r="BB238">
        <v>1652</v>
      </c>
      <c r="BC238">
        <v>1661</v>
      </c>
      <c r="BD238" t="s">
        <v>74</v>
      </c>
      <c r="BE238" t="s">
        <v>4555</v>
      </c>
      <c r="BF238" t="str">
        <f>HYPERLINK("http://dx.doi.org/10.1016/j.dsr2.2010.11.017","http://dx.doi.org/10.1016/j.dsr2.2010.11.017")</f>
        <v>http://dx.doi.org/10.1016/j.dsr2.2010.11.017</v>
      </c>
      <c r="BG238" t="s">
        <v>74</v>
      </c>
      <c r="BH238" t="s">
        <v>74</v>
      </c>
      <c r="BI238">
        <v>10</v>
      </c>
      <c r="BJ238" t="s">
        <v>271</v>
      </c>
      <c r="BK238" t="s">
        <v>100</v>
      </c>
      <c r="BL238" t="s">
        <v>271</v>
      </c>
      <c r="BM238" t="s">
        <v>4479</v>
      </c>
      <c r="BN238" t="s">
        <v>74</v>
      </c>
      <c r="BO238" t="s">
        <v>74</v>
      </c>
      <c r="BP238" t="s">
        <v>74</v>
      </c>
      <c r="BQ238" t="s">
        <v>74</v>
      </c>
      <c r="BR238" t="s">
        <v>103</v>
      </c>
      <c r="BS238" t="s">
        <v>4556</v>
      </c>
      <c r="BT238" t="str">
        <f>HYPERLINK("https%3A%2F%2Fwww.webofscience.com%2Fwos%2Fwoscc%2Ffull-record%2FWOS:000292438600011","View Full Record in Web of Science")</f>
        <v>View Full Record in Web of Science</v>
      </c>
    </row>
    <row r="239" spans="1:72" x14ac:dyDescent="0.15">
      <c r="A239" t="s">
        <v>72</v>
      </c>
      <c r="B239" t="s">
        <v>4557</v>
      </c>
      <c r="C239" t="s">
        <v>74</v>
      </c>
      <c r="D239" t="s">
        <v>74</v>
      </c>
      <c r="E239" t="s">
        <v>74</v>
      </c>
      <c r="F239" t="s">
        <v>4558</v>
      </c>
      <c r="G239" t="s">
        <v>74</v>
      </c>
      <c r="H239" t="s">
        <v>74</v>
      </c>
      <c r="I239" t="s">
        <v>4559</v>
      </c>
      <c r="J239" t="s">
        <v>4460</v>
      </c>
      <c r="K239" t="s">
        <v>74</v>
      </c>
      <c r="L239" t="s">
        <v>74</v>
      </c>
      <c r="M239" t="s">
        <v>78</v>
      </c>
      <c r="N239" t="s">
        <v>79</v>
      </c>
      <c r="O239" t="s">
        <v>74</v>
      </c>
      <c r="P239" t="s">
        <v>74</v>
      </c>
      <c r="Q239" t="s">
        <v>74</v>
      </c>
      <c r="R239" t="s">
        <v>74</v>
      </c>
      <c r="S239" t="s">
        <v>74</v>
      </c>
      <c r="T239" t="s">
        <v>4560</v>
      </c>
      <c r="U239" t="s">
        <v>4561</v>
      </c>
      <c r="V239" t="s">
        <v>4562</v>
      </c>
      <c r="W239" t="s">
        <v>4563</v>
      </c>
      <c r="X239" t="s">
        <v>4564</v>
      </c>
      <c r="Y239" t="s">
        <v>4565</v>
      </c>
      <c r="Z239" t="s">
        <v>4566</v>
      </c>
      <c r="AA239" t="s">
        <v>4567</v>
      </c>
      <c r="AB239" t="s">
        <v>4568</v>
      </c>
      <c r="AC239" t="s">
        <v>4569</v>
      </c>
      <c r="AD239" t="s">
        <v>4570</v>
      </c>
      <c r="AE239" t="s">
        <v>4571</v>
      </c>
      <c r="AF239" t="s">
        <v>74</v>
      </c>
      <c r="AG239">
        <v>43</v>
      </c>
      <c r="AH239">
        <v>23</v>
      </c>
      <c r="AI239">
        <v>26</v>
      </c>
      <c r="AJ239">
        <v>0</v>
      </c>
      <c r="AK239">
        <v>31</v>
      </c>
      <c r="AL239" t="s">
        <v>926</v>
      </c>
      <c r="AM239" t="s">
        <v>508</v>
      </c>
      <c r="AN239" t="s">
        <v>927</v>
      </c>
      <c r="AO239" t="s">
        <v>4472</v>
      </c>
      <c r="AP239" t="s">
        <v>74</v>
      </c>
      <c r="AQ239" t="s">
        <v>74</v>
      </c>
      <c r="AR239" t="s">
        <v>4474</v>
      </c>
      <c r="AS239" t="s">
        <v>4475</v>
      </c>
      <c r="AT239" t="s">
        <v>4476</v>
      </c>
      <c r="AU239">
        <v>2011</v>
      </c>
      <c r="AV239">
        <v>58</v>
      </c>
      <c r="AW239" t="s">
        <v>4477</v>
      </c>
      <c r="AX239" t="s">
        <v>74</v>
      </c>
      <c r="AY239" t="s">
        <v>74</v>
      </c>
      <c r="AZ239" t="s">
        <v>74</v>
      </c>
      <c r="BA239" t="s">
        <v>74</v>
      </c>
      <c r="BB239">
        <v>1662</v>
      </c>
      <c r="BC239">
        <v>1676</v>
      </c>
      <c r="BD239" t="s">
        <v>74</v>
      </c>
      <c r="BE239" t="s">
        <v>4572</v>
      </c>
      <c r="BF239" t="str">
        <f>HYPERLINK("http://dx.doi.org/10.1016/j.dsr2.2010.11.016","http://dx.doi.org/10.1016/j.dsr2.2010.11.016")</f>
        <v>http://dx.doi.org/10.1016/j.dsr2.2010.11.016</v>
      </c>
      <c r="BG239" t="s">
        <v>74</v>
      </c>
      <c r="BH239" t="s">
        <v>74</v>
      </c>
      <c r="BI239">
        <v>15</v>
      </c>
      <c r="BJ239" t="s">
        <v>271</v>
      </c>
      <c r="BK239" t="s">
        <v>100</v>
      </c>
      <c r="BL239" t="s">
        <v>271</v>
      </c>
      <c r="BM239" t="s">
        <v>4479</v>
      </c>
      <c r="BN239" t="s">
        <v>74</v>
      </c>
      <c r="BO239" t="s">
        <v>74</v>
      </c>
      <c r="BP239" t="s">
        <v>74</v>
      </c>
      <c r="BQ239" t="s">
        <v>74</v>
      </c>
      <c r="BR239" t="s">
        <v>103</v>
      </c>
      <c r="BS239" t="s">
        <v>4573</v>
      </c>
      <c r="BT239" t="str">
        <f>HYPERLINK("https%3A%2F%2Fwww.webofscience.com%2Fwos%2Fwoscc%2Ffull-record%2FWOS:000292438600012","View Full Record in Web of Science")</f>
        <v>View Full Record in Web of Science</v>
      </c>
    </row>
    <row r="240" spans="1:72" x14ac:dyDescent="0.15">
      <c r="A240" t="s">
        <v>72</v>
      </c>
      <c r="B240" t="s">
        <v>4574</v>
      </c>
      <c r="C240" t="s">
        <v>74</v>
      </c>
      <c r="D240" t="s">
        <v>74</v>
      </c>
      <c r="E240" t="s">
        <v>74</v>
      </c>
      <c r="F240" t="s">
        <v>4575</v>
      </c>
      <c r="G240" t="s">
        <v>74</v>
      </c>
      <c r="H240" t="s">
        <v>74</v>
      </c>
      <c r="I240" t="s">
        <v>4576</v>
      </c>
      <c r="J240" t="s">
        <v>4460</v>
      </c>
      <c r="K240" t="s">
        <v>74</v>
      </c>
      <c r="L240" t="s">
        <v>74</v>
      </c>
      <c r="M240" t="s">
        <v>78</v>
      </c>
      <c r="N240" t="s">
        <v>79</v>
      </c>
      <c r="O240" t="s">
        <v>74</v>
      </c>
      <c r="P240" t="s">
        <v>74</v>
      </c>
      <c r="Q240" t="s">
        <v>74</v>
      </c>
      <c r="R240" t="s">
        <v>74</v>
      </c>
      <c r="S240" t="s">
        <v>74</v>
      </c>
      <c r="T240" t="s">
        <v>4577</v>
      </c>
      <c r="U240" t="s">
        <v>4578</v>
      </c>
      <c r="V240" t="s">
        <v>4579</v>
      </c>
      <c r="W240" t="s">
        <v>4580</v>
      </c>
      <c r="X240" t="s">
        <v>4581</v>
      </c>
      <c r="Y240" t="s">
        <v>4582</v>
      </c>
      <c r="Z240" t="s">
        <v>4583</v>
      </c>
      <c r="AA240" t="s">
        <v>4567</v>
      </c>
      <c r="AB240" t="s">
        <v>4584</v>
      </c>
      <c r="AC240" t="s">
        <v>4585</v>
      </c>
      <c r="AD240" t="s">
        <v>4586</v>
      </c>
      <c r="AE240" t="s">
        <v>4587</v>
      </c>
      <c r="AF240" t="s">
        <v>74</v>
      </c>
      <c r="AG240">
        <v>54</v>
      </c>
      <c r="AH240">
        <v>23</v>
      </c>
      <c r="AI240">
        <v>24</v>
      </c>
      <c r="AJ240">
        <v>1</v>
      </c>
      <c r="AK240">
        <v>32</v>
      </c>
      <c r="AL240" t="s">
        <v>926</v>
      </c>
      <c r="AM240" t="s">
        <v>508</v>
      </c>
      <c r="AN240" t="s">
        <v>927</v>
      </c>
      <c r="AO240" t="s">
        <v>4472</v>
      </c>
      <c r="AP240" t="s">
        <v>4473</v>
      </c>
      <c r="AQ240" t="s">
        <v>74</v>
      </c>
      <c r="AR240" t="s">
        <v>4474</v>
      </c>
      <c r="AS240" t="s">
        <v>4475</v>
      </c>
      <c r="AT240" t="s">
        <v>4476</v>
      </c>
      <c r="AU240">
        <v>2011</v>
      </c>
      <c r="AV240">
        <v>58</v>
      </c>
      <c r="AW240" t="s">
        <v>4477</v>
      </c>
      <c r="AX240" t="s">
        <v>74</v>
      </c>
      <c r="AY240" t="s">
        <v>74</v>
      </c>
      <c r="AZ240" t="s">
        <v>74</v>
      </c>
      <c r="BA240" t="s">
        <v>74</v>
      </c>
      <c r="BB240">
        <v>1677</v>
      </c>
      <c r="BC240">
        <v>1689</v>
      </c>
      <c r="BD240" t="s">
        <v>74</v>
      </c>
      <c r="BE240" t="s">
        <v>4588</v>
      </c>
      <c r="BF240" t="str">
        <f>HYPERLINK("http://dx.doi.org/10.1016/j.dsr2.2010.11.014","http://dx.doi.org/10.1016/j.dsr2.2010.11.014")</f>
        <v>http://dx.doi.org/10.1016/j.dsr2.2010.11.014</v>
      </c>
      <c r="BG240" t="s">
        <v>74</v>
      </c>
      <c r="BH240" t="s">
        <v>74</v>
      </c>
      <c r="BI240">
        <v>13</v>
      </c>
      <c r="BJ240" t="s">
        <v>271</v>
      </c>
      <c r="BK240" t="s">
        <v>100</v>
      </c>
      <c r="BL240" t="s">
        <v>271</v>
      </c>
      <c r="BM240" t="s">
        <v>4479</v>
      </c>
      <c r="BN240" t="s">
        <v>74</v>
      </c>
      <c r="BO240" t="s">
        <v>74</v>
      </c>
      <c r="BP240" t="s">
        <v>74</v>
      </c>
      <c r="BQ240" t="s">
        <v>74</v>
      </c>
      <c r="BR240" t="s">
        <v>103</v>
      </c>
      <c r="BS240" t="s">
        <v>4589</v>
      </c>
      <c r="BT240" t="str">
        <f>HYPERLINK("https%3A%2F%2Fwww.webofscience.com%2Fwos%2Fwoscc%2Ffull-record%2FWOS:000292438600013","View Full Record in Web of Science")</f>
        <v>View Full Record in Web of Science</v>
      </c>
    </row>
    <row r="241" spans="1:72" x14ac:dyDescent="0.15">
      <c r="A241" t="s">
        <v>72</v>
      </c>
      <c r="B241" t="s">
        <v>4590</v>
      </c>
      <c r="C241" t="s">
        <v>74</v>
      </c>
      <c r="D241" t="s">
        <v>74</v>
      </c>
      <c r="E241" t="s">
        <v>74</v>
      </c>
      <c r="F241" t="s">
        <v>4591</v>
      </c>
      <c r="G241" t="s">
        <v>74</v>
      </c>
      <c r="H241" t="s">
        <v>74</v>
      </c>
      <c r="I241" t="s">
        <v>4592</v>
      </c>
      <c r="J241" t="s">
        <v>4460</v>
      </c>
      <c r="K241" t="s">
        <v>74</v>
      </c>
      <c r="L241" t="s">
        <v>74</v>
      </c>
      <c r="M241" t="s">
        <v>78</v>
      </c>
      <c r="N241" t="s">
        <v>79</v>
      </c>
      <c r="O241" t="s">
        <v>74</v>
      </c>
      <c r="P241" t="s">
        <v>74</v>
      </c>
      <c r="Q241" t="s">
        <v>74</v>
      </c>
      <c r="R241" t="s">
        <v>74</v>
      </c>
      <c r="S241" t="s">
        <v>74</v>
      </c>
      <c r="T241" t="s">
        <v>4593</v>
      </c>
      <c r="U241" t="s">
        <v>4594</v>
      </c>
      <c r="V241" t="s">
        <v>4595</v>
      </c>
      <c r="W241" t="s">
        <v>4596</v>
      </c>
      <c r="X241" t="s">
        <v>4597</v>
      </c>
      <c r="Y241" t="s">
        <v>4598</v>
      </c>
      <c r="Z241" t="s">
        <v>4599</v>
      </c>
      <c r="AA241" t="s">
        <v>74</v>
      </c>
      <c r="AB241" t="s">
        <v>74</v>
      </c>
      <c r="AC241" t="s">
        <v>4600</v>
      </c>
      <c r="AD241" t="s">
        <v>2421</v>
      </c>
      <c r="AE241" t="s">
        <v>4601</v>
      </c>
      <c r="AF241" t="s">
        <v>74</v>
      </c>
      <c r="AG241">
        <v>49</v>
      </c>
      <c r="AH241">
        <v>11</v>
      </c>
      <c r="AI241">
        <v>14</v>
      </c>
      <c r="AJ241">
        <v>3</v>
      </c>
      <c r="AK241">
        <v>51</v>
      </c>
      <c r="AL241" t="s">
        <v>926</v>
      </c>
      <c r="AM241" t="s">
        <v>508</v>
      </c>
      <c r="AN241" t="s">
        <v>927</v>
      </c>
      <c r="AO241" t="s">
        <v>4472</v>
      </c>
      <c r="AP241" t="s">
        <v>4473</v>
      </c>
      <c r="AQ241" t="s">
        <v>74</v>
      </c>
      <c r="AR241" t="s">
        <v>4474</v>
      </c>
      <c r="AS241" t="s">
        <v>4475</v>
      </c>
      <c r="AT241" t="s">
        <v>4476</v>
      </c>
      <c r="AU241">
        <v>2011</v>
      </c>
      <c r="AV241">
        <v>58</v>
      </c>
      <c r="AW241" t="s">
        <v>4477</v>
      </c>
      <c r="AX241" t="s">
        <v>74</v>
      </c>
      <c r="AY241" t="s">
        <v>74</v>
      </c>
      <c r="AZ241" t="s">
        <v>74</v>
      </c>
      <c r="BA241" t="s">
        <v>74</v>
      </c>
      <c r="BB241">
        <v>1690</v>
      </c>
      <c r="BC241">
        <v>1694</v>
      </c>
      <c r="BD241" t="s">
        <v>74</v>
      </c>
      <c r="BE241" t="s">
        <v>4602</v>
      </c>
      <c r="BF241" t="str">
        <f>HYPERLINK("http://dx.doi.org/10.1016/j.dsr2.2009.05.034","http://dx.doi.org/10.1016/j.dsr2.2009.05.034")</f>
        <v>http://dx.doi.org/10.1016/j.dsr2.2009.05.034</v>
      </c>
      <c r="BG241" t="s">
        <v>74</v>
      </c>
      <c r="BH241" t="s">
        <v>74</v>
      </c>
      <c r="BI241">
        <v>5</v>
      </c>
      <c r="BJ241" t="s">
        <v>271</v>
      </c>
      <c r="BK241" t="s">
        <v>100</v>
      </c>
      <c r="BL241" t="s">
        <v>271</v>
      </c>
      <c r="BM241" t="s">
        <v>4479</v>
      </c>
      <c r="BN241" t="s">
        <v>74</v>
      </c>
      <c r="BO241" t="s">
        <v>74</v>
      </c>
      <c r="BP241" t="s">
        <v>74</v>
      </c>
      <c r="BQ241" t="s">
        <v>74</v>
      </c>
      <c r="BR241" t="s">
        <v>103</v>
      </c>
      <c r="BS241" t="s">
        <v>4603</v>
      </c>
      <c r="BT241" t="str">
        <f>HYPERLINK("https%3A%2F%2Fwww.webofscience.com%2Fwos%2Fwoscc%2Ffull-record%2FWOS:000292438600014","View Full Record in Web of Science")</f>
        <v>View Full Record in Web of Science</v>
      </c>
    </row>
    <row r="242" spans="1:72" x14ac:dyDescent="0.15">
      <c r="A242" t="s">
        <v>72</v>
      </c>
      <c r="B242" t="s">
        <v>4604</v>
      </c>
      <c r="C242" t="s">
        <v>74</v>
      </c>
      <c r="D242" t="s">
        <v>74</v>
      </c>
      <c r="E242" t="s">
        <v>74</v>
      </c>
      <c r="F242" t="s">
        <v>4605</v>
      </c>
      <c r="G242" t="s">
        <v>74</v>
      </c>
      <c r="H242" t="s">
        <v>74</v>
      </c>
      <c r="I242" t="s">
        <v>4606</v>
      </c>
      <c r="J242" t="s">
        <v>4460</v>
      </c>
      <c r="K242" t="s">
        <v>74</v>
      </c>
      <c r="L242" t="s">
        <v>74</v>
      </c>
      <c r="M242" t="s">
        <v>78</v>
      </c>
      <c r="N242" t="s">
        <v>79</v>
      </c>
      <c r="O242" t="s">
        <v>74</v>
      </c>
      <c r="P242" t="s">
        <v>74</v>
      </c>
      <c r="Q242" t="s">
        <v>74</v>
      </c>
      <c r="R242" t="s">
        <v>74</v>
      </c>
      <c r="S242" t="s">
        <v>74</v>
      </c>
      <c r="T242" t="s">
        <v>4607</v>
      </c>
      <c r="U242" t="s">
        <v>4608</v>
      </c>
      <c r="V242" t="s">
        <v>4609</v>
      </c>
      <c r="W242" t="s">
        <v>4610</v>
      </c>
      <c r="X242" t="s">
        <v>4611</v>
      </c>
      <c r="Y242" t="s">
        <v>4612</v>
      </c>
      <c r="Z242" t="s">
        <v>4613</v>
      </c>
      <c r="AA242" t="s">
        <v>74</v>
      </c>
      <c r="AB242" t="s">
        <v>4614</v>
      </c>
      <c r="AC242" t="s">
        <v>4615</v>
      </c>
      <c r="AD242" t="s">
        <v>4616</v>
      </c>
      <c r="AE242" t="s">
        <v>4617</v>
      </c>
      <c r="AF242" t="s">
        <v>74</v>
      </c>
      <c r="AG242">
        <v>98</v>
      </c>
      <c r="AH242">
        <v>28</v>
      </c>
      <c r="AI242">
        <v>33</v>
      </c>
      <c r="AJ242">
        <v>0</v>
      </c>
      <c r="AK242">
        <v>35</v>
      </c>
      <c r="AL242" t="s">
        <v>926</v>
      </c>
      <c r="AM242" t="s">
        <v>508</v>
      </c>
      <c r="AN242" t="s">
        <v>927</v>
      </c>
      <c r="AO242" t="s">
        <v>4472</v>
      </c>
      <c r="AP242" t="s">
        <v>4473</v>
      </c>
      <c r="AQ242" t="s">
        <v>74</v>
      </c>
      <c r="AR242" t="s">
        <v>4474</v>
      </c>
      <c r="AS242" t="s">
        <v>4475</v>
      </c>
      <c r="AT242" t="s">
        <v>4476</v>
      </c>
      <c r="AU242">
        <v>2011</v>
      </c>
      <c r="AV242">
        <v>58</v>
      </c>
      <c r="AW242" t="s">
        <v>4477</v>
      </c>
      <c r="AX242" t="s">
        <v>74</v>
      </c>
      <c r="AY242" t="s">
        <v>74</v>
      </c>
      <c r="AZ242" t="s">
        <v>74</v>
      </c>
      <c r="BA242" t="s">
        <v>74</v>
      </c>
      <c r="BB242">
        <v>1695</v>
      </c>
      <c r="BC242">
        <v>1709</v>
      </c>
      <c r="BD242" t="s">
        <v>74</v>
      </c>
      <c r="BE242" t="s">
        <v>4618</v>
      </c>
      <c r="BF242" t="str">
        <f>HYPERLINK("http://dx.doi.org/10.1016/j.dsr2.2009.09.017","http://dx.doi.org/10.1016/j.dsr2.2009.09.017")</f>
        <v>http://dx.doi.org/10.1016/j.dsr2.2009.09.017</v>
      </c>
      <c r="BG242" t="s">
        <v>74</v>
      </c>
      <c r="BH242" t="s">
        <v>74</v>
      </c>
      <c r="BI242">
        <v>15</v>
      </c>
      <c r="BJ242" t="s">
        <v>271</v>
      </c>
      <c r="BK242" t="s">
        <v>100</v>
      </c>
      <c r="BL242" t="s">
        <v>271</v>
      </c>
      <c r="BM242" t="s">
        <v>4479</v>
      </c>
      <c r="BN242" t="s">
        <v>74</v>
      </c>
      <c r="BO242" t="s">
        <v>74</v>
      </c>
      <c r="BP242" t="s">
        <v>74</v>
      </c>
      <c r="BQ242" t="s">
        <v>74</v>
      </c>
      <c r="BR242" t="s">
        <v>103</v>
      </c>
      <c r="BS242" t="s">
        <v>4619</v>
      </c>
      <c r="BT242" t="str">
        <f>HYPERLINK("https%3A%2F%2Fwww.webofscience.com%2Fwos%2Fwoscc%2Ffull-record%2FWOS:000292438600015","View Full Record in Web of Science")</f>
        <v>View Full Record in Web of Science</v>
      </c>
    </row>
    <row r="243" spans="1:72" x14ac:dyDescent="0.15">
      <c r="A243" t="s">
        <v>72</v>
      </c>
      <c r="B243" t="s">
        <v>4620</v>
      </c>
      <c r="C243" t="s">
        <v>74</v>
      </c>
      <c r="D243" t="s">
        <v>74</v>
      </c>
      <c r="E243" t="s">
        <v>74</v>
      </c>
      <c r="F243" t="s">
        <v>4621</v>
      </c>
      <c r="G243" t="s">
        <v>74</v>
      </c>
      <c r="H243" t="s">
        <v>74</v>
      </c>
      <c r="I243" t="s">
        <v>4622</v>
      </c>
      <c r="J243" t="s">
        <v>4460</v>
      </c>
      <c r="K243" t="s">
        <v>74</v>
      </c>
      <c r="L243" t="s">
        <v>74</v>
      </c>
      <c r="M243" t="s">
        <v>78</v>
      </c>
      <c r="N243" t="s">
        <v>79</v>
      </c>
      <c r="O243" t="s">
        <v>74</v>
      </c>
      <c r="P243" t="s">
        <v>74</v>
      </c>
      <c r="Q243" t="s">
        <v>74</v>
      </c>
      <c r="R243" t="s">
        <v>74</v>
      </c>
      <c r="S243" t="s">
        <v>74</v>
      </c>
      <c r="T243" t="s">
        <v>4623</v>
      </c>
      <c r="U243" t="s">
        <v>4624</v>
      </c>
      <c r="V243" t="s">
        <v>4625</v>
      </c>
      <c r="W243" t="s">
        <v>4626</v>
      </c>
      <c r="X243" t="s">
        <v>4627</v>
      </c>
      <c r="Y243" t="s">
        <v>4628</v>
      </c>
      <c r="Z243" t="s">
        <v>4629</v>
      </c>
      <c r="AA243" t="s">
        <v>74</v>
      </c>
      <c r="AB243" t="s">
        <v>74</v>
      </c>
      <c r="AC243" t="s">
        <v>4630</v>
      </c>
      <c r="AD243" t="s">
        <v>4631</v>
      </c>
      <c r="AE243" t="s">
        <v>4632</v>
      </c>
      <c r="AF243" t="s">
        <v>74</v>
      </c>
      <c r="AG243">
        <v>62</v>
      </c>
      <c r="AH243">
        <v>26</v>
      </c>
      <c r="AI243">
        <v>29</v>
      </c>
      <c r="AJ243">
        <v>0</v>
      </c>
      <c r="AK243">
        <v>40</v>
      </c>
      <c r="AL243" t="s">
        <v>926</v>
      </c>
      <c r="AM243" t="s">
        <v>508</v>
      </c>
      <c r="AN243" t="s">
        <v>927</v>
      </c>
      <c r="AO243" t="s">
        <v>4472</v>
      </c>
      <c r="AP243" t="s">
        <v>4473</v>
      </c>
      <c r="AQ243" t="s">
        <v>74</v>
      </c>
      <c r="AR243" t="s">
        <v>4474</v>
      </c>
      <c r="AS243" t="s">
        <v>4475</v>
      </c>
      <c r="AT243" t="s">
        <v>4476</v>
      </c>
      <c r="AU243">
        <v>2011</v>
      </c>
      <c r="AV243">
        <v>58</v>
      </c>
      <c r="AW243" t="s">
        <v>4477</v>
      </c>
      <c r="AX243" t="s">
        <v>74</v>
      </c>
      <c r="AY243" t="s">
        <v>74</v>
      </c>
      <c r="AZ243" t="s">
        <v>74</v>
      </c>
      <c r="BA243" t="s">
        <v>74</v>
      </c>
      <c r="BB243">
        <v>1710</v>
      </c>
      <c r="BC243">
        <v>1718</v>
      </c>
      <c r="BD243" t="s">
        <v>74</v>
      </c>
      <c r="BE243" t="s">
        <v>4633</v>
      </c>
      <c r="BF243" t="str">
        <f>HYPERLINK("http://dx.doi.org/10.1016/j.dsr2.2010.10.054","http://dx.doi.org/10.1016/j.dsr2.2010.10.054")</f>
        <v>http://dx.doi.org/10.1016/j.dsr2.2010.10.054</v>
      </c>
      <c r="BG243" t="s">
        <v>74</v>
      </c>
      <c r="BH243" t="s">
        <v>74</v>
      </c>
      <c r="BI243">
        <v>9</v>
      </c>
      <c r="BJ243" t="s">
        <v>271</v>
      </c>
      <c r="BK243" t="s">
        <v>100</v>
      </c>
      <c r="BL243" t="s">
        <v>271</v>
      </c>
      <c r="BM243" t="s">
        <v>4479</v>
      </c>
      <c r="BN243" t="s">
        <v>74</v>
      </c>
      <c r="BO243" t="s">
        <v>74</v>
      </c>
      <c r="BP243" t="s">
        <v>74</v>
      </c>
      <c r="BQ243" t="s">
        <v>74</v>
      </c>
      <c r="BR243" t="s">
        <v>103</v>
      </c>
      <c r="BS243" t="s">
        <v>4634</v>
      </c>
      <c r="BT243" t="str">
        <f>HYPERLINK("https%3A%2F%2Fwww.webofscience.com%2Fwos%2Fwoscc%2Ffull-record%2FWOS:000292438600016","View Full Record in Web of Science")</f>
        <v>View Full Record in Web of Science</v>
      </c>
    </row>
    <row r="244" spans="1:72" x14ac:dyDescent="0.15">
      <c r="A244" t="s">
        <v>72</v>
      </c>
      <c r="B244" t="s">
        <v>4635</v>
      </c>
      <c r="C244" t="s">
        <v>74</v>
      </c>
      <c r="D244" t="s">
        <v>74</v>
      </c>
      <c r="E244" t="s">
        <v>74</v>
      </c>
      <c r="F244" t="s">
        <v>4636</v>
      </c>
      <c r="G244" t="s">
        <v>74</v>
      </c>
      <c r="H244" t="s">
        <v>74</v>
      </c>
      <c r="I244" t="s">
        <v>4637</v>
      </c>
      <c r="J244" t="s">
        <v>4460</v>
      </c>
      <c r="K244" t="s">
        <v>74</v>
      </c>
      <c r="L244" t="s">
        <v>74</v>
      </c>
      <c r="M244" t="s">
        <v>78</v>
      </c>
      <c r="N244" t="s">
        <v>79</v>
      </c>
      <c r="O244" t="s">
        <v>74</v>
      </c>
      <c r="P244" t="s">
        <v>74</v>
      </c>
      <c r="Q244" t="s">
        <v>74</v>
      </c>
      <c r="R244" t="s">
        <v>74</v>
      </c>
      <c r="S244" t="s">
        <v>74</v>
      </c>
      <c r="T244" t="s">
        <v>4638</v>
      </c>
      <c r="U244" t="s">
        <v>4639</v>
      </c>
      <c r="V244" t="s">
        <v>4640</v>
      </c>
      <c r="W244" t="s">
        <v>4641</v>
      </c>
      <c r="X244" t="s">
        <v>4642</v>
      </c>
      <c r="Y244" t="s">
        <v>4643</v>
      </c>
      <c r="Z244" t="s">
        <v>4644</v>
      </c>
      <c r="AA244" t="s">
        <v>4645</v>
      </c>
      <c r="AB244" t="s">
        <v>4646</v>
      </c>
      <c r="AC244" t="s">
        <v>4647</v>
      </c>
      <c r="AD244" t="s">
        <v>4648</v>
      </c>
      <c r="AE244" t="s">
        <v>4649</v>
      </c>
      <c r="AF244" t="s">
        <v>74</v>
      </c>
      <c r="AG244">
        <v>65</v>
      </c>
      <c r="AH244">
        <v>24</v>
      </c>
      <c r="AI244">
        <v>37</v>
      </c>
      <c r="AJ244">
        <v>0</v>
      </c>
      <c r="AK244">
        <v>38</v>
      </c>
      <c r="AL244" t="s">
        <v>926</v>
      </c>
      <c r="AM244" t="s">
        <v>508</v>
      </c>
      <c r="AN244" t="s">
        <v>927</v>
      </c>
      <c r="AO244" t="s">
        <v>4472</v>
      </c>
      <c r="AP244" t="s">
        <v>4473</v>
      </c>
      <c r="AQ244" t="s">
        <v>74</v>
      </c>
      <c r="AR244" t="s">
        <v>4474</v>
      </c>
      <c r="AS244" t="s">
        <v>4475</v>
      </c>
      <c r="AT244" t="s">
        <v>4476</v>
      </c>
      <c r="AU244">
        <v>2011</v>
      </c>
      <c r="AV244">
        <v>58</v>
      </c>
      <c r="AW244" t="s">
        <v>4477</v>
      </c>
      <c r="AX244" t="s">
        <v>74</v>
      </c>
      <c r="AY244" t="s">
        <v>74</v>
      </c>
      <c r="AZ244" t="s">
        <v>74</v>
      </c>
      <c r="BA244" t="s">
        <v>74</v>
      </c>
      <c r="BB244">
        <v>1719</v>
      </c>
      <c r="BC244">
        <v>1728</v>
      </c>
      <c r="BD244" t="s">
        <v>74</v>
      </c>
      <c r="BE244" t="s">
        <v>4650</v>
      </c>
      <c r="BF244" t="str">
        <f>HYPERLINK("http://dx.doi.org/10.1016/j.dsr2.2010.08.019","http://dx.doi.org/10.1016/j.dsr2.2010.08.019")</f>
        <v>http://dx.doi.org/10.1016/j.dsr2.2010.08.019</v>
      </c>
      <c r="BG244" t="s">
        <v>74</v>
      </c>
      <c r="BH244" t="s">
        <v>74</v>
      </c>
      <c r="BI244">
        <v>10</v>
      </c>
      <c r="BJ244" t="s">
        <v>271</v>
      </c>
      <c r="BK244" t="s">
        <v>100</v>
      </c>
      <c r="BL244" t="s">
        <v>271</v>
      </c>
      <c r="BM244" t="s">
        <v>4479</v>
      </c>
      <c r="BN244" t="s">
        <v>74</v>
      </c>
      <c r="BO244" t="s">
        <v>74</v>
      </c>
      <c r="BP244" t="s">
        <v>74</v>
      </c>
      <c r="BQ244" t="s">
        <v>74</v>
      </c>
      <c r="BR244" t="s">
        <v>103</v>
      </c>
      <c r="BS244" t="s">
        <v>4651</v>
      </c>
      <c r="BT244" t="str">
        <f>HYPERLINK("https%3A%2F%2Fwww.webofscience.com%2Fwos%2Fwoscc%2Ffull-record%2FWOS:000292438600017","View Full Record in Web of Science")</f>
        <v>View Full Record in Web of Science</v>
      </c>
    </row>
    <row r="245" spans="1:72" x14ac:dyDescent="0.15">
      <c r="A245" t="s">
        <v>72</v>
      </c>
      <c r="B245" t="s">
        <v>4652</v>
      </c>
      <c r="C245" t="s">
        <v>74</v>
      </c>
      <c r="D245" t="s">
        <v>74</v>
      </c>
      <c r="E245" t="s">
        <v>74</v>
      </c>
      <c r="F245" t="s">
        <v>4653</v>
      </c>
      <c r="G245" t="s">
        <v>74</v>
      </c>
      <c r="H245" t="s">
        <v>74</v>
      </c>
      <c r="I245" t="s">
        <v>4654</v>
      </c>
      <c r="J245" t="s">
        <v>4460</v>
      </c>
      <c r="K245" t="s">
        <v>74</v>
      </c>
      <c r="L245" t="s">
        <v>74</v>
      </c>
      <c r="M245" t="s">
        <v>78</v>
      </c>
      <c r="N245" t="s">
        <v>79</v>
      </c>
      <c r="O245" t="s">
        <v>74</v>
      </c>
      <c r="P245" t="s">
        <v>74</v>
      </c>
      <c r="Q245" t="s">
        <v>74</v>
      </c>
      <c r="R245" t="s">
        <v>74</v>
      </c>
      <c r="S245" t="s">
        <v>74</v>
      </c>
      <c r="T245" t="s">
        <v>4655</v>
      </c>
      <c r="U245" t="s">
        <v>4656</v>
      </c>
      <c r="V245" t="s">
        <v>4657</v>
      </c>
      <c r="W245" t="s">
        <v>4658</v>
      </c>
      <c r="X245" t="s">
        <v>4659</v>
      </c>
      <c r="Y245" t="s">
        <v>4660</v>
      </c>
      <c r="Z245" t="s">
        <v>4661</v>
      </c>
      <c r="AA245" t="s">
        <v>4662</v>
      </c>
      <c r="AB245" t="s">
        <v>4663</v>
      </c>
      <c r="AC245" t="s">
        <v>4664</v>
      </c>
      <c r="AD245" t="s">
        <v>4665</v>
      </c>
      <c r="AE245" t="s">
        <v>4666</v>
      </c>
      <c r="AF245" t="s">
        <v>74</v>
      </c>
      <c r="AG245">
        <v>82</v>
      </c>
      <c r="AH245">
        <v>101</v>
      </c>
      <c r="AI245">
        <v>118</v>
      </c>
      <c r="AJ245">
        <v>2</v>
      </c>
      <c r="AK245">
        <v>110</v>
      </c>
      <c r="AL245" t="s">
        <v>926</v>
      </c>
      <c r="AM245" t="s">
        <v>508</v>
      </c>
      <c r="AN245" t="s">
        <v>927</v>
      </c>
      <c r="AO245" t="s">
        <v>4472</v>
      </c>
      <c r="AP245" t="s">
        <v>4473</v>
      </c>
      <c r="AQ245" t="s">
        <v>74</v>
      </c>
      <c r="AR245" t="s">
        <v>4474</v>
      </c>
      <c r="AS245" t="s">
        <v>4475</v>
      </c>
      <c r="AT245" t="s">
        <v>4476</v>
      </c>
      <c r="AU245">
        <v>2011</v>
      </c>
      <c r="AV245">
        <v>58</v>
      </c>
      <c r="AW245" t="s">
        <v>4477</v>
      </c>
      <c r="AX245" t="s">
        <v>74</v>
      </c>
      <c r="AY245" t="s">
        <v>74</v>
      </c>
      <c r="AZ245" t="s">
        <v>74</v>
      </c>
      <c r="BA245" t="s">
        <v>74</v>
      </c>
      <c r="BB245">
        <v>1729</v>
      </c>
      <c r="BC245">
        <v>1740</v>
      </c>
      <c r="BD245" t="s">
        <v>74</v>
      </c>
      <c r="BE245" t="s">
        <v>4667</v>
      </c>
      <c r="BF245" t="str">
        <f>HYPERLINK("http://dx.doi.org/10.1016/j.dsr2.2010.11.018","http://dx.doi.org/10.1016/j.dsr2.2010.11.018")</f>
        <v>http://dx.doi.org/10.1016/j.dsr2.2010.11.018</v>
      </c>
      <c r="BG245" t="s">
        <v>74</v>
      </c>
      <c r="BH245" t="s">
        <v>74</v>
      </c>
      <c r="BI245">
        <v>12</v>
      </c>
      <c r="BJ245" t="s">
        <v>271</v>
      </c>
      <c r="BK245" t="s">
        <v>100</v>
      </c>
      <c r="BL245" t="s">
        <v>271</v>
      </c>
      <c r="BM245" t="s">
        <v>4479</v>
      </c>
      <c r="BN245" t="s">
        <v>74</v>
      </c>
      <c r="BO245" t="s">
        <v>74</v>
      </c>
      <c r="BP245" t="s">
        <v>74</v>
      </c>
      <c r="BQ245" t="s">
        <v>74</v>
      </c>
      <c r="BR245" t="s">
        <v>103</v>
      </c>
      <c r="BS245" t="s">
        <v>4668</v>
      </c>
      <c r="BT245" t="str">
        <f>HYPERLINK("https%3A%2F%2Fwww.webofscience.com%2Fwos%2Fwoscc%2Ffull-record%2FWOS:000292438600018","View Full Record in Web of Science")</f>
        <v>View Full Record in Web of Science</v>
      </c>
    </row>
    <row r="246" spans="1:72" x14ac:dyDescent="0.15">
      <c r="A246" t="s">
        <v>72</v>
      </c>
      <c r="B246" t="s">
        <v>4669</v>
      </c>
      <c r="C246" t="s">
        <v>74</v>
      </c>
      <c r="D246" t="s">
        <v>74</v>
      </c>
      <c r="E246" t="s">
        <v>74</v>
      </c>
      <c r="F246" t="s">
        <v>4670</v>
      </c>
      <c r="G246" t="s">
        <v>74</v>
      </c>
      <c r="H246" t="s">
        <v>74</v>
      </c>
      <c r="I246" t="s">
        <v>4671</v>
      </c>
      <c r="J246" t="s">
        <v>2229</v>
      </c>
      <c r="K246" t="s">
        <v>74</v>
      </c>
      <c r="L246" t="s">
        <v>74</v>
      </c>
      <c r="M246" t="s">
        <v>78</v>
      </c>
      <c r="N246" t="s">
        <v>79</v>
      </c>
      <c r="O246" t="s">
        <v>74</v>
      </c>
      <c r="P246" t="s">
        <v>74</v>
      </c>
      <c r="Q246" t="s">
        <v>74</v>
      </c>
      <c r="R246" t="s">
        <v>74</v>
      </c>
      <c r="S246" t="s">
        <v>74</v>
      </c>
      <c r="T246" t="s">
        <v>4672</v>
      </c>
      <c r="U246" t="s">
        <v>4673</v>
      </c>
      <c r="V246" t="s">
        <v>4674</v>
      </c>
      <c r="W246" t="s">
        <v>4675</v>
      </c>
      <c r="X246" t="s">
        <v>4676</v>
      </c>
      <c r="Y246" t="s">
        <v>4677</v>
      </c>
      <c r="Z246" t="s">
        <v>4678</v>
      </c>
      <c r="AA246" t="s">
        <v>74</v>
      </c>
      <c r="AB246" t="s">
        <v>4679</v>
      </c>
      <c r="AC246" t="s">
        <v>4680</v>
      </c>
      <c r="AD246" t="s">
        <v>4681</v>
      </c>
      <c r="AE246" t="s">
        <v>4682</v>
      </c>
      <c r="AF246" t="s">
        <v>74</v>
      </c>
      <c r="AG246">
        <v>35</v>
      </c>
      <c r="AH246">
        <v>25</v>
      </c>
      <c r="AI246">
        <v>32</v>
      </c>
      <c r="AJ246">
        <v>0</v>
      </c>
      <c r="AK246">
        <v>11</v>
      </c>
      <c r="AL246" t="s">
        <v>2669</v>
      </c>
      <c r="AM246" t="s">
        <v>309</v>
      </c>
      <c r="AN246" t="s">
        <v>2670</v>
      </c>
      <c r="AO246" t="s">
        <v>2242</v>
      </c>
      <c r="AP246" t="s">
        <v>74</v>
      </c>
      <c r="AQ246" t="s">
        <v>74</v>
      </c>
      <c r="AR246" t="s">
        <v>2244</v>
      </c>
      <c r="AS246" t="s">
        <v>2245</v>
      </c>
      <c r="AT246" t="s">
        <v>4683</v>
      </c>
      <c r="AU246">
        <v>2011</v>
      </c>
      <c r="AV246">
        <v>307</v>
      </c>
      <c r="AW246" t="s">
        <v>2154</v>
      </c>
      <c r="AX246" t="s">
        <v>74</v>
      </c>
      <c r="AY246" t="s">
        <v>74</v>
      </c>
      <c r="AZ246" t="s">
        <v>74</v>
      </c>
      <c r="BA246" t="s">
        <v>74</v>
      </c>
      <c r="BB246">
        <v>83</v>
      </c>
      <c r="BC246">
        <v>93</v>
      </c>
      <c r="BD246" t="s">
        <v>74</v>
      </c>
      <c r="BE246" t="s">
        <v>4684</v>
      </c>
      <c r="BF246" t="str">
        <f>HYPERLINK("http://dx.doi.org/10.1016/j.epsl.2011.04.015","http://dx.doi.org/10.1016/j.epsl.2011.04.015")</f>
        <v>http://dx.doi.org/10.1016/j.epsl.2011.04.015</v>
      </c>
      <c r="BG246" t="s">
        <v>74</v>
      </c>
      <c r="BH246" t="s">
        <v>74</v>
      </c>
      <c r="BI246">
        <v>11</v>
      </c>
      <c r="BJ246" t="s">
        <v>488</v>
      </c>
      <c r="BK246" t="s">
        <v>100</v>
      </c>
      <c r="BL246" t="s">
        <v>488</v>
      </c>
      <c r="BM246" t="s">
        <v>4685</v>
      </c>
      <c r="BN246" t="s">
        <v>74</v>
      </c>
      <c r="BO246" t="s">
        <v>74</v>
      </c>
      <c r="BP246" t="s">
        <v>74</v>
      </c>
      <c r="BQ246" t="s">
        <v>74</v>
      </c>
      <c r="BR246" t="s">
        <v>103</v>
      </c>
      <c r="BS246" t="s">
        <v>4686</v>
      </c>
      <c r="BT246" t="str">
        <f>HYPERLINK("https%3A%2F%2Fwww.webofscience.com%2Fwos%2Fwoscc%2Ffull-record%2FWOS:000292797200009","View Full Record in Web of Science")</f>
        <v>View Full Record in Web of Science</v>
      </c>
    </row>
    <row r="247" spans="1:72" x14ac:dyDescent="0.15">
      <c r="A247" t="s">
        <v>72</v>
      </c>
      <c r="B247" t="s">
        <v>4687</v>
      </c>
      <c r="C247" t="s">
        <v>74</v>
      </c>
      <c r="D247" t="s">
        <v>74</v>
      </c>
      <c r="E247" t="s">
        <v>74</v>
      </c>
      <c r="F247" t="s">
        <v>4688</v>
      </c>
      <c r="G247" t="s">
        <v>74</v>
      </c>
      <c r="H247" t="s">
        <v>74</v>
      </c>
      <c r="I247" t="s">
        <v>4689</v>
      </c>
      <c r="J247" t="s">
        <v>2229</v>
      </c>
      <c r="K247" t="s">
        <v>74</v>
      </c>
      <c r="L247" t="s">
        <v>74</v>
      </c>
      <c r="M247" t="s">
        <v>78</v>
      </c>
      <c r="N247" t="s">
        <v>79</v>
      </c>
      <c r="O247" t="s">
        <v>74</v>
      </c>
      <c r="P247" t="s">
        <v>74</v>
      </c>
      <c r="Q247" t="s">
        <v>74</v>
      </c>
      <c r="R247" t="s">
        <v>74</v>
      </c>
      <c r="S247" t="s">
        <v>74</v>
      </c>
      <c r="T247" t="s">
        <v>4690</v>
      </c>
      <c r="U247" t="s">
        <v>4691</v>
      </c>
      <c r="V247" t="s">
        <v>4692</v>
      </c>
      <c r="W247" t="s">
        <v>4693</v>
      </c>
      <c r="X247" t="s">
        <v>4694</v>
      </c>
      <c r="Y247" t="s">
        <v>4695</v>
      </c>
      <c r="Z247" t="s">
        <v>4696</v>
      </c>
      <c r="AA247" t="s">
        <v>4697</v>
      </c>
      <c r="AB247" t="s">
        <v>4698</v>
      </c>
      <c r="AC247" t="s">
        <v>4699</v>
      </c>
      <c r="AD247" t="s">
        <v>4700</v>
      </c>
      <c r="AE247" t="s">
        <v>4701</v>
      </c>
      <c r="AF247" t="s">
        <v>74</v>
      </c>
      <c r="AG247">
        <v>77</v>
      </c>
      <c r="AH247">
        <v>52</v>
      </c>
      <c r="AI247">
        <v>55</v>
      </c>
      <c r="AJ247">
        <v>2</v>
      </c>
      <c r="AK247">
        <v>36</v>
      </c>
      <c r="AL247" t="s">
        <v>308</v>
      </c>
      <c r="AM247" t="s">
        <v>309</v>
      </c>
      <c r="AN247" t="s">
        <v>310</v>
      </c>
      <c r="AO247" t="s">
        <v>2242</v>
      </c>
      <c r="AP247" t="s">
        <v>2243</v>
      </c>
      <c r="AQ247" t="s">
        <v>74</v>
      </c>
      <c r="AR247" t="s">
        <v>2244</v>
      </c>
      <c r="AS247" t="s">
        <v>2245</v>
      </c>
      <c r="AT247" t="s">
        <v>4683</v>
      </c>
      <c r="AU247">
        <v>2011</v>
      </c>
      <c r="AV247">
        <v>307</v>
      </c>
      <c r="AW247" t="s">
        <v>2154</v>
      </c>
      <c r="AX247" t="s">
        <v>74</v>
      </c>
      <c r="AY247" t="s">
        <v>74</v>
      </c>
      <c r="AZ247" t="s">
        <v>74</v>
      </c>
      <c r="BA247" t="s">
        <v>74</v>
      </c>
      <c r="BB247">
        <v>126</v>
      </c>
      <c r="BC247">
        <v>134</v>
      </c>
      <c r="BD247" t="s">
        <v>74</v>
      </c>
      <c r="BE247" t="s">
        <v>4702</v>
      </c>
      <c r="BF247" t="str">
        <f>HYPERLINK("http://dx.doi.org/10.1016/j.epsl.2011.04.021","http://dx.doi.org/10.1016/j.epsl.2011.04.021")</f>
        <v>http://dx.doi.org/10.1016/j.epsl.2011.04.021</v>
      </c>
      <c r="BG247" t="s">
        <v>74</v>
      </c>
      <c r="BH247" t="s">
        <v>74</v>
      </c>
      <c r="BI247">
        <v>9</v>
      </c>
      <c r="BJ247" t="s">
        <v>488</v>
      </c>
      <c r="BK247" t="s">
        <v>100</v>
      </c>
      <c r="BL247" t="s">
        <v>488</v>
      </c>
      <c r="BM247" t="s">
        <v>4685</v>
      </c>
      <c r="BN247" t="s">
        <v>74</v>
      </c>
      <c r="BO247" t="s">
        <v>74</v>
      </c>
      <c r="BP247" t="s">
        <v>74</v>
      </c>
      <c r="BQ247" t="s">
        <v>74</v>
      </c>
      <c r="BR247" t="s">
        <v>103</v>
      </c>
      <c r="BS247" t="s">
        <v>4703</v>
      </c>
      <c r="BT247" t="str">
        <f>HYPERLINK("https%3A%2F%2Fwww.webofscience.com%2Fwos%2Fwoscc%2Ffull-record%2FWOS:000292797200013","View Full Record in Web of Science")</f>
        <v>View Full Record in Web of Science</v>
      </c>
    </row>
    <row r="248" spans="1:72" x14ac:dyDescent="0.15">
      <c r="A248" t="s">
        <v>72</v>
      </c>
      <c r="B248" t="s">
        <v>4704</v>
      </c>
      <c r="C248" t="s">
        <v>74</v>
      </c>
      <c r="D248" t="s">
        <v>74</v>
      </c>
      <c r="E248" t="s">
        <v>74</v>
      </c>
      <c r="F248" t="s">
        <v>4705</v>
      </c>
      <c r="G248" t="s">
        <v>74</v>
      </c>
      <c r="H248" t="s">
        <v>74</v>
      </c>
      <c r="I248" t="s">
        <v>4706</v>
      </c>
      <c r="J248" t="s">
        <v>1263</v>
      </c>
      <c r="K248" t="s">
        <v>74</v>
      </c>
      <c r="L248" t="s">
        <v>74</v>
      </c>
      <c r="M248" t="s">
        <v>78</v>
      </c>
      <c r="N248" t="s">
        <v>79</v>
      </c>
      <c r="O248" t="s">
        <v>74</v>
      </c>
      <c r="P248" t="s">
        <v>74</v>
      </c>
      <c r="Q248" t="s">
        <v>74</v>
      </c>
      <c r="R248" t="s">
        <v>74</v>
      </c>
      <c r="S248" t="s">
        <v>74</v>
      </c>
      <c r="T248" t="s">
        <v>74</v>
      </c>
      <c r="U248" t="s">
        <v>4707</v>
      </c>
      <c r="V248" t="s">
        <v>4708</v>
      </c>
      <c r="W248" t="s">
        <v>4709</v>
      </c>
      <c r="X248" t="s">
        <v>4710</v>
      </c>
      <c r="Y248" t="s">
        <v>4711</v>
      </c>
      <c r="Z248" t="s">
        <v>4712</v>
      </c>
      <c r="AA248" t="s">
        <v>4713</v>
      </c>
      <c r="AB248" t="s">
        <v>4714</v>
      </c>
      <c r="AC248" t="s">
        <v>4715</v>
      </c>
      <c r="AD248" t="s">
        <v>4716</v>
      </c>
      <c r="AE248" t="s">
        <v>4717</v>
      </c>
      <c r="AF248" t="s">
        <v>74</v>
      </c>
      <c r="AG248">
        <v>44</v>
      </c>
      <c r="AH248">
        <v>7</v>
      </c>
      <c r="AI248">
        <v>8</v>
      </c>
      <c r="AJ248">
        <v>1</v>
      </c>
      <c r="AK248">
        <v>23</v>
      </c>
      <c r="AL248" t="s">
        <v>1275</v>
      </c>
      <c r="AM248" t="s">
        <v>1276</v>
      </c>
      <c r="AN248" t="s">
        <v>1277</v>
      </c>
      <c r="AO248" t="s">
        <v>1278</v>
      </c>
      <c r="AP248" t="s">
        <v>74</v>
      </c>
      <c r="AQ248" t="s">
        <v>74</v>
      </c>
      <c r="AR248" t="s">
        <v>1280</v>
      </c>
      <c r="AS248" t="s">
        <v>1281</v>
      </c>
      <c r="AT248" t="s">
        <v>3902</v>
      </c>
      <c r="AU248">
        <v>2011</v>
      </c>
      <c r="AV248">
        <v>24</v>
      </c>
      <c r="AW248">
        <v>14</v>
      </c>
      <c r="AX248" t="s">
        <v>74</v>
      </c>
      <c r="AY248" t="s">
        <v>74</v>
      </c>
      <c r="AZ248" t="s">
        <v>74</v>
      </c>
      <c r="BA248" t="s">
        <v>74</v>
      </c>
      <c r="BB248">
        <v>3545</v>
      </c>
      <c r="BC248">
        <v>3557</v>
      </c>
      <c r="BD248" t="s">
        <v>74</v>
      </c>
      <c r="BE248" t="s">
        <v>4718</v>
      </c>
      <c r="BF248" t="str">
        <f>HYPERLINK("http://dx.doi.org/10.1175/2011JCLI3642.1","http://dx.doi.org/10.1175/2011JCLI3642.1")</f>
        <v>http://dx.doi.org/10.1175/2011JCLI3642.1</v>
      </c>
      <c r="BG248" t="s">
        <v>74</v>
      </c>
      <c r="BH248" t="s">
        <v>74</v>
      </c>
      <c r="BI248">
        <v>13</v>
      </c>
      <c r="BJ248" t="s">
        <v>248</v>
      </c>
      <c r="BK248" t="s">
        <v>100</v>
      </c>
      <c r="BL248" t="s">
        <v>248</v>
      </c>
      <c r="BM248" t="s">
        <v>4719</v>
      </c>
      <c r="BN248" t="s">
        <v>74</v>
      </c>
      <c r="BO248" t="s">
        <v>393</v>
      </c>
      <c r="BP248" t="s">
        <v>74</v>
      </c>
      <c r="BQ248" t="s">
        <v>74</v>
      </c>
      <c r="BR248" t="s">
        <v>103</v>
      </c>
      <c r="BS248" t="s">
        <v>4720</v>
      </c>
      <c r="BT248" t="str">
        <f>HYPERLINK("https%3A%2F%2Fwww.webofscience.com%2Fwos%2Fwoscc%2Ffull-record%2FWOS:000292863300001","View Full Record in Web of Science")</f>
        <v>View Full Record in Web of Science</v>
      </c>
    </row>
    <row r="249" spans="1:72" x14ac:dyDescent="0.15">
      <c r="A249" t="s">
        <v>72</v>
      </c>
      <c r="B249" t="s">
        <v>4721</v>
      </c>
      <c r="C249" t="s">
        <v>74</v>
      </c>
      <c r="D249" t="s">
        <v>74</v>
      </c>
      <c r="E249" t="s">
        <v>74</v>
      </c>
      <c r="F249" t="s">
        <v>4722</v>
      </c>
      <c r="G249" t="s">
        <v>74</v>
      </c>
      <c r="H249" t="s">
        <v>74</v>
      </c>
      <c r="I249" t="s">
        <v>4723</v>
      </c>
      <c r="J249" t="s">
        <v>1263</v>
      </c>
      <c r="K249" t="s">
        <v>74</v>
      </c>
      <c r="L249" t="s">
        <v>74</v>
      </c>
      <c r="M249" t="s">
        <v>78</v>
      </c>
      <c r="N249" t="s">
        <v>4724</v>
      </c>
      <c r="O249" t="s">
        <v>74</v>
      </c>
      <c r="P249" t="s">
        <v>74</v>
      </c>
      <c r="Q249" t="s">
        <v>74</v>
      </c>
      <c r="R249" t="s">
        <v>74</v>
      </c>
      <c r="S249" t="s">
        <v>74</v>
      </c>
      <c r="T249" t="s">
        <v>74</v>
      </c>
      <c r="U249" t="s">
        <v>74</v>
      </c>
      <c r="V249" t="s">
        <v>74</v>
      </c>
      <c r="W249" t="s">
        <v>4725</v>
      </c>
      <c r="X249" t="s">
        <v>4726</v>
      </c>
      <c r="Y249" t="s">
        <v>4727</v>
      </c>
      <c r="Z249" t="s">
        <v>74</v>
      </c>
      <c r="AA249" t="s">
        <v>4728</v>
      </c>
      <c r="AB249" t="s">
        <v>4729</v>
      </c>
      <c r="AC249" t="s">
        <v>74</v>
      </c>
      <c r="AD249" t="s">
        <v>74</v>
      </c>
      <c r="AE249" t="s">
        <v>74</v>
      </c>
      <c r="AF249" t="s">
        <v>74</v>
      </c>
      <c r="AG249">
        <v>1</v>
      </c>
      <c r="AH249">
        <v>2</v>
      </c>
      <c r="AI249">
        <v>2</v>
      </c>
      <c r="AJ249">
        <v>0</v>
      </c>
      <c r="AK249">
        <v>8</v>
      </c>
      <c r="AL249" t="s">
        <v>1275</v>
      </c>
      <c r="AM249" t="s">
        <v>1276</v>
      </c>
      <c r="AN249" t="s">
        <v>1277</v>
      </c>
      <c r="AO249" t="s">
        <v>1278</v>
      </c>
      <c r="AP249" t="s">
        <v>74</v>
      </c>
      <c r="AQ249" t="s">
        <v>74</v>
      </c>
      <c r="AR249" t="s">
        <v>1280</v>
      </c>
      <c r="AS249" t="s">
        <v>1281</v>
      </c>
      <c r="AT249" t="s">
        <v>3902</v>
      </c>
      <c r="AU249">
        <v>2011</v>
      </c>
      <c r="AV249">
        <v>24</v>
      </c>
      <c r="AW249">
        <v>14</v>
      </c>
      <c r="AX249" t="s">
        <v>74</v>
      </c>
      <c r="AY249" t="s">
        <v>74</v>
      </c>
      <c r="AZ249" t="s">
        <v>74</v>
      </c>
      <c r="BA249" t="s">
        <v>74</v>
      </c>
      <c r="BB249">
        <v>3796</v>
      </c>
      <c r="BC249">
        <v>3796</v>
      </c>
      <c r="BD249" t="s">
        <v>74</v>
      </c>
      <c r="BE249" t="s">
        <v>4730</v>
      </c>
      <c r="BF249" t="str">
        <f>HYPERLINK("http://dx.doi.org/10.1175/JCLI-D-11-00229.1","http://dx.doi.org/10.1175/JCLI-D-11-00229.1")</f>
        <v>http://dx.doi.org/10.1175/JCLI-D-11-00229.1</v>
      </c>
      <c r="BG249" t="s">
        <v>74</v>
      </c>
      <c r="BH249" t="s">
        <v>74</v>
      </c>
      <c r="BI249">
        <v>1</v>
      </c>
      <c r="BJ249" t="s">
        <v>248</v>
      </c>
      <c r="BK249" t="s">
        <v>100</v>
      </c>
      <c r="BL249" t="s">
        <v>248</v>
      </c>
      <c r="BM249" t="s">
        <v>4719</v>
      </c>
      <c r="BN249" t="s">
        <v>74</v>
      </c>
      <c r="BO249" t="s">
        <v>1284</v>
      </c>
      <c r="BP249" t="s">
        <v>74</v>
      </c>
      <c r="BQ249" t="s">
        <v>74</v>
      </c>
      <c r="BR249" t="s">
        <v>103</v>
      </c>
      <c r="BS249" t="s">
        <v>4731</v>
      </c>
      <c r="BT249" t="str">
        <f>HYPERLINK("https%3A%2F%2Fwww.webofscience.com%2Fwos%2Fwoscc%2Ffull-record%2FWOS:000292863300017","View Full Record in Web of Science")</f>
        <v>View Full Record in Web of Science</v>
      </c>
    </row>
    <row r="250" spans="1:72" x14ac:dyDescent="0.15">
      <c r="A250" t="s">
        <v>72</v>
      </c>
      <c r="B250" t="s">
        <v>4732</v>
      </c>
      <c r="C250" t="s">
        <v>74</v>
      </c>
      <c r="D250" t="s">
        <v>74</v>
      </c>
      <c r="E250" t="s">
        <v>74</v>
      </c>
      <c r="F250" t="s">
        <v>4733</v>
      </c>
      <c r="G250" t="s">
        <v>74</v>
      </c>
      <c r="H250" t="s">
        <v>74</v>
      </c>
      <c r="I250" t="s">
        <v>4734</v>
      </c>
      <c r="J250" t="s">
        <v>4735</v>
      </c>
      <c r="K250" t="s">
        <v>74</v>
      </c>
      <c r="L250" t="s">
        <v>74</v>
      </c>
      <c r="M250" t="s">
        <v>78</v>
      </c>
      <c r="N250" t="s">
        <v>79</v>
      </c>
      <c r="O250" t="s">
        <v>74</v>
      </c>
      <c r="P250" t="s">
        <v>74</v>
      </c>
      <c r="Q250" t="s">
        <v>74</v>
      </c>
      <c r="R250" t="s">
        <v>74</v>
      </c>
      <c r="S250" t="s">
        <v>74</v>
      </c>
      <c r="T250" t="s">
        <v>4736</v>
      </c>
      <c r="U250" t="s">
        <v>4737</v>
      </c>
      <c r="V250" t="s">
        <v>4738</v>
      </c>
      <c r="W250" t="s">
        <v>4739</v>
      </c>
      <c r="X250" t="s">
        <v>4740</v>
      </c>
      <c r="Y250" t="s">
        <v>4741</v>
      </c>
      <c r="Z250" t="s">
        <v>4742</v>
      </c>
      <c r="AA250" t="s">
        <v>74</v>
      </c>
      <c r="AB250" t="s">
        <v>74</v>
      </c>
      <c r="AC250" t="s">
        <v>4743</v>
      </c>
      <c r="AD250" t="s">
        <v>4744</v>
      </c>
      <c r="AE250" t="s">
        <v>4745</v>
      </c>
      <c r="AF250" t="s">
        <v>74</v>
      </c>
      <c r="AG250">
        <v>45</v>
      </c>
      <c r="AH250">
        <v>8</v>
      </c>
      <c r="AI250">
        <v>8</v>
      </c>
      <c r="AJ250">
        <v>1</v>
      </c>
      <c r="AK250">
        <v>8</v>
      </c>
      <c r="AL250" t="s">
        <v>4746</v>
      </c>
      <c r="AM250" t="s">
        <v>4747</v>
      </c>
      <c r="AN250" t="s">
        <v>4748</v>
      </c>
      <c r="AO250" t="s">
        <v>4749</v>
      </c>
      <c r="AP250" t="s">
        <v>74</v>
      </c>
      <c r="AQ250" t="s">
        <v>74</v>
      </c>
      <c r="AR250" t="s">
        <v>4735</v>
      </c>
      <c r="AS250" t="s">
        <v>4750</v>
      </c>
      <c r="AT250" t="s">
        <v>3902</v>
      </c>
      <c r="AU250">
        <v>2011</v>
      </c>
      <c r="AV250">
        <v>82</v>
      </c>
      <c r="AW250">
        <v>7</v>
      </c>
      <c r="AX250" t="s">
        <v>74</v>
      </c>
      <c r="AY250" t="s">
        <v>74</v>
      </c>
      <c r="AZ250" t="s">
        <v>74</v>
      </c>
      <c r="BA250" t="s">
        <v>74</v>
      </c>
      <c r="BB250">
        <v>951</v>
      </c>
      <c r="BC250">
        <v>954</v>
      </c>
      <c r="BD250" t="s">
        <v>74</v>
      </c>
      <c r="BE250" t="s">
        <v>4751</v>
      </c>
      <c r="BF250" t="str">
        <f>HYPERLINK("http://dx.doi.org/10.1016/j.resuscitation.2011.03.005","http://dx.doi.org/10.1016/j.resuscitation.2011.03.005")</f>
        <v>http://dx.doi.org/10.1016/j.resuscitation.2011.03.005</v>
      </c>
      <c r="BG250" t="s">
        <v>74</v>
      </c>
      <c r="BH250" t="s">
        <v>74</v>
      </c>
      <c r="BI250">
        <v>4</v>
      </c>
      <c r="BJ250" t="s">
        <v>4752</v>
      </c>
      <c r="BK250" t="s">
        <v>100</v>
      </c>
      <c r="BL250" t="s">
        <v>4753</v>
      </c>
      <c r="BM250" t="s">
        <v>4754</v>
      </c>
      <c r="BN250">
        <v>21481513</v>
      </c>
      <c r="BO250" t="s">
        <v>1557</v>
      </c>
      <c r="BP250" t="s">
        <v>74</v>
      </c>
      <c r="BQ250" t="s">
        <v>74</v>
      </c>
      <c r="BR250" t="s">
        <v>103</v>
      </c>
      <c r="BS250" t="s">
        <v>4755</v>
      </c>
      <c r="BT250" t="str">
        <f>HYPERLINK("https%3A%2F%2Fwww.webofscience.com%2Fwos%2Fwoscc%2Ffull-record%2FWOS:000292763000030","View Full Record in Web of Science")</f>
        <v>View Full Record in Web of Science</v>
      </c>
    </row>
    <row r="251" spans="1:72" x14ac:dyDescent="0.15">
      <c r="A251" t="s">
        <v>72</v>
      </c>
      <c r="B251" t="s">
        <v>4756</v>
      </c>
      <c r="C251" t="s">
        <v>74</v>
      </c>
      <c r="D251" t="s">
        <v>74</v>
      </c>
      <c r="E251" t="s">
        <v>74</v>
      </c>
      <c r="F251" t="s">
        <v>4757</v>
      </c>
      <c r="G251" t="s">
        <v>74</v>
      </c>
      <c r="H251" t="s">
        <v>74</v>
      </c>
      <c r="I251" t="s">
        <v>4758</v>
      </c>
      <c r="J251" t="s">
        <v>4759</v>
      </c>
      <c r="K251" t="s">
        <v>74</v>
      </c>
      <c r="L251" t="s">
        <v>74</v>
      </c>
      <c r="M251" t="s">
        <v>78</v>
      </c>
      <c r="N251" t="s">
        <v>278</v>
      </c>
      <c r="O251" t="s">
        <v>74</v>
      </c>
      <c r="P251" t="s">
        <v>74</v>
      </c>
      <c r="Q251" t="s">
        <v>74</v>
      </c>
      <c r="R251" t="s">
        <v>74</v>
      </c>
      <c r="S251" t="s">
        <v>74</v>
      </c>
      <c r="T251" t="s">
        <v>4760</v>
      </c>
      <c r="U251" t="s">
        <v>4761</v>
      </c>
      <c r="V251" t="s">
        <v>4762</v>
      </c>
      <c r="W251" t="s">
        <v>4763</v>
      </c>
      <c r="X251" t="s">
        <v>74</v>
      </c>
      <c r="Y251" t="s">
        <v>4764</v>
      </c>
      <c r="Z251" t="s">
        <v>4765</v>
      </c>
      <c r="AA251" t="s">
        <v>74</v>
      </c>
      <c r="AB251" t="s">
        <v>74</v>
      </c>
      <c r="AC251" t="s">
        <v>74</v>
      </c>
      <c r="AD251" t="s">
        <v>74</v>
      </c>
      <c r="AE251" t="s">
        <v>74</v>
      </c>
      <c r="AF251" t="s">
        <v>74</v>
      </c>
      <c r="AG251">
        <v>129</v>
      </c>
      <c r="AH251">
        <v>24</v>
      </c>
      <c r="AI251">
        <v>26</v>
      </c>
      <c r="AJ251">
        <v>0</v>
      </c>
      <c r="AK251">
        <v>13</v>
      </c>
      <c r="AL251" t="s">
        <v>4766</v>
      </c>
      <c r="AM251" t="s">
        <v>4767</v>
      </c>
      <c r="AN251" t="s">
        <v>4768</v>
      </c>
      <c r="AO251" t="s">
        <v>4769</v>
      </c>
      <c r="AP251" t="s">
        <v>4770</v>
      </c>
      <c r="AQ251" t="s">
        <v>74</v>
      </c>
      <c r="AR251" t="s">
        <v>4759</v>
      </c>
      <c r="AS251" t="s">
        <v>4771</v>
      </c>
      <c r="AT251" t="s">
        <v>4476</v>
      </c>
      <c r="AU251">
        <v>2011</v>
      </c>
      <c r="AV251">
        <v>103</v>
      </c>
      <c r="AW251">
        <v>4</v>
      </c>
      <c r="AX251" t="s">
        <v>74</v>
      </c>
      <c r="AY251" t="s">
        <v>74</v>
      </c>
      <c r="AZ251" t="s">
        <v>74</v>
      </c>
      <c r="BA251" t="s">
        <v>74</v>
      </c>
      <c r="BB251">
        <v>677</v>
      </c>
      <c r="BC251">
        <v>702</v>
      </c>
      <c r="BD251" t="s">
        <v>74</v>
      </c>
      <c r="BE251" t="s">
        <v>4772</v>
      </c>
      <c r="BF251" t="str">
        <f>HYPERLINK("http://dx.doi.org/10.3852/10-310","http://dx.doi.org/10.3852/10-310")</f>
        <v>http://dx.doi.org/10.3852/10-310</v>
      </c>
      <c r="BG251" t="s">
        <v>74</v>
      </c>
      <c r="BH251" t="s">
        <v>74</v>
      </c>
      <c r="BI251">
        <v>26</v>
      </c>
      <c r="BJ251" t="s">
        <v>4166</v>
      </c>
      <c r="BK251" t="s">
        <v>100</v>
      </c>
      <c r="BL251" t="s">
        <v>4166</v>
      </c>
      <c r="BM251" t="s">
        <v>4773</v>
      </c>
      <c r="BN251">
        <v>21471294</v>
      </c>
      <c r="BO251" t="s">
        <v>702</v>
      </c>
      <c r="BP251" t="s">
        <v>74</v>
      </c>
      <c r="BQ251" t="s">
        <v>74</v>
      </c>
      <c r="BR251" t="s">
        <v>103</v>
      </c>
      <c r="BS251" t="s">
        <v>4774</v>
      </c>
      <c r="BT251" t="str">
        <f>HYPERLINK("https%3A%2F%2Fwww.webofscience.com%2Fwos%2Fwoscc%2Ffull-record%2FWOS:000292409200001","View Full Record in Web of Science")</f>
        <v>View Full Record in Web of Science</v>
      </c>
    </row>
    <row r="252" spans="1:72" x14ac:dyDescent="0.15">
      <c r="A252" t="s">
        <v>72</v>
      </c>
      <c r="B252" t="s">
        <v>4775</v>
      </c>
      <c r="C252" t="s">
        <v>74</v>
      </c>
      <c r="D252" t="s">
        <v>74</v>
      </c>
      <c r="E252" t="s">
        <v>74</v>
      </c>
      <c r="F252" t="s">
        <v>4776</v>
      </c>
      <c r="G252" t="s">
        <v>74</v>
      </c>
      <c r="H252" t="s">
        <v>74</v>
      </c>
      <c r="I252" t="s">
        <v>4777</v>
      </c>
      <c r="J252" t="s">
        <v>4778</v>
      </c>
      <c r="K252" t="s">
        <v>74</v>
      </c>
      <c r="L252" t="s">
        <v>74</v>
      </c>
      <c r="M252" t="s">
        <v>78</v>
      </c>
      <c r="N252" t="s">
        <v>79</v>
      </c>
      <c r="O252" t="s">
        <v>74</v>
      </c>
      <c r="P252" t="s">
        <v>74</v>
      </c>
      <c r="Q252" t="s">
        <v>74</v>
      </c>
      <c r="R252" t="s">
        <v>74</v>
      </c>
      <c r="S252" t="s">
        <v>74</v>
      </c>
      <c r="T252" t="s">
        <v>4779</v>
      </c>
      <c r="U252" t="s">
        <v>74</v>
      </c>
      <c r="V252" t="s">
        <v>4780</v>
      </c>
      <c r="W252" t="s">
        <v>4781</v>
      </c>
      <c r="X252" t="s">
        <v>4782</v>
      </c>
      <c r="Y252" t="s">
        <v>4783</v>
      </c>
      <c r="Z252" t="s">
        <v>4784</v>
      </c>
      <c r="AA252" t="s">
        <v>74</v>
      </c>
      <c r="AB252" t="s">
        <v>4785</v>
      </c>
      <c r="AC252" t="s">
        <v>74</v>
      </c>
      <c r="AD252" t="s">
        <v>74</v>
      </c>
      <c r="AE252" t="s">
        <v>74</v>
      </c>
      <c r="AF252" t="s">
        <v>74</v>
      </c>
      <c r="AG252">
        <v>14</v>
      </c>
      <c r="AH252">
        <v>4</v>
      </c>
      <c r="AI252">
        <v>4</v>
      </c>
      <c r="AJ252">
        <v>0</v>
      </c>
      <c r="AK252">
        <v>1</v>
      </c>
      <c r="AL252" t="s">
        <v>693</v>
      </c>
      <c r="AM252" t="s">
        <v>1778</v>
      </c>
      <c r="AN252" t="s">
        <v>4786</v>
      </c>
      <c r="AO252" t="s">
        <v>4787</v>
      </c>
      <c r="AP252" t="s">
        <v>74</v>
      </c>
      <c r="AQ252" t="s">
        <v>74</v>
      </c>
      <c r="AR252" t="s">
        <v>4778</v>
      </c>
      <c r="AS252" t="s">
        <v>4788</v>
      </c>
      <c r="AT252" t="s">
        <v>3902</v>
      </c>
      <c r="AU252">
        <v>2011</v>
      </c>
      <c r="AV252">
        <v>43</v>
      </c>
      <c r="AW252" t="s">
        <v>74</v>
      </c>
      <c r="AX252">
        <v>4</v>
      </c>
      <c r="AY252" t="s">
        <v>74</v>
      </c>
      <c r="AZ252" t="s">
        <v>74</v>
      </c>
      <c r="BA252" t="s">
        <v>74</v>
      </c>
      <c r="BB252">
        <v>367</v>
      </c>
      <c r="BC252">
        <v>371</v>
      </c>
      <c r="BD252" t="s">
        <v>74</v>
      </c>
      <c r="BE252" t="s">
        <v>4789</v>
      </c>
      <c r="BF252" t="str">
        <f>HYPERLINK("http://dx.doi.org/10.1017/S002428291100017X","http://dx.doi.org/10.1017/S002428291100017X")</f>
        <v>http://dx.doi.org/10.1017/S002428291100017X</v>
      </c>
      <c r="BG252" t="s">
        <v>74</v>
      </c>
      <c r="BH252" t="s">
        <v>74</v>
      </c>
      <c r="BI252">
        <v>5</v>
      </c>
      <c r="BJ252" t="s">
        <v>4790</v>
      </c>
      <c r="BK252" t="s">
        <v>100</v>
      </c>
      <c r="BL252" t="s">
        <v>4790</v>
      </c>
      <c r="BM252" t="s">
        <v>4791</v>
      </c>
      <c r="BN252" t="s">
        <v>74</v>
      </c>
      <c r="BO252" t="s">
        <v>74</v>
      </c>
      <c r="BP252" t="s">
        <v>74</v>
      </c>
      <c r="BQ252" t="s">
        <v>74</v>
      </c>
      <c r="BR252" t="s">
        <v>103</v>
      </c>
      <c r="BS252" t="s">
        <v>4792</v>
      </c>
      <c r="BT252" t="str">
        <f>HYPERLINK("https%3A%2F%2Fwww.webofscience.com%2Fwos%2Fwoscc%2Ffull-record%2FWOS:000291632700009","View Full Record in Web of Science")</f>
        <v>View Full Record in Web of Science</v>
      </c>
    </row>
    <row r="253" spans="1:72" x14ac:dyDescent="0.15">
      <c r="A253" t="s">
        <v>72</v>
      </c>
      <c r="B253" t="s">
        <v>4793</v>
      </c>
      <c r="C253" t="s">
        <v>74</v>
      </c>
      <c r="D253" t="s">
        <v>74</v>
      </c>
      <c r="E253" t="s">
        <v>74</v>
      </c>
      <c r="F253" t="s">
        <v>4794</v>
      </c>
      <c r="G253" t="s">
        <v>74</v>
      </c>
      <c r="H253" t="s">
        <v>74</v>
      </c>
      <c r="I253" t="s">
        <v>4795</v>
      </c>
      <c r="J253" t="s">
        <v>4796</v>
      </c>
      <c r="K253" t="s">
        <v>74</v>
      </c>
      <c r="L253" t="s">
        <v>74</v>
      </c>
      <c r="M253" t="s">
        <v>78</v>
      </c>
      <c r="N253" t="s">
        <v>79</v>
      </c>
      <c r="O253" t="s">
        <v>74</v>
      </c>
      <c r="P253" t="s">
        <v>74</v>
      </c>
      <c r="Q253" t="s">
        <v>74</v>
      </c>
      <c r="R253" t="s">
        <v>74</v>
      </c>
      <c r="S253" t="s">
        <v>74</v>
      </c>
      <c r="T253" t="s">
        <v>74</v>
      </c>
      <c r="U253" t="s">
        <v>4797</v>
      </c>
      <c r="V253" t="s">
        <v>4798</v>
      </c>
      <c r="W253" t="s">
        <v>4799</v>
      </c>
      <c r="X253" t="s">
        <v>4800</v>
      </c>
      <c r="Y253" t="s">
        <v>4801</v>
      </c>
      <c r="Z253" t="s">
        <v>4802</v>
      </c>
      <c r="AA253" t="s">
        <v>74</v>
      </c>
      <c r="AB253" t="s">
        <v>2171</v>
      </c>
      <c r="AC253" t="s">
        <v>4803</v>
      </c>
      <c r="AD253" t="s">
        <v>4804</v>
      </c>
      <c r="AE253" t="s">
        <v>4805</v>
      </c>
      <c r="AF253" t="s">
        <v>74</v>
      </c>
      <c r="AG253">
        <v>15</v>
      </c>
      <c r="AH253">
        <v>10</v>
      </c>
      <c r="AI253">
        <v>11</v>
      </c>
      <c r="AJ253">
        <v>0</v>
      </c>
      <c r="AK253">
        <v>6</v>
      </c>
      <c r="AL253" t="s">
        <v>4806</v>
      </c>
      <c r="AM253" t="s">
        <v>4807</v>
      </c>
      <c r="AN253" t="s">
        <v>4808</v>
      </c>
      <c r="AO253" t="s">
        <v>74</v>
      </c>
      <c r="AP253" t="s">
        <v>4809</v>
      </c>
      <c r="AQ253" t="s">
        <v>74</v>
      </c>
      <c r="AR253" t="s">
        <v>4810</v>
      </c>
      <c r="AS253" t="s">
        <v>4811</v>
      </c>
      <c r="AT253" t="s">
        <v>3902</v>
      </c>
      <c r="AU253">
        <v>2011</v>
      </c>
      <c r="AV253">
        <v>67</v>
      </c>
      <c r="AW253" t="s">
        <v>74</v>
      </c>
      <c r="AX253">
        <v>7</v>
      </c>
      <c r="AY253" t="s">
        <v>74</v>
      </c>
      <c r="AZ253" t="s">
        <v>74</v>
      </c>
      <c r="BA253" t="s">
        <v>74</v>
      </c>
      <c r="BB253">
        <v>800</v>
      </c>
      <c r="BC253">
        <v>802</v>
      </c>
      <c r="BD253" t="s">
        <v>74</v>
      </c>
      <c r="BE253" t="s">
        <v>4812</v>
      </c>
      <c r="BF253" t="str">
        <f>HYPERLINK("http://dx.doi.org/10.1107/S1744309111018446","http://dx.doi.org/10.1107/S1744309111018446")</f>
        <v>http://dx.doi.org/10.1107/S1744309111018446</v>
      </c>
      <c r="BG253" t="s">
        <v>74</v>
      </c>
      <c r="BH253" t="s">
        <v>74</v>
      </c>
      <c r="BI253">
        <v>3</v>
      </c>
      <c r="BJ253" t="s">
        <v>4813</v>
      </c>
      <c r="BK253" t="s">
        <v>100</v>
      </c>
      <c r="BL253" t="s">
        <v>4814</v>
      </c>
      <c r="BM253" t="s">
        <v>4815</v>
      </c>
      <c r="BN253">
        <v>21795798</v>
      </c>
      <c r="BO253" t="s">
        <v>702</v>
      </c>
      <c r="BP253" t="s">
        <v>74</v>
      </c>
      <c r="BQ253" t="s">
        <v>74</v>
      </c>
      <c r="BR253" t="s">
        <v>103</v>
      </c>
      <c r="BS253" t="s">
        <v>4816</v>
      </c>
      <c r="BT253" t="str">
        <f>HYPERLINK("https%3A%2F%2Fwww.webofscience.com%2Fwos%2Fwoscc%2Ffull-record%2FWOS:000293191400016","View Full Record in Web of Science")</f>
        <v>View Full Record in Web of Science</v>
      </c>
    </row>
    <row r="254" spans="1:72" x14ac:dyDescent="0.15">
      <c r="A254" t="s">
        <v>72</v>
      </c>
      <c r="B254" t="s">
        <v>4817</v>
      </c>
      <c r="C254" t="s">
        <v>74</v>
      </c>
      <c r="D254" t="s">
        <v>74</v>
      </c>
      <c r="E254" t="s">
        <v>74</v>
      </c>
      <c r="F254" t="s">
        <v>4818</v>
      </c>
      <c r="G254" t="s">
        <v>74</v>
      </c>
      <c r="H254" t="s">
        <v>74</v>
      </c>
      <c r="I254" t="s">
        <v>4819</v>
      </c>
      <c r="J254" t="s">
        <v>4435</v>
      </c>
      <c r="K254" t="s">
        <v>74</v>
      </c>
      <c r="L254" t="s">
        <v>74</v>
      </c>
      <c r="M254" t="s">
        <v>78</v>
      </c>
      <c r="N254" t="s">
        <v>79</v>
      </c>
      <c r="O254" t="s">
        <v>74</v>
      </c>
      <c r="P254" t="s">
        <v>74</v>
      </c>
      <c r="Q254" t="s">
        <v>74</v>
      </c>
      <c r="R254" t="s">
        <v>74</v>
      </c>
      <c r="S254" t="s">
        <v>74</v>
      </c>
      <c r="T254" t="s">
        <v>4820</v>
      </c>
      <c r="U254" t="s">
        <v>4821</v>
      </c>
      <c r="V254" t="s">
        <v>4822</v>
      </c>
      <c r="W254" t="s">
        <v>4823</v>
      </c>
      <c r="X254" t="s">
        <v>4824</v>
      </c>
      <c r="Y254" t="s">
        <v>4825</v>
      </c>
      <c r="Z254" t="s">
        <v>4826</v>
      </c>
      <c r="AA254" t="s">
        <v>4827</v>
      </c>
      <c r="AB254" t="s">
        <v>4828</v>
      </c>
      <c r="AC254" t="s">
        <v>4829</v>
      </c>
      <c r="AD254" t="s">
        <v>4830</v>
      </c>
      <c r="AE254" t="s">
        <v>4831</v>
      </c>
      <c r="AF254" t="s">
        <v>74</v>
      </c>
      <c r="AG254">
        <v>77</v>
      </c>
      <c r="AH254">
        <v>42</v>
      </c>
      <c r="AI254">
        <v>42</v>
      </c>
      <c r="AJ254">
        <v>0</v>
      </c>
      <c r="AK254">
        <v>33</v>
      </c>
      <c r="AL254" t="s">
        <v>926</v>
      </c>
      <c r="AM254" t="s">
        <v>508</v>
      </c>
      <c r="AN254" t="s">
        <v>927</v>
      </c>
      <c r="AO254" t="s">
        <v>4448</v>
      </c>
      <c r="AP254" t="s">
        <v>4449</v>
      </c>
      <c r="AQ254" t="s">
        <v>74</v>
      </c>
      <c r="AR254" t="s">
        <v>4450</v>
      </c>
      <c r="AS254" t="s">
        <v>4451</v>
      </c>
      <c r="AT254" t="s">
        <v>3902</v>
      </c>
      <c r="AU254">
        <v>2011</v>
      </c>
      <c r="AV254">
        <v>45</v>
      </c>
      <c r="AW254">
        <v>23</v>
      </c>
      <c r="AX254" t="s">
        <v>74</v>
      </c>
      <c r="AY254" t="s">
        <v>74</v>
      </c>
      <c r="AZ254" t="s">
        <v>74</v>
      </c>
      <c r="BA254" t="s">
        <v>74</v>
      </c>
      <c r="BB254">
        <v>3856</v>
      </c>
      <c r="BC254">
        <v>3866</v>
      </c>
      <c r="BD254" t="s">
        <v>74</v>
      </c>
      <c r="BE254" t="s">
        <v>4832</v>
      </c>
      <c r="BF254" t="str">
        <f>HYPERLINK("http://dx.doi.org/10.1016/j.atmosenv.2011.03.027","http://dx.doi.org/10.1016/j.atmosenv.2011.03.027")</f>
        <v>http://dx.doi.org/10.1016/j.atmosenv.2011.03.027</v>
      </c>
      <c r="BG254" t="s">
        <v>74</v>
      </c>
      <c r="BH254" t="s">
        <v>74</v>
      </c>
      <c r="BI254">
        <v>11</v>
      </c>
      <c r="BJ254" t="s">
        <v>4453</v>
      </c>
      <c r="BK254" t="s">
        <v>100</v>
      </c>
      <c r="BL254" t="s">
        <v>4454</v>
      </c>
      <c r="BM254" t="s">
        <v>4833</v>
      </c>
      <c r="BN254" t="s">
        <v>74</v>
      </c>
      <c r="BO254" t="s">
        <v>1025</v>
      </c>
      <c r="BP254" t="s">
        <v>74</v>
      </c>
      <c r="BQ254" t="s">
        <v>74</v>
      </c>
      <c r="BR254" t="s">
        <v>103</v>
      </c>
      <c r="BS254" t="s">
        <v>4834</v>
      </c>
      <c r="BT254" t="str">
        <f>HYPERLINK("https%3A%2F%2Fwww.webofscience.com%2Fwos%2Fwoscc%2Ffull-record%2FWOS:000292679500010","View Full Record in Web of Science")</f>
        <v>View Full Record in Web of Science</v>
      </c>
    </row>
    <row r="255" spans="1:72" x14ac:dyDescent="0.15">
      <c r="A255" t="s">
        <v>72</v>
      </c>
      <c r="B255" t="s">
        <v>4835</v>
      </c>
      <c r="C255" t="s">
        <v>74</v>
      </c>
      <c r="D255" t="s">
        <v>74</v>
      </c>
      <c r="E255" t="s">
        <v>74</v>
      </c>
      <c r="F255" t="s">
        <v>4836</v>
      </c>
      <c r="G255" t="s">
        <v>74</v>
      </c>
      <c r="H255" t="s">
        <v>74</v>
      </c>
      <c r="I255" t="s">
        <v>4837</v>
      </c>
      <c r="J255" t="s">
        <v>4838</v>
      </c>
      <c r="K255" t="s">
        <v>74</v>
      </c>
      <c r="L255" t="s">
        <v>74</v>
      </c>
      <c r="M255" t="s">
        <v>78</v>
      </c>
      <c r="N255" t="s">
        <v>79</v>
      </c>
      <c r="O255" t="s">
        <v>74</v>
      </c>
      <c r="P255" t="s">
        <v>74</v>
      </c>
      <c r="Q255" t="s">
        <v>74</v>
      </c>
      <c r="R255" t="s">
        <v>74</v>
      </c>
      <c r="S255" t="s">
        <v>74</v>
      </c>
      <c r="T255" t="s">
        <v>4839</v>
      </c>
      <c r="U255" t="s">
        <v>4840</v>
      </c>
      <c r="V255" t="s">
        <v>4841</v>
      </c>
      <c r="W255" t="s">
        <v>4842</v>
      </c>
      <c r="X255" t="s">
        <v>4843</v>
      </c>
      <c r="Y255" t="s">
        <v>4844</v>
      </c>
      <c r="Z255" t="s">
        <v>4845</v>
      </c>
      <c r="AA255" t="s">
        <v>4846</v>
      </c>
      <c r="AB255" t="s">
        <v>4847</v>
      </c>
      <c r="AC255" t="s">
        <v>4848</v>
      </c>
      <c r="AD255" t="s">
        <v>2067</v>
      </c>
      <c r="AE255" t="s">
        <v>74</v>
      </c>
      <c r="AF255" t="s">
        <v>74</v>
      </c>
      <c r="AG255">
        <v>28</v>
      </c>
      <c r="AH255">
        <v>47</v>
      </c>
      <c r="AI255">
        <v>70</v>
      </c>
      <c r="AJ255">
        <v>0</v>
      </c>
      <c r="AK255">
        <v>68</v>
      </c>
      <c r="AL255" t="s">
        <v>4849</v>
      </c>
      <c r="AM255" t="s">
        <v>4850</v>
      </c>
      <c r="AN255" t="s">
        <v>4851</v>
      </c>
      <c r="AO255" t="s">
        <v>4852</v>
      </c>
      <c r="AP255" t="s">
        <v>4853</v>
      </c>
      <c r="AQ255" t="s">
        <v>74</v>
      </c>
      <c r="AR255" t="s">
        <v>4838</v>
      </c>
      <c r="AS255" t="s">
        <v>4838</v>
      </c>
      <c r="AT255" t="s">
        <v>3902</v>
      </c>
      <c r="AU255">
        <v>2011</v>
      </c>
      <c r="AV255">
        <v>128</v>
      </c>
      <c r="AW255">
        <v>3</v>
      </c>
      <c r="AX255" t="s">
        <v>74</v>
      </c>
      <c r="AY255" t="s">
        <v>74</v>
      </c>
      <c r="AZ255" t="s">
        <v>74</v>
      </c>
      <c r="BA255" t="s">
        <v>74</v>
      </c>
      <c r="BB255">
        <v>448</v>
      </c>
      <c r="BC255">
        <v>453</v>
      </c>
      <c r="BD255" t="s">
        <v>74</v>
      </c>
      <c r="BE255" t="s">
        <v>4854</v>
      </c>
      <c r="BF255" t="str">
        <f>HYPERLINK("http://dx.doi.org/10.1525/auk.2011.11091","http://dx.doi.org/10.1525/auk.2011.11091")</f>
        <v>http://dx.doi.org/10.1525/auk.2011.11091</v>
      </c>
      <c r="BG255" t="s">
        <v>74</v>
      </c>
      <c r="BH255" t="s">
        <v>74</v>
      </c>
      <c r="BI255">
        <v>6</v>
      </c>
      <c r="BJ255" t="s">
        <v>4855</v>
      </c>
      <c r="BK255" t="s">
        <v>100</v>
      </c>
      <c r="BL255" t="s">
        <v>3232</v>
      </c>
      <c r="BM255" t="s">
        <v>4856</v>
      </c>
      <c r="BN255" t="s">
        <v>74</v>
      </c>
      <c r="BO255" t="s">
        <v>152</v>
      </c>
      <c r="BP255" t="s">
        <v>74</v>
      </c>
      <c r="BQ255" t="s">
        <v>74</v>
      </c>
      <c r="BR255" t="s">
        <v>103</v>
      </c>
      <c r="BS255" t="s">
        <v>4857</v>
      </c>
      <c r="BT255" t="str">
        <f>HYPERLINK("https%3A%2F%2Fwww.webofscience.com%2Fwos%2Fwoscc%2Ffull-record%2FWOS:000293307300002","View Full Record in Web of Science")</f>
        <v>View Full Record in Web of Science</v>
      </c>
    </row>
    <row r="256" spans="1:72" x14ac:dyDescent="0.15">
      <c r="A256" t="s">
        <v>72</v>
      </c>
      <c r="B256" t="s">
        <v>4858</v>
      </c>
      <c r="C256" t="s">
        <v>74</v>
      </c>
      <c r="D256" t="s">
        <v>74</v>
      </c>
      <c r="E256" t="s">
        <v>74</v>
      </c>
      <c r="F256" t="s">
        <v>4859</v>
      </c>
      <c r="G256" t="s">
        <v>74</v>
      </c>
      <c r="H256" t="s">
        <v>74</v>
      </c>
      <c r="I256" t="s">
        <v>4860</v>
      </c>
      <c r="J256" t="s">
        <v>4838</v>
      </c>
      <c r="K256" t="s">
        <v>74</v>
      </c>
      <c r="L256" t="s">
        <v>74</v>
      </c>
      <c r="M256" t="s">
        <v>78</v>
      </c>
      <c r="N256" t="s">
        <v>79</v>
      </c>
      <c r="O256" t="s">
        <v>74</v>
      </c>
      <c r="P256" t="s">
        <v>74</v>
      </c>
      <c r="Q256" t="s">
        <v>74</v>
      </c>
      <c r="R256" t="s">
        <v>74</v>
      </c>
      <c r="S256" t="s">
        <v>74</v>
      </c>
      <c r="T256" t="s">
        <v>4861</v>
      </c>
      <c r="U256" t="s">
        <v>4862</v>
      </c>
      <c r="V256" t="s">
        <v>4863</v>
      </c>
      <c r="W256" t="s">
        <v>4864</v>
      </c>
      <c r="X256" t="s">
        <v>4865</v>
      </c>
      <c r="Y256" t="s">
        <v>4866</v>
      </c>
      <c r="Z256" t="s">
        <v>4867</v>
      </c>
      <c r="AA256" t="s">
        <v>74</v>
      </c>
      <c r="AB256" t="s">
        <v>4868</v>
      </c>
      <c r="AC256" t="s">
        <v>4869</v>
      </c>
      <c r="AD256" t="s">
        <v>4870</v>
      </c>
      <c r="AE256" t="s">
        <v>4871</v>
      </c>
      <c r="AF256" t="s">
        <v>74</v>
      </c>
      <c r="AG256">
        <v>38</v>
      </c>
      <c r="AH256">
        <v>82</v>
      </c>
      <c r="AI256">
        <v>105</v>
      </c>
      <c r="AJ256">
        <v>0</v>
      </c>
      <c r="AK256">
        <v>63</v>
      </c>
      <c r="AL256" t="s">
        <v>4872</v>
      </c>
      <c r="AM256" t="s">
        <v>4873</v>
      </c>
      <c r="AN256" t="s">
        <v>4874</v>
      </c>
      <c r="AO256" t="s">
        <v>4852</v>
      </c>
      <c r="AP256" t="s">
        <v>4853</v>
      </c>
      <c r="AQ256" t="s">
        <v>74</v>
      </c>
      <c r="AR256" t="s">
        <v>4838</v>
      </c>
      <c r="AS256" t="s">
        <v>4838</v>
      </c>
      <c r="AT256" t="s">
        <v>3902</v>
      </c>
      <c r="AU256">
        <v>2011</v>
      </c>
      <c r="AV256">
        <v>128</v>
      </c>
      <c r="AW256">
        <v>3</v>
      </c>
      <c r="AX256" t="s">
        <v>74</v>
      </c>
      <c r="AY256" t="s">
        <v>74</v>
      </c>
      <c r="AZ256" t="s">
        <v>74</v>
      </c>
      <c r="BA256" t="s">
        <v>74</v>
      </c>
      <c r="BB256">
        <v>531</v>
      </c>
      <c r="BC256">
        <v>542</v>
      </c>
      <c r="BD256" t="s">
        <v>74</v>
      </c>
      <c r="BE256" t="s">
        <v>4875</v>
      </c>
      <c r="BF256" t="str">
        <f>HYPERLINK("http://dx.doi.org/10.1525/auk.2011.10280","http://dx.doi.org/10.1525/auk.2011.10280")</f>
        <v>http://dx.doi.org/10.1525/auk.2011.10280</v>
      </c>
      <c r="BG256" t="s">
        <v>74</v>
      </c>
      <c r="BH256" t="s">
        <v>74</v>
      </c>
      <c r="BI256">
        <v>12</v>
      </c>
      <c r="BJ256" t="s">
        <v>4855</v>
      </c>
      <c r="BK256" t="s">
        <v>100</v>
      </c>
      <c r="BL256" t="s">
        <v>3232</v>
      </c>
      <c r="BM256" t="s">
        <v>4856</v>
      </c>
      <c r="BN256" t="s">
        <v>74</v>
      </c>
      <c r="BO256" t="s">
        <v>152</v>
      </c>
      <c r="BP256" t="s">
        <v>74</v>
      </c>
      <c r="BQ256" t="s">
        <v>74</v>
      </c>
      <c r="BR256" t="s">
        <v>103</v>
      </c>
      <c r="BS256" t="s">
        <v>4876</v>
      </c>
      <c r="BT256" t="str">
        <f>HYPERLINK("https%3A%2F%2Fwww.webofscience.com%2Fwos%2Fwoscc%2Ffull-record%2FWOS:000293307300011","View Full Record in Web of Science")</f>
        <v>View Full Record in Web of Science</v>
      </c>
    </row>
    <row r="257" spans="1:72" x14ac:dyDescent="0.15">
      <c r="A257" t="s">
        <v>72</v>
      </c>
      <c r="B257" t="s">
        <v>4072</v>
      </c>
      <c r="C257" t="s">
        <v>74</v>
      </c>
      <c r="D257" t="s">
        <v>74</v>
      </c>
      <c r="E257" t="s">
        <v>74</v>
      </c>
      <c r="F257" t="s">
        <v>4073</v>
      </c>
      <c r="G257" t="s">
        <v>74</v>
      </c>
      <c r="H257" t="s">
        <v>74</v>
      </c>
      <c r="I257" t="s">
        <v>4877</v>
      </c>
      <c r="J257" t="s">
        <v>4878</v>
      </c>
      <c r="K257" t="s">
        <v>74</v>
      </c>
      <c r="L257" t="s">
        <v>74</v>
      </c>
      <c r="M257" t="s">
        <v>4879</v>
      </c>
      <c r="N257" t="s">
        <v>79</v>
      </c>
      <c r="O257" t="s">
        <v>74</v>
      </c>
      <c r="P257" t="s">
        <v>74</v>
      </c>
      <c r="Q257" t="s">
        <v>74</v>
      </c>
      <c r="R257" t="s">
        <v>74</v>
      </c>
      <c r="S257" t="s">
        <v>74</v>
      </c>
      <c r="T257" t="s">
        <v>74</v>
      </c>
      <c r="U257" t="s">
        <v>74</v>
      </c>
      <c r="V257" t="s">
        <v>4880</v>
      </c>
      <c r="W257" t="s">
        <v>4881</v>
      </c>
      <c r="X257" t="s">
        <v>4079</v>
      </c>
      <c r="Y257" t="s">
        <v>4882</v>
      </c>
      <c r="Z257" t="s">
        <v>4081</v>
      </c>
      <c r="AA257" t="s">
        <v>4082</v>
      </c>
      <c r="AB257" t="s">
        <v>74</v>
      </c>
      <c r="AC257" t="s">
        <v>74</v>
      </c>
      <c r="AD257" t="s">
        <v>74</v>
      </c>
      <c r="AE257" t="s">
        <v>74</v>
      </c>
      <c r="AF257" t="s">
        <v>74</v>
      </c>
      <c r="AG257">
        <v>16</v>
      </c>
      <c r="AH257">
        <v>0</v>
      </c>
      <c r="AI257">
        <v>0</v>
      </c>
      <c r="AJ257">
        <v>0</v>
      </c>
      <c r="AK257">
        <v>4</v>
      </c>
      <c r="AL257" t="s">
        <v>4883</v>
      </c>
      <c r="AM257" t="s">
        <v>4221</v>
      </c>
      <c r="AN257" t="s">
        <v>4884</v>
      </c>
      <c r="AO257" t="s">
        <v>4885</v>
      </c>
      <c r="AP257" t="s">
        <v>4083</v>
      </c>
      <c r="AQ257" t="s">
        <v>74</v>
      </c>
      <c r="AR257" t="s">
        <v>4886</v>
      </c>
      <c r="AS257" t="s">
        <v>4887</v>
      </c>
      <c r="AT257" t="s">
        <v>4476</v>
      </c>
      <c r="AU257">
        <v>2011</v>
      </c>
      <c r="AV257">
        <v>37</v>
      </c>
      <c r="AW257">
        <v>4</v>
      </c>
      <c r="AX257" t="s">
        <v>74</v>
      </c>
      <c r="AY257" t="s">
        <v>74</v>
      </c>
      <c r="AZ257" t="s">
        <v>74</v>
      </c>
      <c r="BA257" t="s">
        <v>74</v>
      </c>
      <c r="BB257">
        <v>254</v>
      </c>
      <c r="BC257">
        <v>261</v>
      </c>
      <c r="BD257" t="s">
        <v>74</v>
      </c>
      <c r="BE257" t="s">
        <v>74</v>
      </c>
      <c r="BF257" t="s">
        <v>74</v>
      </c>
      <c r="BG257" t="s">
        <v>74</v>
      </c>
      <c r="BH257" t="s">
        <v>74</v>
      </c>
      <c r="BI257">
        <v>8</v>
      </c>
      <c r="BJ257" t="s">
        <v>700</v>
      </c>
      <c r="BK257" t="s">
        <v>100</v>
      </c>
      <c r="BL257" t="s">
        <v>700</v>
      </c>
      <c r="BM257" t="s">
        <v>4888</v>
      </c>
      <c r="BN257" t="s">
        <v>74</v>
      </c>
      <c r="BO257" t="s">
        <v>74</v>
      </c>
      <c r="BP257" t="s">
        <v>74</v>
      </c>
      <c r="BQ257" t="s">
        <v>74</v>
      </c>
      <c r="BR257" t="s">
        <v>103</v>
      </c>
      <c r="BS257" t="s">
        <v>4889</v>
      </c>
      <c r="BT257" t="str">
        <f>HYPERLINK("https%3A%2F%2Fwww.webofscience.com%2Fwos%2Fwoscc%2Ffull-record%2FWOS:000209676100003","View Full Record in Web of Science")</f>
        <v>View Full Record in Web of Science</v>
      </c>
    </row>
    <row r="258" spans="1:72" x14ac:dyDescent="0.15">
      <c r="A258" t="s">
        <v>72</v>
      </c>
      <c r="B258" t="s">
        <v>4890</v>
      </c>
      <c r="C258" t="s">
        <v>74</v>
      </c>
      <c r="D258" t="s">
        <v>74</v>
      </c>
      <c r="E258" t="s">
        <v>74</v>
      </c>
      <c r="F258" t="s">
        <v>4891</v>
      </c>
      <c r="G258" t="s">
        <v>74</v>
      </c>
      <c r="H258" t="s">
        <v>74</v>
      </c>
      <c r="I258" t="s">
        <v>4892</v>
      </c>
      <c r="J258" t="s">
        <v>4893</v>
      </c>
      <c r="K258" t="s">
        <v>74</v>
      </c>
      <c r="L258" t="s">
        <v>74</v>
      </c>
      <c r="M258" t="s">
        <v>78</v>
      </c>
      <c r="N258" t="s">
        <v>79</v>
      </c>
      <c r="O258" t="s">
        <v>74</v>
      </c>
      <c r="P258" t="s">
        <v>74</v>
      </c>
      <c r="Q258" t="s">
        <v>74</v>
      </c>
      <c r="R258" t="s">
        <v>74</v>
      </c>
      <c r="S258" t="s">
        <v>74</v>
      </c>
      <c r="T258" t="s">
        <v>74</v>
      </c>
      <c r="U258" t="s">
        <v>4894</v>
      </c>
      <c r="V258" t="s">
        <v>4895</v>
      </c>
      <c r="W258" t="s">
        <v>4896</v>
      </c>
      <c r="X258" t="s">
        <v>4897</v>
      </c>
      <c r="Y258" t="s">
        <v>4898</v>
      </c>
      <c r="Z258" t="s">
        <v>4899</v>
      </c>
      <c r="AA258" t="s">
        <v>4900</v>
      </c>
      <c r="AB258" t="s">
        <v>4901</v>
      </c>
      <c r="AC258" t="s">
        <v>4902</v>
      </c>
      <c r="AD258" t="s">
        <v>4903</v>
      </c>
      <c r="AE258" t="s">
        <v>4904</v>
      </c>
      <c r="AF258" t="s">
        <v>74</v>
      </c>
      <c r="AG258">
        <v>88</v>
      </c>
      <c r="AH258">
        <v>11</v>
      </c>
      <c r="AI258">
        <v>12</v>
      </c>
      <c r="AJ258">
        <v>0</v>
      </c>
      <c r="AK258">
        <v>0</v>
      </c>
      <c r="AL258" t="s">
        <v>4905</v>
      </c>
      <c r="AM258" t="s">
        <v>4906</v>
      </c>
      <c r="AN258" t="s">
        <v>4907</v>
      </c>
      <c r="AO258" t="s">
        <v>4908</v>
      </c>
      <c r="AP258" t="s">
        <v>4909</v>
      </c>
      <c r="AQ258" t="s">
        <v>74</v>
      </c>
      <c r="AR258" t="s">
        <v>4910</v>
      </c>
      <c r="AS258" t="s">
        <v>4911</v>
      </c>
      <c r="AT258" t="s">
        <v>3879</v>
      </c>
      <c r="AU258">
        <v>2011</v>
      </c>
      <c r="AV258">
        <v>122</v>
      </c>
      <c r="AW258">
        <v>3</v>
      </c>
      <c r="AX258" t="s">
        <v>74</v>
      </c>
      <c r="AY258" t="s">
        <v>74</v>
      </c>
      <c r="AZ258" t="s">
        <v>74</v>
      </c>
      <c r="BA258" t="s">
        <v>74</v>
      </c>
      <c r="BB258">
        <v>333</v>
      </c>
      <c r="BC258">
        <v>344</v>
      </c>
      <c r="BD258" t="s">
        <v>74</v>
      </c>
      <c r="BE258" t="s">
        <v>74</v>
      </c>
      <c r="BF258" t="s">
        <v>74</v>
      </c>
      <c r="BG258" t="s">
        <v>74</v>
      </c>
      <c r="BH258" t="s">
        <v>74</v>
      </c>
      <c r="BI258">
        <v>12</v>
      </c>
      <c r="BJ258" t="s">
        <v>131</v>
      </c>
      <c r="BK258" t="s">
        <v>2132</v>
      </c>
      <c r="BL258" t="s">
        <v>131</v>
      </c>
      <c r="BM258" t="s">
        <v>4912</v>
      </c>
      <c r="BN258" t="s">
        <v>74</v>
      </c>
      <c r="BO258" t="s">
        <v>74</v>
      </c>
      <c r="BP258" t="s">
        <v>74</v>
      </c>
      <c r="BQ258" t="s">
        <v>74</v>
      </c>
      <c r="BR258" t="s">
        <v>103</v>
      </c>
      <c r="BS258" t="s">
        <v>4913</v>
      </c>
      <c r="BT258" t="str">
        <f>HYPERLINK("https%3A%2F%2Fwww.webofscience.com%2Fwos%2Fwoscc%2Ffull-record%2FWOS:000422373300004","View Full Record in Web of Science")</f>
        <v>View Full Record in Web of Science</v>
      </c>
    </row>
    <row r="259" spans="1:72" x14ac:dyDescent="0.15">
      <c r="A259" t="s">
        <v>72</v>
      </c>
      <c r="B259" t="s">
        <v>4914</v>
      </c>
      <c r="C259" t="s">
        <v>74</v>
      </c>
      <c r="D259" t="s">
        <v>74</v>
      </c>
      <c r="E259" t="s">
        <v>74</v>
      </c>
      <c r="F259" t="s">
        <v>4915</v>
      </c>
      <c r="G259" t="s">
        <v>74</v>
      </c>
      <c r="H259" t="s">
        <v>74</v>
      </c>
      <c r="I259" t="s">
        <v>4916</v>
      </c>
      <c r="J259" t="s">
        <v>4917</v>
      </c>
      <c r="K259" t="s">
        <v>74</v>
      </c>
      <c r="L259" t="s">
        <v>74</v>
      </c>
      <c r="M259" t="s">
        <v>78</v>
      </c>
      <c r="N259" t="s">
        <v>79</v>
      </c>
      <c r="O259" t="s">
        <v>74</v>
      </c>
      <c r="P259" t="s">
        <v>74</v>
      </c>
      <c r="Q259" t="s">
        <v>74</v>
      </c>
      <c r="R259" t="s">
        <v>74</v>
      </c>
      <c r="S259" t="s">
        <v>74</v>
      </c>
      <c r="T259" t="s">
        <v>74</v>
      </c>
      <c r="U259" t="s">
        <v>4918</v>
      </c>
      <c r="V259" t="s">
        <v>4919</v>
      </c>
      <c r="W259" t="s">
        <v>4920</v>
      </c>
      <c r="X259" t="s">
        <v>4921</v>
      </c>
      <c r="Y259" t="s">
        <v>4922</v>
      </c>
      <c r="Z259" t="s">
        <v>4923</v>
      </c>
      <c r="AA259" t="s">
        <v>4924</v>
      </c>
      <c r="AB259" t="s">
        <v>4925</v>
      </c>
      <c r="AC259" t="s">
        <v>4926</v>
      </c>
      <c r="AD259" t="s">
        <v>4927</v>
      </c>
      <c r="AE259" t="s">
        <v>4928</v>
      </c>
      <c r="AF259" t="s">
        <v>74</v>
      </c>
      <c r="AG259">
        <v>82</v>
      </c>
      <c r="AH259">
        <v>21</v>
      </c>
      <c r="AI259">
        <v>27</v>
      </c>
      <c r="AJ259">
        <v>4</v>
      </c>
      <c r="AK259">
        <v>46</v>
      </c>
      <c r="AL259" t="s">
        <v>1323</v>
      </c>
      <c r="AM259" t="s">
        <v>1324</v>
      </c>
      <c r="AN259" t="s">
        <v>1325</v>
      </c>
      <c r="AO259" t="s">
        <v>4929</v>
      </c>
      <c r="AP259" t="s">
        <v>4930</v>
      </c>
      <c r="AQ259" t="s">
        <v>74</v>
      </c>
      <c r="AR259" t="s">
        <v>4917</v>
      </c>
      <c r="AS259" t="s">
        <v>4931</v>
      </c>
      <c r="AT259" t="s">
        <v>3902</v>
      </c>
      <c r="AU259">
        <v>2011</v>
      </c>
      <c r="AV259">
        <v>40</v>
      </c>
      <c r="AW259">
        <v>3</v>
      </c>
      <c r="AX259" t="s">
        <v>74</v>
      </c>
      <c r="AY259" t="s">
        <v>74</v>
      </c>
      <c r="AZ259" t="s">
        <v>74</v>
      </c>
      <c r="BA259" t="s">
        <v>74</v>
      </c>
      <c r="BB259">
        <v>468</v>
      </c>
      <c r="BC259">
        <v>480</v>
      </c>
      <c r="BD259" t="s">
        <v>74</v>
      </c>
      <c r="BE259" t="s">
        <v>4932</v>
      </c>
      <c r="BF259" t="str">
        <f>HYPERLINK("http://dx.doi.org/10.1111/j.1502-3885.2010.00198.x","http://dx.doi.org/10.1111/j.1502-3885.2010.00198.x")</f>
        <v>http://dx.doi.org/10.1111/j.1502-3885.2010.00198.x</v>
      </c>
      <c r="BG259" t="s">
        <v>74</v>
      </c>
      <c r="BH259" t="s">
        <v>74</v>
      </c>
      <c r="BI259">
        <v>13</v>
      </c>
      <c r="BJ259" t="s">
        <v>1496</v>
      </c>
      <c r="BK259" t="s">
        <v>100</v>
      </c>
      <c r="BL259" t="s">
        <v>1497</v>
      </c>
      <c r="BM259" t="s">
        <v>4933</v>
      </c>
      <c r="BN259" t="s">
        <v>74</v>
      </c>
      <c r="BO259" t="s">
        <v>74</v>
      </c>
      <c r="BP259" t="s">
        <v>74</v>
      </c>
      <c r="BQ259" t="s">
        <v>74</v>
      </c>
      <c r="BR259" t="s">
        <v>103</v>
      </c>
      <c r="BS259" t="s">
        <v>4934</v>
      </c>
      <c r="BT259" t="str">
        <f>HYPERLINK("https%3A%2F%2Fwww.webofscience.com%2Fwos%2Fwoscc%2Ffull-record%2FWOS:000292106800006","View Full Record in Web of Science")</f>
        <v>View Full Record in Web of Science</v>
      </c>
    </row>
    <row r="260" spans="1:72" x14ac:dyDescent="0.15">
      <c r="A260" t="s">
        <v>72</v>
      </c>
      <c r="B260" t="s">
        <v>4935</v>
      </c>
      <c r="C260" t="s">
        <v>74</v>
      </c>
      <c r="D260" t="s">
        <v>74</v>
      </c>
      <c r="E260" t="s">
        <v>74</v>
      </c>
      <c r="F260" t="s">
        <v>4936</v>
      </c>
      <c r="G260" t="s">
        <v>74</v>
      </c>
      <c r="H260" t="s">
        <v>74</v>
      </c>
      <c r="I260" t="s">
        <v>4937</v>
      </c>
      <c r="J260" t="s">
        <v>4917</v>
      </c>
      <c r="K260" t="s">
        <v>74</v>
      </c>
      <c r="L260" t="s">
        <v>74</v>
      </c>
      <c r="M260" t="s">
        <v>78</v>
      </c>
      <c r="N260" t="s">
        <v>79</v>
      </c>
      <c r="O260" t="s">
        <v>74</v>
      </c>
      <c r="P260" t="s">
        <v>74</v>
      </c>
      <c r="Q260" t="s">
        <v>74</v>
      </c>
      <c r="R260" t="s">
        <v>74</v>
      </c>
      <c r="S260" t="s">
        <v>74</v>
      </c>
      <c r="T260" t="s">
        <v>74</v>
      </c>
      <c r="U260" t="s">
        <v>4938</v>
      </c>
      <c r="V260" t="s">
        <v>4939</v>
      </c>
      <c r="W260" t="s">
        <v>4940</v>
      </c>
      <c r="X260" t="s">
        <v>4941</v>
      </c>
      <c r="Y260" t="s">
        <v>4942</v>
      </c>
      <c r="Z260" t="s">
        <v>4943</v>
      </c>
      <c r="AA260" t="s">
        <v>4944</v>
      </c>
      <c r="AB260" t="s">
        <v>4945</v>
      </c>
      <c r="AC260" t="s">
        <v>4946</v>
      </c>
      <c r="AD260" t="s">
        <v>4947</v>
      </c>
      <c r="AE260" t="s">
        <v>4948</v>
      </c>
      <c r="AF260" t="s">
        <v>74</v>
      </c>
      <c r="AG260">
        <v>91</v>
      </c>
      <c r="AH260">
        <v>37</v>
      </c>
      <c r="AI260">
        <v>38</v>
      </c>
      <c r="AJ260">
        <v>0</v>
      </c>
      <c r="AK260">
        <v>7</v>
      </c>
      <c r="AL260" t="s">
        <v>1323</v>
      </c>
      <c r="AM260" t="s">
        <v>1324</v>
      </c>
      <c r="AN260" t="s">
        <v>1325</v>
      </c>
      <c r="AO260" t="s">
        <v>4929</v>
      </c>
      <c r="AP260" t="s">
        <v>4930</v>
      </c>
      <c r="AQ260" t="s">
        <v>74</v>
      </c>
      <c r="AR260" t="s">
        <v>4917</v>
      </c>
      <c r="AS260" t="s">
        <v>4931</v>
      </c>
      <c r="AT260" t="s">
        <v>3902</v>
      </c>
      <c r="AU260">
        <v>2011</v>
      </c>
      <c r="AV260">
        <v>40</v>
      </c>
      <c r="AW260">
        <v>3</v>
      </c>
      <c r="AX260" t="s">
        <v>74</v>
      </c>
      <c r="AY260" t="s">
        <v>74</v>
      </c>
      <c r="AZ260" t="s">
        <v>74</v>
      </c>
      <c r="BA260" t="s">
        <v>74</v>
      </c>
      <c r="BB260">
        <v>498</v>
      </c>
      <c r="BC260">
        <v>517</v>
      </c>
      <c r="BD260" t="s">
        <v>74</v>
      </c>
      <c r="BE260" t="s">
        <v>4949</v>
      </c>
      <c r="BF260" t="str">
        <f>HYPERLINK("http://dx.doi.org/10.1111/j.1502-3885.2010.00199.x","http://dx.doi.org/10.1111/j.1502-3885.2010.00199.x")</f>
        <v>http://dx.doi.org/10.1111/j.1502-3885.2010.00199.x</v>
      </c>
      <c r="BG260" t="s">
        <v>74</v>
      </c>
      <c r="BH260" t="s">
        <v>74</v>
      </c>
      <c r="BI260">
        <v>20</v>
      </c>
      <c r="BJ260" t="s">
        <v>1496</v>
      </c>
      <c r="BK260" t="s">
        <v>100</v>
      </c>
      <c r="BL260" t="s">
        <v>1497</v>
      </c>
      <c r="BM260" t="s">
        <v>4933</v>
      </c>
      <c r="BN260" t="s">
        <v>74</v>
      </c>
      <c r="BO260" t="s">
        <v>74</v>
      </c>
      <c r="BP260" t="s">
        <v>74</v>
      </c>
      <c r="BQ260" t="s">
        <v>74</v>
      </c>
      <c r="BR260" t="s">
        <v>103</v>
      </c>
      <c r="BS260" t="s">
        <v>4950</v>
      </c>
      <c r="BT260" t="str">
        <f>HYPERLINK("https%3A%2F%2Fwww.webofscience.com%2Fwos%2Fwoscc%2Ffull-record%2FWOS:000292106800008","View Full Record in Web of Science")</f>
        <v>View Full Record in Web of Science</v>
      </c>
    </row>
    <row r="261" spans="1:72" x14ac:dyDescent="0.15">
      <c r="A261" t="s">
        <v>72</v>
      </c>
      <c r="B261" t="s">
        <v>4951</v>
      </c>
      <c r="C261" t="s">
        <v>74</v>
      </c>
      <c r="D261" t="s">
        <v>74</v>
      </c>
      <c r="E261" t="s">
        <v>74</v>
      </c>
      <c r="F261" t="s">
        <v>4952</v>
      </c>
      <c r="G261" t="s">
        <v>74</v>
      </c>
      <c r="H261" t="s">
        <v>74</v>
      </c>
      <c r="I261" t="s">
        <v>4953</v>
      </c>
      <c r="J261" t="s">
        <v>4917</v>
      </c>
      <c r="K261" t="s">
        <v>74</v>
      </c>
      <c r="L261" t="s">
        <v>74</v>
      </c>
      <c r="M261" t="s">
        <v>78</v>
      </c>
      <c r="N261" t="s">
        <v>79</v>
      </c>
      <c r="O261" t="s">
        <v>74</v>
      </c>
      <c r="P261" t="s">
        <v>74</v>
      </c>
      <c r="Q261" t="s">
        <v>74</v>
      </c>
      <c r="R261" t="s">
        <v>74</v>
      </c>
      <c r="S261" t="s">
        <v>74</v>
      </c>
      <c r="T261" t="s">
        <v>74</v>
      </c>
      <c r="U261" t="s">
        <v>4954</v>
      </c>
      <c r="V261" t="s">
        <v>4955</v>
      </c>
      <c r="W261" t="s">
        <v>4956</v>
      </c>
      <c r="X261" t="s">
        <v>4957</v>
      </c>
      <c r="Y261" t="s">
        <v>4958</v>
      </c>
      <c r="Z261" t="s">
        <v>4959</v>
      </c>
      <c r="AA261" t="s">
        <v>4960</v>
      </c>
      <c r="AB261" t="s">
        <v>4961</v>
      </c>
      <c r="AC261" t="s">
        <v>4962</v>
      </c>
      <c r="AD261" t="s">
        <v>4963</v>
      </c>
      <c r="AE261" t="s">
        <v>4964</v>
      </c>
      <c r="AF261" t="s">
        <v>74</v>
      </c>
      <c r="AG261">
        <v>79</v>
      </c>
      <c r="AH261">
        <v>53</v>
      </c>
      <c r="AI261">
        <v>53</v>
      </c>
      <c r="AJ261">
        <v>0</v>
      </c>
      <c r="AK261">
        <v>17</v>
      </c>
      <c r="AL261" t="s">
        <v>1323</v>
      </c>
      <c r="AM261" t="s">
        <v>1324</v>
      </c>
      <c r="AN261" t="s">
        <v>1325</v>
      </c>
      <c r="AO261" t="s">
        <v>4929</v>
      </c>
      <c r="AP261" t="s">
        <v>4930</v>
      </c>
      <c r="AQ261" t="s">
        <v>74</v>
      </c>
      <c r="AR261" t="s">
        <v>4917</v>
      </c>
      <c r="AS261" t="s">
        <v>4931</v>
      </c>
      <c r="AT261" t="s">
        <v>3902</v>
      </c>
      <c r="AU261">
        <v>2011</v>
      </c>
      <c r="AV261">
        <v>40</v>
      </c>
      <c r="AW261">
        <v>3</v>
      </c>
      <c r="AX261" t="s">
        <v>74</v>
      </c>
      <c r="AY261" t="s">
        <v>74</v>
      </c>
      <c r="AZ261" t="s">
        <v>74</v>
      </c>
      <c r="BA261" t="s">
        <v>74</v>
      </c>
      <c r="BB261">
        <v>536</v>
      </c>
      <c r="BC261">
        <v>554</v>
      </c>
      <c r="BD261" t="s">
        <v>74</v>
      </c>
      <c r="BE261" t="s">
        <v>4965</v>
      </c>
      <c r="BF261" t="str">
        <f>HYPERLINK("http://dx.doi.org/10.1111/j.1502-3885.2010.00202.x","http://dx.doi.org/10.1111/j.1502-3885.2010.00202.x")</f>
        <v>http://dx.doi.org/10.1111/j.1502-3885.2010.00202.x</v>
      </c>
      <c r="BG261" t="s">
        <v>74</v>
      </c>
      <c r="BH261" t="s">
        <v>74</v>
      </c>
      <c r="BI261">
        <v>19</v>
      </c>
      <c r="BJ261" t="s">
        <v>1496</v>
      </c>
      <c r="BK261" t="s">
        <v>100</v>
      </c>
      <c r="BL261" t="s">
        <v>1497</v>
      </c>
      <c r="BM261" t="s">
        <v>4933</v>
      </c>
      <c r="BN261" t="s">
        <v>74</v>
      </c>
      <c r="BO261" t="s">
        <v>273</v>
      </c>
      <c r="BP261" t="s">
        <v>74</v>
      </c>
      <c r="BQ261" t="s">
        <v>74</v>
      </c>
      <c r="BR261" t="s">
        <v>103</v>
      </c>
      <c r="BS261" t="s">
        <v>4966</v>
      </c>
      <c r="BT261" t="str">
        <f>HYPERLINK("https%3A%2F%2Fwww.webofscience.com%2Fwos%2Fwoscc%2Ffull-record%2FWOS:000292106800011","View Full Record in Web of Science")</f>
        <v>View Full Record in Web of Science</v>
      </c>
    </row>
    <row r="262" spans="1:72" x14ac:dyDescent="0.15">
      <c r="A262" t="s">
        <v>72</v>
      </c>
      <c r="B262" t="s">
        <v>4967</v>
      </c>
      <c r="C262" t="s">
        <v>74</v>
      </c>
      <c r="D262" t="s">
        <v>74</v>
      </c>
      <c r="E262" t="s">
        <v>74</v>
      </c>
      <c r="F262" t="s">
        <v>4968</v>
      </c>
      <c r="G262" t="s">
        <v>74</v>
      </c>
      <c r="H262" t="s">
        <v>74</v>
      </c>
      <c r="I262" t="s">
        <v>4969</v>
      </c>
      <c r="J262" t="s">
        <v>3864</v>
      </c>
      <c r="K262" t="s">
        <v>74</v>
      </c>
      <c r="L262" t="s">
        <v>74</v>
      </c>
      <c r="M262" t="s">
        <v>78</v>
      </c>
      <c r="N262" t="s">
        <v>79</v>
      </c>
      <c r="O262" t="s">
        <v>74</v>
      </c>
      <c r="P262" t="s">
        <v>74</v>
      </c>
      <c r="Q262" t="s">
        <v>74</v>
      </c>
      <c r="R262" t="s">
        <v>74</v>
      </c>
      <c r="S262" t="s">
        <v>74</v>
      </c>
      <c r="T262" t="s">
        <v>4970</v>
      </c>
      <c r="U262" t="s">
        <v>4971</v>
      </c>
      <c r="V262" t="s">
        <v>4972</v>
      </c>
      <c r="W262" t="s">
        <v>4973</v>
      </c>
      <c r="X262" t="s">
        <v>4974</v>
      </c>
      <c r="Y262" t="s">
        <v>4975</v>
      </c>
      <c r="Z262" t="s">
        <v>4976</v>
      </c>
      <c r="AA262" t="s">
        <v>4977</v>
      </c>
      <c r="AB262" t="s">
        <v>4978</v>
      </c>
      <c r="AC262" t="s">
        <v>4979</v>
      </c>
      <c r="AD262" t="s">
        <v>4980</v>
      </c>
      <c r="AE262" t="s">
        <v>4981</v>
      </c>
      <c r="AF262" t="s">
        <v>74</v>
      </c>
      <c r="AG262">
        <v>42</v>
      </c>
      <c r="AH262">
        <v>106</v>
      </c>
      <c r="AI262">
        <v>113</v>
      </c>
      <c r="AJ262">
        <v>0</v>
      </c>
      <c r="AK262">
        <v>21</v>
      </c>
      <c r="AL262" t="s">
        <v>1441</v>
      </c>
      <c r="AM262" t="s">
        <v>91</v>
      </c>
      <c r="AN262" t="s">
        <v>1902</v>
      </c>
      <c r="AO262" t="s">
        <v>3875</v>
      </c>
      <c r="AP262" t="s">
        <v>3876</v>
      </c>
      <c r="AQ262" t="s">
        <v>74</v>
      </c>
      <c r="AR262" t="s">
        <v>3877</v>
      </c>
      <c r="AS262" t="s">
        <v>3878</v>
      </c>
      <c r="AT262" t="s">
        <v>3879</v>
      </c>
      <c r="AU262">
        <v>2011</v>
      </c>
      <c r="AV262">
        <v>42</v>
      </c>
      <c r="AW262">
        <v>3</v>
      </c>
      <c r="AX262" t="s">
        <v>74</v>
      </c>
      <c r="AY262" t="s">
        <v>74</v>
      </c>
      <c r="AZ262" t="s">
        <v>74</v>
      </c>
      <c r="BA262" t="s">
        <v>74</v>
      </c>
      <c r="BB262">
        <v>937</v>
      </c>
      <c r="BC262">
        <v>947</v>
      </c>
      <c r="BD262" t="s">
        <v>74</v>
      </c>
      <c r="BE262" t="s">
        <v>4982</v>
      </c>
      <c r="BF262" t="str">
        <f>HYPERLINK("http://dx.doi.org/10.1590/S1517-83822011000300012","http://dx.doi.org/10.1590/S1517-83822011000300012")</f>
        <v>http://dx.doi.org/10.1590/S1517-83822011000300012</v>
      </c>
      <c r="BG262" t="s">
        <v>74</v>
      </c>
      <c r="BH262" t="s">
        <v>74</v>
      </c>
      <c r="BI262">
        <v>11</v>
      </c>
      <c r="BJ262" t="s">
        <v>892</v>
      </c>
      <c r="BK262" t="s">
        <v>100</v>
      </c>
      <c r="BL262" t="s">
        <v>892</v>
      </c>
      <c r="BM262" t="s">
        <v>3881</v>
      </c>
      <c r="BN262">
        <v>24031709</v>
      </c>
      <c r="BO262" t="s">
        <v>198</v>
      </c>
      <c r="BP262" t="s">
        <v>74</v>
      </c>
      <c r="BQ262" t="s">
        <v>74</v>
      </c>
      <c r="BR262" t="s">
        <v>103</v>
      </c>
      <c r="BS262" t="s">
        <v>4983</v>
      </c>
      <c r="BT262" t="str">
        <f>HYPERLINK("https%3A%2F%2Fwww.webofscience.com%2Fwos%2Fwoscc%2Ffull-record%2FWOS:000297756800012","View Full Record in Web of Science")</f>
        <v>View Full Record in Web of Science</v>
      </c>
    </row>
    <row r="263" spans="1:72" x14ac:dyDescent="0.15">
      <c r="A263" t="s">
        <v>72</v>
      </c>
      <c r="B263" t="s">
        <v>4984</v>
      </c>
      <c r="C263" t="s">
        <v>74</v>
      </c>
      <c r="D263" t="s">
        <v>74</v>
      </c>
      <c r="E263" t="s">
        <v>74</v>
      </c>
      <c r="F263" t="s">
        <v>4985</v>
      </c>
      <c r="G263" t="s">
        <v>74</v>
      </c>
      <c r="H263" t="s">
        <v>74</v>
      </c>
      <c r="I263" t="s">
        <v>4986</v>
      </c>
      <c r="J263" t="s">
        <v>4987</v>
      </c>
      <c r="K263" t="s">
        <v>74</v>
      </c>
      <c r="L263" t="s">
        <v>74</v>
      </c>
      <c r="M263" t="s">
        <v>78</v>
      </c>
      <c r="N263" t="s">
        <v>79</v>
      </c>
      <c r="O263" t="s">
        <v>74</v>
      </c>
      <c r="P263" t="s">
        <v>74</v>
      </c>
      <c r="Q263" t="s">
        <v>74</v>
      </c>
      <c r="R263" t="s">
        <v>74</v>
      </c>
      <c r="S263" t="s">
        <v>74</v>
      </c>
      <c r="T263" t="s">
        <v>4988</v>
      </c>
      <c r="U263" t="s">
        <v>4989</v>
      </c>
      <c r="V263" t="s">
        <v>4990</v>
      </c>
      <c r="W263" t="s">
        <v>4991</v>
      </c>
      <c r="X263" t="s">
        <v>4992</v>
      </c>
      <c r="Y263" t="s">
        <v>4993</v>
      </c>
      <c r="Z263" t="s">
        <v>4994</v>
      </c>
      <c r="AA263" t="s">
        <v>4995</v>
      </c>
      <c r="AB263" t="s">
        <v>4996</v>
      </c>
      <c r="AC263" t="s">
        <v>4997</v>
      </c>
      <c r="AD263" t="s">
        <v>4998</v>
      </c>
      <c r="AE263" t="s">
        <v>4999</v>
      </c>
      <c r="AF263" t="s">
        <v>74</v>
      </c>
      <c r="AG263">
        <v>41</v>
      </c>
      <c r="AH263">
        <v>45</v>
      </c>
      <c r="AI263">
        <v>48</v>
      </c>
      <c r="AJ263">
        <v>0</v>
      </c>
      <c r="AK263">
        <v>31</v>
      </c>
      <c r="AL263" t="s">
        <v>1441</v>
      </c>
      <c r="AM263" t="s">
        <v>1442</v>
      </c>
      <c r="AN263" t="s">
        <v>1443</v>
      </c>
      <c r="AO263" t="s">
        <v>5000</v>
      </c>
      <c r="AP263" t="s">
        <v>5001</v>
      </c>
      <c r="AQ263" t="s">
        <v>74</v>
      </c>
      <c r="AR263" t="s">
        <v>5002</v>
      </c>
      <c r="AS263" t="s">
        <v>5003</v>
      </c>
      <c r="AT263" t="s">
        <v>3902</v>
      </c>
      <c r="AU263">
        <v>2011</v>
      </c>
      <c r="AV263">
        <v>16</v>
      </c>
      <c r="AW263">
        <v>4</v>
      </c>
      <c r="AX263" t="s">
        <v>74</v>
      </c>
      <c r="AY263" t="s">
        <v>74</v>
      </c>
      <c r="AZ263" t="s">
        <v>74</v>
      </c>
      <c r="BA263" t="s">
        <v>74</v>
      </c>
      <c r="BB263">
        <v>403</v>
      </c>
      <c r="BC263">
        <v>410</v>
      </c>
      <c r="BD263" t="s">
        <v>74</v>
      </c>
      <c r="BE263" t="s">
        <v>5004</v>
      </c>
      <c r="BF263" t="str">
        <f>HYPERLINK("http://dx.doi.org/10.1007/s12192-010-0251-5","http://dx.doi.org/10.1007/s12192-010-0251-5")</f>
        <v>http://dx.doi.org/10.1007/s12192-010-0251-5</v>
      </c>
      <c r="BG263" t="s">
        <v>74</v>
      </c>
      <c r="BH263" t="s">
        <v>74</v>
      </c>
      <c r="BI263">
        <v>8</v>
      </c>
      <c r="BJ263" t="s">
        <v>5005</v>
      </c>
      <c r="BK263" t="s">
        <v>100</v>
      </c>
      <c r="BL263" t="s">
        <v>5005</v>
      </c>
      <c r="BM263" t="s">
        <v>5006</v>
      </c>
      <c r="BN263">
        <v>21188662</v>
      </c>
      <c r="BO263" t="s">
        <v>1557</v>
      </c>
      <c r="BP263" t="s">
        <v>74</v>
      </c>
      <c r="BQ263" t="s">
        <v>74</v>
      </c>
      <c r="BR263" t="s">
        <v>103</v>
      </c>
      <c r="BS263" t="s">
        <v>5007</v>
      </c>
      <c r="BT263" t="str">
        <f>HYPERLINK("https%3A%2F%2Fwww.webofscience.com%2Fwos%2Fwoscc%2Ffull-record%2FWOS:000291883900005","View Full Record in Web of Science")</f>
        <v>View Full Record in Web of Science</v>
      </c>
    </row>
    <row r="264" spans="1:72" x14ac:dyDescent="0.15">
      <c r="A264" t="s">
        <v>72</v>
      </c>
      <c r="B264" t="s">
        <v>5008</v>
      </c>
      <c r="C264" t="s">
        <v>74</v>
      </c>
      <c r="D264" t="s">
        <v>74</v>
      </c>
      <c r="E264" t="s">
        <v>74</v>
      </c>
      <c r="F264" t="s">
        <v>5009</v>
      </c>
      <c r="G264" t="s">
        <v>74</v>
      </c>
      <c r="H264" t="s">
        <v>74</v>
      </c>
      <c r="I264" t="s">
        <v>5010</v>
      </c>
      <c r="J264" t="s">
        <v>5011</v>
      </c>
      <c r="K264" t="s">
        <v>74</v>
      </c>
      <c r="L264" t="s">
        <v>74</v>
      </c>
      <c r="M264" t="s">
        <v>78</v>
      </c>
      <c r="N264" t="s">
        <v>79</v>
      </c>
      <c r="O264" t="s">
        <v>74</v>
      </c>
      <c r="P264" t="s">
        <v>74</v>
      </c>
      <c r="Q264" t="s">
        <v>74</v>
      </c>
      <c r="R264" t="s">
        <v>74</v>
      </c>
      <c r="S264" t="s">
        <v>74</v>
      </c>
      <c r="T264" t="s">
        <v>5012</v>
      </c>
      <c r="U264" t="s">
        <v>5013</v>
      </c>
      <c r="V264" t="s">
        <v>5014</v>
      </c>
      <c r="W264" t="s">
        <v>5015</v>
      </c>
      <c r="X264" t="s">
        <v>5016</v>
      </c>
      <c r="Y264" t="s">
        <v>5017</v>
      </c>
      <c r="Z264" t="s">
        <v>5018</v>
      </c>
      <c r="AA264" t="s">
        <v>5019</v>
      </c>
      <c r="AB264" t="s">
        <v>5020</v>
      </c>
      <c r="AC264" t="s">
        <v>5021</v>
      </c>
      <c r="AD264" t="s">
        <v>5022</v>
      </c>
      <c r="AE264" t="s">
        <v>5023</v>
      </c>
      <c r="AF264" t="s">
        <v>74</v>
      </c>
      <c r="AG264">
        <v>34</v>
      </c>
      <c r="AH264">
        <v>6</v>
      </c>
      <c r="AI264">
        <v>7</v>
      </c>
      <c r="AJ264">
        <v>5</v>
      </c>
      <c r="AK264">
        <v>19</v>
      </c>
      <c r="AL264" t="s">
        <v>1441</v>
      </c>
      <c r="AM264" t="s">
        <v>91</v>
      </c>
      <c r="AN264" t="s">
        <v>1902</v>
      </c>
      <c r="AO264" t="s">
        <v>5024</v>
      </c>
      <c r="AP264" t="s">
        <v>5025</v>
      </c>
      <c r="AQ264" t="s">
        <v>74</v>
      </c>
      <c r="AR264" t="s">
        <v>5026</v>
      </c>
      <c r="AS264" t="s">
        <v>5027</v>
      </c>
      <c r="AT264" t="s">
        <v>3902</v>
      </c>
      <c r="AU264">
        <v>2011</v>
      </c>
      <c r="AV264">
        <v>37</v>
      </c>
      <c r="AW264" t="s">
        <v>2154</v>
      </c>
      <c r="AX264" t="s">
        <v>74</v>
      </c>
      <c r="AY264" t="s">
        <v>74</v>
      </c>
      <c r="AZ264" t="s">
        <v>74</v>
      </c>
      <c r="BA264" t="s">
        <v>74</v>
      </c>
      <c r="BB264">
        <v>297</v>
      </c>
      <c r="BC264">
        <v>311</v>
      </c>
      <c r="BD264" t="s">
        <v>74</v>
      </c>
      <c r="BE264" t="s">
        <v>5028</v>
      </c>
      <c r="BF264" t="str">
        <f>HYPERLINK("http://dx.doi.org/10.1007/s00382-010-0981-1","http://dx.doi.org/10.1007/s00382-010-0981-1")</f>
        <v>http://dx.doi.org/10.1007/s00382-010-0981-1</v>
      </c>
      <c r="BG264" t="s">
        <v>74</v>
      </c>
      <c r="BH264" t="s">
        <v>74</v>
      </c>
      <c r="BI264">
        <v>15</v>
      </c>
      <c r="BJ264" t="s">
        <v>248</v>
      </c>
      <c r="BK264" t="s">
        <v>100</v>
      </c>
      <c r="BL264" t="s">
        <v>248</v>
      </c>
      <c r="BM264" t="s">
        <v>5029</v>
      </c>
      <c r="BN264" t="s">
        <v>74</v>
      </c>
      <c r="BO264" t="s">
        <v>273</v>
      </c>
      <c r="BP264" t="s">
        <v>74</v>
      </c>
      <c r="BQ264" t="s">
        <v>74</v>
      </c>
      <c r="BR264" t="s">
        <v>103</v>
      </c>
      <c r="BS264" t="s">
        <v>5030</v>
      </c>
      <c r="BT264" t="str">
        <f>HYPERLINK("https%3A%2F%2Fwww.webofscience.com%2Fwos%2Fwoscc%2Ffull-record%2FWOS:000293403000018","View Full Record in Web of Science")</f>
        <v>View Full Record in Web of Science</v>
      </c>
    </row>
    <row r="265" spans="1:72" x14ac:dyDescent="0.15">
      <c r="A265" t="s">
        <v>72</v>
      </c>
      <c r="B265" t="s">
        <v>5031</v>
      </c>
      <c r="C265" t="s">
        <v>74</v>
      </c>
      <c r="D265" t="s">
        <v>74</v>
      </c>
      <c r="E265" t="s">
        <v>74</v>
      </c>
      <c r="F265" t="s">
        <v>5032</v>
      </c>
      <c r="G265" t="s">
        <v>74</v>
      </c>
      <c r="H265" t="s">
        <v>74</v>
      </c>
      <c r="I265" t="s">
        <v>5033</v>
      </c>
      <c r="J265" t="s">
        <v>2207</v>
      </c>
      <c r="K265" t="s">
        <v>74</v>
      </c>
      <c r="L265" t="s">
        <v>74</v>
      </c>
      <c r="M265" t="s">
        <v>78</v>
      </c>
      <c r="N265" t="s">
        <v>79</v>
      </c>
      <c r="O265" t="s">
        <v>74</v>
      </c>
      <c r="P265" t="s">
        <v>74</v>
      </c>
      <c r="Q265" t="s">
        <v>74</v>
      </c>
      <c r="R265" t="s">
        <v>74</v>
      </c>
      <c r="S265" t="s">
        <v>74</v>
      </c>
      <c r="T265" t="s">
        <v>5034</v>
      </c>
      <c r="U265" t="s">
        <v>5035</v>
      </c>
      <c r="V265" t="s">
        <v>5036</v>
      </c>
      <c r="W265" t="s">
        <v>5037</v>
      </c>
      <c r="X265" t="s">
        <v>5038</v>
      </c>
      <c r="Y265" t="s">
        <v>5039</v>
      </c>
      <c r="Z265" t="s">
        <v>5040</v>
      </c>
      <c r="AA265" t="s">
        <v>5041</v>
      </c>
      <c r="AB265" t="s">
        <v>74</v>
      </c>
      <c r="AC265" t="s">
        <v>5042</v>
      </c>
      <c r="AD265" t="s">
        <v>2005</v>
      </c>
      <c r="AE265" t="s">
        <v>74</v>
      </c>
      <c r="AF265" t="s">
        <v>74</v>
      </c>
      <c r="AG265">
        <v>70</v>
      </c>
      <c r="AH265">
        <v>21</v>
      </c>
      <c r="AI265">
        <v>21</v>
      </c>
      <c r="AJ265">
        <v>1</v>
      </c>
      <c r="AK265">
        <v>19</v>
      </c>
      <c r="AL265" t="s">
        <v>926</v>
      </c>
      <c r="AM265" t="s">
        <v>508</v>
      </c>
      <c r="AN265" t="s">
        <v>927</v>
      </c>
      <c r="AO265" t="s">
        <v>2219</v>
      </c>
      <c r="AP265" t="s">
        <v>2220</v>
      </c>
      <c r="AQ265" t="s">
        <v>74</v>
      </c>
      <c r="AR265" t="s">
        <v>2221</v>
      </c>
      <c r="AS265" t="s">
        <v>2222</v>
      </c>
      <c r="AT265" t="s">
        <v>3902</v>
      </c>
      <c r="AU265">
        <v>2011</v>
      </c>
      <c r="AV265">
        <v>58</v>
      </c>
      <c r="AW265">
        <v>7</v>
      </c>
      <c r="AX265" t="s">
        <v>74</v>
      </c>
      <c r="AY265" t="s">
        <v>74</v>
      </c>
      <c r="AZ265" t="s">
        <v>74</v>
      </c>
      <c r="BA265" t="s">
        <v>74</v>
      </c>
      <c r="BB265">
        <v>725</v>
      </c>
      <c r="BC265">
        <v>732</v>
      </c>
      <c r="BD265" t="s">
        <v>74</v>
      </c>
      <c r="BE265" t="s">
        <v>5043</v>
      </c>
      <c r="BF265" t="str">
        <f>HYPERLINK("http://dx.doi.org/10.1016/j.dsr.2011.03.006","http://dx.doi.org/10.1016/j.dsr.2011.03.006")</f>
        <v>http://dx.doi.org/10.1016/j.dsr.2011.03.006</v>
      </c>
      <c r="BG265" t="s">
        <v>74</v>
      </c>
      <c r="BH265" t="s">
        <v>74</v>
      </c>
      <c r="BI265">
        <v>8</v>
      </c>
      <c r="BJ265" t="s">
        <v>271</v>
      </c>
      <c r="BK265" t="s">
        <v>100</v>
      </c>
      <c r="BL265" t="s">
        <v>271</v>
      </c>
      <c r="BM265" t="s">
        <v>5044</v>
      </c>
      <c r="BN265" t="s">
        <v>74</v>
      </c>
      <c r="BO265" t="s">
        <v>74</v>
      </c>
      <c r="BP265" t="s">
        <v>74</v>
      </c>
      <c r="BQ265" t="s">
        <v>74</v>
      </c>
      <c r="BR265" t="s">
        <v>103</v>
      </c>
      <c r="BS265" t="s">
        <v>5045</v>
      </c>
      <c r="BT265" t="str">
        <f>HYPERLINK("https%3A%2F%2Fwww.webofscience.com%2Fwos%2Fwoscc%2Ffull-record%2FWOS:000293425800001","View Full Record in Web of Science")</f>
        <v>View Full Record in Web of Science</v>
      </c>
    </row>
    <row r="266" spans="1:72" x14ac:dyDescent="0.15">
      <c r="A266" t="s">
        <v>72</v>
      </c>
      <c r="B266" t="s">
        <v>5046</v>
      </c>
      <c r="C266" t="s">
        <v>74</v>
      </c>
      <c r="D266" t="s">
        <v>74</v>
      </c>
      <c r="E266" t="s">
        <v>74</v>
      </c>
      <c r="F266" t="s">
        <v>5047</v>
      </c>
      <c r="G266" t="s">
        <v>74</v>
      </c>
      <c r="H266" t="s">
        <v>74</v>
      </c>
      <c r="I266" t="s">
        <v>5048</v>
      </c>
      <c r="J266" t="s">
        <v>4460</v>
      </c>
      <c r="K266" t="s">
        <v>74</v>
      </c>
      <c r="L266" t="s">
        <v>74</v>
      </c>
      <c r="M266" t="s">
        <v>78</v>
      </c>
      <c r="N266" t="s">
        <v>2002</v>
      </c>
      <c r="O266" t="s">
        <v>74</v>
      </c>
      <c r="P266" t="s">
        <v>74</v>
      </c>
      <c r="Q266" t="s">
        <v>74</v>
      </c>
      <c r="R266" t="s">
        <v>74</v>
      </c>
      <c r="S266" t="s">
        <v>74</v>
      </c>
      <c r="T266" t="s">
        <v>74</v>
      </c>
      <c r="U266" t="s">
        <v>5049</v>
      </c>
      <c r="V266" t="s">
        <v>74</v>
      </c>
      <c r="W266" t="s">
        <v>5050</v>
      </c>
      <c r="X266" t="s">
        <v>5051</v>
      </c>
      <c r="Y266" t="s">
        <v>5052</v>
      </c>
      <c r="Z266" t="s">
        <v>5053</v>
      </c>
      <c r="AA266" t="s">
        <v>5054</v>
      </c>
      <c r="AB266" t="s">
        <v>5055</v>
      </c>
      <c r="AC266" t="s">
        <v>5056</v>
      </c>
      <c r="AD266" t="s">
        <v>5057</v>
      </c>
      <c r="AE266" t="s">
        <v>74</v>
      </c>
      <c r="AF266" t="s">
        <v>74</v>
      </c>
      <c r="AG266">
        <v>24</v>
      </c>
      <c r="AH266">
        <v>7</v>
      </c>
      <c r="AI266">
        <v>8</v>
      </c>
      <c r="AJ266">
        <v>0</v>
      </c>
      <c r="AK266">
        <v>16</v>
      </c>
      <c r="AL266" t="s">
        <v>926</v>
      </c>
      <c r="AM266" t="s">
        <v>508</v>
      </c>
      <c r="AN266" t="s">
        <v>927</v>
      </c>
      <c r="AO266" t="s">
        <v>4472</v>
      </c>
      <c r="AP266" t="s">
        <v>74</v>
      </c>
      <c r="AQ266" t="s">
        <v>74</v>
      </c>
      <c r="AR266" t="s">
        <v>4474</v>
      </c>
      <c r="AS266" t="s">
        <v>4475</v>
      </c>
      <c r="AT266" t="s">
        <v>4476</v>
      </c>
      <c r="AU266">
        <v>2011</v>
      </c>
      <c r="AV266">
        <v>58</v>
      </c>
      <c r="AW266" t="s">
        <v>4477</v>
      </c>
      <c r="AX266" t="s">
        <v>74</v>
      </c>
      <c r="AY266" t="s">
        <v>74</v>
      </c>
      <c r="AZ266" t="s">
        <v>74</v>
      </c>
      <c r="BA266" t="s">
        <v>74</v>
      </c>
      <c r="BB266">
        <v>1505</v>
      </c>
      <c r="BC266">
        <v>1507</v>
      </c>
      <c r="BD266" t="s">
        <v>74</v>
      </c>
      <c r="BE266" t="s">
        <v>5058</v>
      </c>
      <c r="BF266" t="str">
        <f>HYPERLINK("http://dx.doi.org/10.1016/j.dsr2.2011.02.001","http://dx.doi.org/10.1016/j.dsr2.2011.02.001")</f>
        <v>http://dx.doi.org/10.1016/j.dsr2.2011.02.001</v>
      </c>
      <c r="BG266" t="s">
        <v>74</v>
      </c>
      <c r="BH266" t="s">
        <v>74</v>
      </c>
      <c r="BI266">
        <v>3</v>
      </c>
      <c r="BJ266" t="s">
        <v>271</v>
      </c>
      <c r="BK266" t="s">
        <v>100</v>
      </c>
      <c r="BL266" t="s">
        <v>271</v>
      </c>
      <c r="BM266" t="s">
        <v>4479</v>
      </c>
      <c r="BN266" t="s">
        <v>74</v>
      </c>
      <c r="BO266" t="s">
        <v>74</v>
      </c>
      <c r="BP266" t="s">
        <v>74</v>
      </c>
      <c r="BQ266" t="s">
        <v>74</v>
      </c>
      <c r="BR266" t="s">
        <v>103</v>
      </c>
      <c r="BS266" t="s">
        <v>5059</v>
      </c>
      <c r="BT266" t="str">
        <f>HYPERLINK("https%3A%2F%2Fwww.webofscience.com%2Fwos%2Fwoscc%2Ffull-record%2FWOS:000292438600001","View Full Record in Web of Science")</f>
        <v>View Full Record in Web of Science</v>
      </c>
    </row>
    <row r="267" spans="1:72" x14ac:dyDescent="0.15">
      <c r="A267" t="s">
        <v>72</v>
      </c>
      <c r="B267" t="s">
        <v>5060</v>
      </c>
      <c r="C267" t="s">
        <v>74</v>
      </c>
      <c r="D267" t="s">
        <v>74</v>
      </c>
      <c r="E267" t="s">
        <v>74</v>
      </c>
      <c r="F267" t="s">
        <v>5061</v>
      </c>
      <c r="G267" t="s">
        <v>74</v>
      </c>
      <c r="H267" t="s">
        <v>74</v>
      </c>
      <c r="I267" t="s">
        <v>5062</v>
      </c>
      <c r="J267" t="s">
        <v>4460</v>
      </c>
      <c r="K267" t="s">
        <v>74</v>
      </c>
      <c r="L267" t="s">
        <v>74</v>
      </c>
      <c r="M267" t="s">
        <v>78</v>
      </c>
      <c r="N267" t="s">
        <v>79</v>
      </c>
      <c r="O267" t="s">
        <v>74</v>
      </c>
      <c r="P267" t="s">
        <v>74</v>
      </c>
      <c r="Q267" t="s">
        <v>74</v>
      </c>
      <c r="R267" t="s">
        <v>74</v>
      </c>
      <c r="S267" t="s">
        <v>74</v>
      </c>
      <c r="T267" t="s">
        <v>5063</v>
      </c>
      <c r="U267" t="s">
        <v>5064</v>
      </c>
      <c r="V267" t="s">
        <v>5065</v>
      </c>
      <c r="W267" t="s">
        <v>5066</v>
      </c>
      <c r="X267" t="s">
        <v>5067</v>
      </c>
      <c r="Y267" t="s">
        <v>5068</v>
      </c>
      <c r="Z267" t="s">
        <v>5069</v>
      </c>
      <c r="AA267" t="s">
        <v>5070</v>
      </c>
      <c r="AB267" t="s">
        <v>5071</v>
      </c>
      <c r="AC267" t="s">
        <v>5072</v>
      </c>
      <c r="AD267" t="s">
        <v>5073</v>
      </c>
      <c r="AE267" t="s">
        <v>5074</v>
      </c>
      <c r="AF267" t="s">
        <v>74</v>
      </c>
      <c r="AG267">
        <v>50</v>
      </c>
      <c r="AH267">
        <v>28</v>
      </c>
      <c r="AI267">
        <v>28</v>
      </c>
      <c r="AJ267">
        <v>0</v>
      </c>
      <c r="AK267">
        <v>22</v>
      </c>
      <c r="AL267" t="s">
        <v>926</v>
      </c>
      <c r="AM267" t="s">
        <v>508</v>
      </c>
      <c r="AN267" t="s">
        <v>927</v>
      </c>
      <c r="AO267" t="s">
        <v>4472</v>
      </c>
      <c r="AP267" t="s">
        <v>4473</v>
      </c>
      <c r="AQ267" t="s">
        <v>74</v>
      </c>
      <c r="AR267" t="s">
        <v>4474</v>
      </c>
      <c r="AS267" t="s">
        <v>4475</v>
      </c>
      <c r="AT267" t="s">
        <v>4476</v>
      </c>
      <c r="AU267">
        <v>2011</v>
      </c>
      <c r="AV267">
        <v>58</v>
      </c>
      <c r="AW267" t="s">
        <v>4477</v>
      </c>
      <c r="AX267" t="s">
        <v>74</v>
      </c>
      <c r="AY267" t="s">
        <v>74</v>
      </c>
      <c r="AZ267" t="s">
        <v>74</v>
      </c>
      <c r="BA267" t="s">
        <v>74</v>
      </c>
      <c r="BB267">
        <v>1540</v>
      </c>
      <c r="BC267">
        <v>1552</v>
      </c>
      <c r="BD267" t="s">
        <v>74</v>
      </c>
      <c r="BE267" t="s">
        <v>5075</v>
      </c>
      <c r="BF267" t="str">
        <f>HYPERLINK("http://dx.doi.org/10.1016/j.dsr2.2009.11.003","http://dx.doi.org/10.1016/j.dsr2.2009.11.003")</f>
        <v>http://dx.doi.org/10.1016/j.dsr2.2009.11.003</v>
      </c>
      <c r="BG267" t="s">
        <v>74</v>
      </c>
      <c r="BH267" t="s">
        <v>74</v>
      </c>
      <c r="BI267">
        <v>13</v>
      </c>
      <c r="BJ267" t="s">
        <v>271</v>
      </c>
      <c r="BK267" t="s">
        <v>100</v>
      </c>
      <c r="BL267" t="s">
        <v>271</v>
      </c>
      <c r="BM267" t="s">
        <v>4479</v>
      </c>
      <c r="BN267" t="s">
        <v>74</v>
      </c>
      <c r="BO267" t="s">
        <v>74</v>
      </c>
      <c r="BP267" t="s">
        <v>74</v>
      </c>
      <c r="BQ267" t="s">
        <v>74</v>
      </c>
      <c r="BR267" t="s">
        <v>103</v>
      </c>
      <c r="BS267" t="s">
        <v>5076</v>
      </c>
      <c r="BT267" t="str">
        <f>HYPERLINK("https%3A%2F%2Fwww.webofscience.com%2Fwos%2Fwoscc%2Ffull-record%2FWOS:000292438600004","View Full Record in Web of Science")</f>
        <v>View Full Record in Web of Science</v>
      </c>
    </row>
    <row r="268" spans="1:72" x14ac:dyDescent="0.15">
      <c r="A268" t="s">
        <v>72</v>
      </c>
      <c r="B268" t="s">
        <v>5077</v>
      </c>
      <c r="C268" t="s">
        <v>74</v>
      </c>
      <c r="D268" t="s">
        <v>74</v>
      </c>
      <c r="E268" t="s">
        <v>74</v>
      </c>
      <c r="F268" t="s">
        <v>5078</v>
      </c>
      <c r="G268" t="s">
        <v>74</v>
      </c>
      <c r="H268" t="s">
        <v>74</v>
      </c>
      <c r="I268" t="s">
        <v>5079</v>
      </c>
      <c r="J268" t="s">
        <v>4460</v>
      </c>
      <c r="K268" t="s">
        <v>74</v>
      </c>
      <c r="L268" t="s">
        <v>74</v>
      </c>
      <c r="M268" t="s">
        <v>78</v>
      </c>
      <c r="N268" t="s">
        <v>79</v>
      </c>
      <c r="O268" t="s">
        <v>74</v>
      </c>
      <c r="P268" t="s">
        <v>74</v>
      </c>
      <c r="Q268" t="s">
        <v>74</v>
      </c>
      <c r="R268" t="s">
        <v>74</v>
      </c>
      <c r="S268" t="s">
        <v>74</v>
      </c>
      <c r="T268" t="s">
        <v>5080</v>
      </c>
      <c r="U268" t="s">
        <v>5081</v>
      </c>
      <c r="V268" t="s">
        <v>5082</v>
      </c>
      <c r="W268" t="s">
        <v>5083</v>
      </c>
      <c r="X268" t="s">
        <v>5084</v>
      </c>
      <c r="Y268" t="s">
        <v>5085</v>
      </c>
      <c r="Z268" t="s">
        <v>5086</v>
      </c>
      <c r="AA268" t="s">
        <v>5087</v>
      </c>
      <c r="AB268" t="s">
        <v>5088</v>
      </c>
      <c r="AC268" t="s">
        <v>5089</v>
      </c>
      <c r="AD268" t="s">
        <v>5090</v>
      </c>
      <c r="AE268" t="s">
        <v>5091</v>
      </c>
      <c r="AF268" t="s">
        <v>74</v>
      </c>
      <c r="AG268">
        <v>34</v>
      </c>
      <c r="AH268">
        <v>25</v>
      </c>
      <c r="AI268">
        <v>29</v>
      </c>
      <c r="AJ268">
        <v>0</v>
      </c>
      <c r="AK268">
        <v>16</v>
      </c>
      <c r="AL268" t="s">
        <v>926</v>
      </c>
      <c r="AM268" t="s">
        <v>508</v>
      </c>
      <c r="AN268" t="s">
        <v>927</v>
      </c>
      <c r="AO268" t="s">
        <v>4472</v>
      </c>
      <c r="AP268" t="s">
        <v>4473</v>
      </c>
      <c r="AQ268" t="s">
        <v>74</v>
      </c>
      <c r="AR268" t="s">
        <v>4474</v>
      </c>
      <c r="AS268" t="s">
        <v>4475</v>
      </c>
      <c r="AT268" t="s">
        <v>4476</v>
      </c>
      <c r="AU268">
        <v>2011</v>
      </c>
      <c r="AV268">
        <v>58</v>
      </c>
      <c r="AW268" t="s">
        <v>4477</v>
      </c>
      <c r="AX268" t="s">
        <v>74</v>
      </c>
      <c r="AY268" t="s">
        <v>74</v>
      </c>
      <c r="AZ268" t="s">
        <v>74</v>
      </c>
      <c r="BA268" t="s">
        <v>74</v>
      </c>
      <c r="BB268">
        <v>1569</v>
      </c>
      <c r="BC268">
        <v>1579</v>
      </c>
      <c r="BD268" t="s">
        <v>74</v>
      </c>
      <c r="BE268" t="s">
        <v>5092</v>
      </c>
      <c r="BF268" t="str">
        <f>HYPERLINK("http://dx.doi.org/10.1016/j.dsr2.2009.07.008","http://dx.doi.org/10.1016/j.dsr2.2009.07.008")</f>
        <v>http://dx.doi.org/10.1016/j.dsr2.2009.07.008</v>
      </c>
      <c r="BG268" t="s">
        <v>74</v>
      </c>
      <c r="BH268" t="s">
        <v>74</v>
      </c>
      <c r="BI268">
        <v>11</v>
      </c>
      <c r="BJ268" t="s">
        <v>271</v>
      </c>
      <c r="BK268" t="s">
        <v>100</v>
      </c>
      <c r="BL268" t="s">
        <v>271</v>
      </c>
      <c r="BM268" t="s">
        <v>4479</v>
      </c>
      <c r="BN268" t="s">
        <v>74</v>
      </c>
      <c r="BO268" t="s">
        <v>74</v>
      </c>
      <c r="BP268" t="s">
        <v>74</v>
      </c>
      <c r="BQ268" t="s">
        <v>74</v>
      </c>
      <c r="BR268" t="s">
        <v>103</v>
      </c>
      <c r="BS268" t="s">
        <v>5093</v>
      </c>
      <c r="BT268" t="str">
        <f>HYPERLINK("https%3A%2F%2Fwww.webofscience.com%2Fwos%2Fwoscc%2Ffull-record%2FWOS:000292438600006","View Full Record in Web of Science")</f>
        <v>View Full Record in Web of Science</v>
      </c>
    </row>
    <row r="269" spans="1:72" x14ac:dyDescent="0.15">
      <c r="A269" t="s">
        <v>72</v>
      </c>
      <c r="B269" t="s">
        <v>4526</v>
      </c>
      <c r="C269" t="s">
        <v>74</v>
      </c>
      <c r="D269" t="s">
        <v>74</v>
      </c>
      <c r="E269" t="s">
        <v>74</v>
      </c>
      <c r="F269" t="s">
        <v>4527</v>
      </c>
      <c r="G269" t="s">
        <v>74</v>
      </c>
      <c r="H269" t="s">
        <v>74</v>
      </c>
      <c r="I269" t="s">
        <v>5094</v>
      </c>
      <c r="J269" t="s">
        <v>4460</v>
      </c>
      <c r="K269" t="s">
        <v>74</v>
      </c>
      <c r="L269" t="s">
        <v>74</v>
      </c>
      <c r="M269" t="s">
        <v>78</v>
      </c>
      <c r="N269" t="s">
        <v>79</v>
      </c>
      <c r="O269" t="s">
        <v>74</v>
      </c>
      <c r="P269" t="s">
        <v>74</v>
      </c>
      <c r="Q269" t="s">
        <v>74</v>
      </c>
      <c r="R269" t="s">
        <v>74</v>
      </c>
      <c r="S269" t="s">
        <v>74</v>
      </c>
      <c r="T269" t="s">
        <v>5095</v>
      </c>
      <c r="U269" t="s">
        <v>5096</v>
      </c>
      <c r="V269" t="s">
        <v>5097</v>
      </c>
      <c r="W269" t="s">
        <v>5098</v>
      </c>
      <c r="X269" t="s">
        <v>5099</v>
      </c>
      <c r="Y269" t="s">
        <v>5100</v>
      </c>
      <c r="Z269" t="s">
        <v>4535</v>
      </c>
      <c r="AA269" t="s">
        <v>74</v>
      </c>
      <c r="AB269" t="s">
        <v>74</v>
      </c>
      <c r="AC269" t="s">
        <v>74</v>
      </c>
      <c r="AD269" t="s">
        <v>74</v>
      </c>
      <c r="AE269" t="s">
        <v>74</v>
      </c>
      <c r="AF269" t="s">
        <v>74</v>
      </c>
      <c r="AG269">
        <v>85</v>
      </c>
      <c r="AH269">
        <v>21</v>
      </c>
      <c r="AI269">
        <v>27</v>
      </c>
      <c r="AJ269">
        <v>1</v>
      </c>
      <c r="AK269">
        <v>35</v>
      </c>
      <c r="AL269" t="s">
        <v>926</v>
      </c>
      <c r="AM269" t="s">
        <v>508</v>
      </c>
      <c r="AN269" t="s">
        <v>927</v>
      </c>
      <c r="AO269" t="s">
        <v>4472</v>
      </c>
      <c r="AP269" t="s">
        <v>4473</v>
      </c>
      <c r="AQ269" t="s">
        <v>74</v>
      </c>
      <c r="AR269" t="s">
        <v>4474</v>
      </c>
      <c r="AS269" t="s">
        <v>4475</v>
      </c>
      <c r="AT269" t="s">
        <v>4476</v>
      </c>
      <c r="AU269">
        <v>2011</v>
      </c>
      <c r="AV269">
        <v>58</v>
      </c>
      <c r="AW269" t="s">
        <v>4477</v>
      </c>
      <c r="AX269" t="s">
        <v>74</v>
      </c>
      <c r="AY269" t="s">
        <v>74</v>
      </c>
      <c r="AZ269" t="s">
        <v>74</v>
      </c>
      <c r="BA269" t="s">
        <v>74</v>
      </c>
      <c r="BB269">
        <v>1614</v>
      </c>
      <c r="BC269">
        <v>1629</v>
      </c>
      <c r="BD269" t="s">
        <v>74</v>
      </c>
      <c r="BE269" t="s">
        <v>5101</v>
      </c>
      <c r="BF269" t="str">
        <f>HYPERLINK("http://dx.doi.org/10.1016/j.dsr2.2010.12.006","http://dx.doi.org/10.1016/j.dsr2.2010.12.006")</f>
        <v>http://dx.doi.org/10.1016/j.dsr2.2010.12.006</v>
      </c>
      <c r="BG269" t="s">
        <v>74</v>
      </c>
      <c r="BH269" t="s">
        <v>74</v>
      </c>
      <c r="BI269">
        <v>16</v>
      </c>
      <c r="BJ269" t="s">
        <v>271</v>
      </c>
      <c r="BK269" t="s">
        <v>100</v>
      </c>
      <c r="BL269" t="s">
        <v>271</v>
      </c>
      <c r="BM269" t="s">
        <v>4479</v>
      </c>
      <c r="BN269" t="s">
        <v>74</v>
      </c>
      <c r="BO269" t="s">
        <v>74</v>
      </c>
      <c r="BP269" t="s">
        <v>74</v>
      </c>
      <c r="BQ269" t="s">
        <v>74</v>
      </c>
      <c r="BR269" t="s">
        <v>103</v>
      </c>
      <c r="BS269" t="s">
        <v>5102</v>
      </c>
      <c r="BT269" t="str">
        <f>HYPERLINK("https%3A%2F%2Fwww.webofscience.com%2Fwos%2Fwoscc%2Ffull-record%2FWOS:000292438600009","View Full Record in Web of Science")</f>
        <v>View Full Record in Web of Science</v>
      </c>
    </row>
    <row r="270" spans="1:72" x14ac:dyDescent="0.15">
      <c r="A270" t="s">
        <v>72</v>
      </c>
      <c r="B270" t="s">
        <v>5103</v>
      </c>
      <c r="C270" t="s">
        <v>74</v>
      </c>
      <c r="D270" t="s">
        <v>74</v>
      </c>
      <c r="E270" t="s">
        <v>74</v>
      </c>
      <c r="F270" t="s">
        <v>5104</v>
      </c>
      <c r="G270" t="s">
        <v>74</v>
      </c>
      <c r="H270" t="s">
        <v>74</v>
      </c>
      <c r="I270" t="s">
        <v>5105</v>
      </c>
      <c r="J270" t="s">
        <v>4460</v>
      </c>
      <c r="K270" t="s">
        <v>74</v>
      </c>
      <c r="L270" t="s">
        <v>74</v>
      </c>
      <c r="M270" t="s">
        <v>78</v>
      </c>
      <c r="N270" t="s">
        <v>79</v>
      </c>
      <c r="O270" t="s">
        <v>74</v>
      </c>
      <c r="P270" t="s">
        <v>74</v>
      </c>
      <c r="Q270" t="s">
        <v>74</v>
      </c>
      <c r="R270" t="s">
        <v>74</v>
      </c>
      <c r="S270" t="s">
        <v>74</v>
      </c>
      <c r="T270" t="s">
        <v>5106</v>
      </c>
      <c r="U270" t="s">
        <v>5107</v>
      </c>
      <c r="V270" t="s">
        <v>5108</v>
      </c>
      <c r="W270" t="s">
        <v>5109</v>
      </c>
      <c r="X270" t="s">
        <v>5110</v>
      </c>
      <c r="Y270" t="s">
        <v>5111</v>
      </c>
      <c r="Z270" t="s">
        <v>5112</v>
      </c>
      <c r="AA270" t="s">
        <v>74</v>
      </c>
      <c r="AB270" t="s">
        <v>5113</v>
      </c>
      <c r="AC270" t="s">
        <v>5114</v>
      </c>
      <c r="AD270" t="s">
        <v>5115</v>
      </c>
      <c r="AE270" t="s">
        <v>5116</v>
      </c>
      <c r="AF270" t="s">
        <v>74</v>
      </c>
      <c r="AG270">
        <v>89</v>
      </c>
      <c r="AH270">
        <v>30</v>
      </c>
      <c r="AI270">
        <v>41</v>
      </c>
      <c r="AJ270">
        <v>0</v>
      </c>
      <c r="AK270">
        <v>40</v>
      </c>
      <c r="AL270" t="s">
        <v>926</v>
      </c>
      <c r="AM270" t="s">
        <v>508</v>
      </c>
      <c r="AN270" t="s">
        <v>927</v>
      </c>
      <c r="AO270" t="s">
        <v>4472</v>
      </c>
      <c r="AP270" t="s">
        <v>4473</v>
      </c>
      <c r="AQ270" t="s">
        <v>74</v>
      </c>
      <c r="AR270" t="s">
        <v>4474</v>
      </c>
      <c r="AS270" t="s">
        <v>4475</v>
      </c>
      <c r="AT270" t="s">
        <v>4476</v>
      </c>
      <c r="AU270">
        <v>2011</v>
      </c>
      <c r="AV270">
        <v>58</v>
      </c>
      <c r="AW270" t="s">
        <v>4477</v>
      </c>
      <c r="AX270" t="s">
        <v>74</v>
      </c>
      <c r="AY270" t="s">
        <v>74</v>
      </c>
      <c r="AZ270" t="s">
        <v>74</v>
      </c>
      <c r="BA270" t="s">
        <v>74</v>
      </c>
      <c r="BB270">
        <v>1630</v>
      </c>
      <c r="BC270">
        <v>1651</v>
      </c>
      <c r="BD270" t="s">
        <v>74</v>
      </c>
      <c r="BE270" t="s">
        <v>5117</v>
      </c>
      <c r="BF270" t="str">
        <f>HYPERLINK("http://dx.doi.org/10.1016/j.dsr2.2010.11.015","http://dx.doi.org/10.1016/j.dsr2.2010.11.015")</f>
        <v>http://dx.doi.org/10.1016/j.dsr2.2010.11.015</v>
      </c>
      <c r="BG270" t="s">
        <v>74</v>
      </c>
      <c r="BH270" t="s">
        <v>74</v>
      </c>
      <c r="BI270">
        <v>22</v>
      </c>
      <c r="BJ270" t="s">
        <v>271</v>
      </c>
      <c r="BK270" t="s">
        <v>100</v>
      </c>
      <c r="BL270" t="s">
        <v>271</v>
      </c>
      <c r="BM270" t="s">
        <v>4479</v>
      </c>
      <c r="BN270" t="s">
        <v>74</v>
      </c>
      <c r="BO270" t="s">
        <v>74</v>
      </c>
      <c r="BP270" t="s">
        <v>74</v>
      </c>
      <c r="BQ270" t="s">
        <v>74</v>
      </c>
      <c r="BR270" t="s">
        <v>103</v>
      </c>
      <c r="BS270" t="s">
        <v>5118</v>
      </c>
      <c r="BT270" t="str">
        <f>HYPERLINK("https%3A%2F%2Fwww.webofscience.com%2Fwos%2Fwoscc%2Ffull-record%2FWOS:000292438600010","View Full Record in Web of Science")</f>
        <v>View Full Record in Web of Science</v>
      </c>
    </row>
    <row r="271" spans="1:72" x14ac:dyDescent="0.15">
      <c r="A271" t="s">
        <v>72</v>
      </c>
      <c r="B271" t="s">
        <v>5119</v>
      </c>
      <c r="C271" t="s">
        <v>74</v>
      </c>
      <c r="D271" t="s">
        <v>74</v>
      </c>
      <c r="E271" t="s">
        <v>74</v>
      </c>
      <c r="F271" t="s">
        <v>5120</v>
      </c>
      <c r="G271" t="s">
        <v>74</v>
      </c>
      <c r="H271" t="s">
        <v>74</v>
      </c>
      <c r="I271" t="s">
        <v>5121</v>
      </c>
      <c r="J271" t="s">
        <v>2229</v>
      </c>
      <c r="K271" t="s">
        <v>74</v>
      </c>
      <c r="L271" t="s">
        <v>74</v>
      </c>
      <c r="M271" t="s">
        <v>78</v>
      </c>
      <c r="N271" t="s">
        <v>79</v>
      </c>
      <c r="O271" t="s">
        <v>74</v>
      </c>
      <c r="P271" t="s">
        <v>74</v>
      </c>
      <c r="Q271" t="s">
        <v>74</v>
      </c>
      <c r="R271" t="s">
        <v>74</v>
      </c>
      <c r="S271" t="s">
        <v>74</v>
      </c>
      <c r="T271" t="s">
        <v>5122</v>
      </c>
      <c r="U271" t="s">
        <v>5123</v>
      </c>
      <c r="V271" t="s">
        <v>5124</v>
      </c>
      <c r="W271" t="s">
        <v>5125</v>
      </c>
      <c r="X271" t="s">
        <v>5126</v>
      </c>
      <c r="Y271" t="s">
        <v>5127</v>
      </c>
      <c r="Z271" t="s">
        <v>5128</v>
      </c>
      <c r="AA271" t="s">
        <v>5129</v>
      </c>
      <c r="AB271" t="s">
        <v>5130</v>
      </c>
      <c r="AC271" t="s">
        <v>5131</v>
      </c>
      <c r="AD271" t="s">
        <v>5132</v>
      </c>
      <c r="AE271" t="s">
        <v>5133</v>
      </c>
      <c r="AF271" t="s">
        <v>74</v>
      </c>
      <c r="AG271">
        <v>22</v>
      </c>
      <c r="AH271">
        <v>83</v>
      </c>
      <c r="AI271">
        <v>93</v>
      </c>
      <c r="AJ271">
        <v>4</v>
      </c>
      <c r="AK271">
        <v>47</v>
      </c>
      <c r="AL271" t="s">
        <v>308</v>
      </c>
      <c r="AM271" t="s">
        <v>309</v>
      </c>
      <c r="AN271" t="s">
        <v>310</v>
      </c>
      <c r="AO271" t="s">
        <v>2242</v>
      </c>
      <c r="AP271" t="s">
        <v>2243</v>
      </c>
      <c r="AQ271" t="s">
        <v>74</v>
      </c>
      <c r="AR271" t="s">
        <v>2244</v>
      </c>
      <c r="AS271" t="s">
        <v>2245</v>
      </c>
      <c r="AT271" t="s">
        <v>4683</v>
      </c>
      <c r="AU271">
        <v>2011</v>
      </c>
      <c r="AV271">
        <v>307</v>
      </c>
      <c r="AW271" t="s">
        <v>2154</v>
      </c>
      <c r="AX271" t="s">
        <v>74</v>
      </c>
      <c r="AY271" t="s">
        <v>74</v>
      </c>
      <c r="AZ271" t="s">
        <v>74</v>
      </c>
      <c r="BA271" t="s">
        <v>74</v>
      </c>
      <c r="BB271">
        <v>156</v>
      </c>
      <c r="BC271">
        <v>160</v>
      </c>
      <c r="BD271" t="s">
        <v>74</v>
      </c>
      <c r="BE271" t="s">
        <v>5134</v>
      </c>
      <c r="BF271" t="str">
        <f>HYPERLINK("http://dx.doi.org/10.1016/j.epsl.2011.04.026","http://dx.doi.org/10.1016/j.epsl.2011.04.026")</f>
        <v>http://dx.doi.org/10.1016/j.epsl.2011.04.026</v>
      </c>
      <c r="BG271" t="s">
        <v>74</v>
      </c>
      <c r="BH271" t="s">
        <v>74</v>
      </c>
      <c r="BI271">
        <v>5</v>
      </c>
      <c r="BJ271" t="s">
        <v>488</v>
      </c>
      <c r="BK271" t="s">
        <v>100</v>
      </c>
      <c r="BL271" t="s">
        <v>488</v>
      </c>
      <c r="BM271" t="s">
        <v>4685</v>
      </c>
      <c r="BN271" t="s">
        <v>74</v>
      </c>
      <c r="BO271" t="s">
        <v>273</v>
      </c>
      <c r="BP271" t="s">
        <v>74</v>
      </c>
      <c r="BQ271" t="s">
        <v>74</v>
      </c>
      <c r="BR271" t="s">
        <v>103</v>
      </c>
      <c r="BS271" t="s">
        <v>5135</v>
      </c>
      <c r="BT271" t="str">
        <f>HYPERLINK("https%3A%2F%2Fwww.webofscience.com%2Fwos%2Fwoscc%2Ffull-record%2FWOS:000292797200016","View Full Record in Web of Science")</f>
        <v>View Full Record in Web of Science</v>
      </c>
    </row>
    <row r="272" spans="1:72" x14ac:dyDescent="0.15">
      <c r="A272" t="s">
        <v>72</v>
      </c>
      <c r="B272" t="s">
        <v>5136</v>
      </c>
      <c r="C272" t="s">
        <v>74</v>
      </c>
      <c r="D272" t="s">
        <v>74</v>
      </c>
      <c r="E272" t="s">
        <v>74</v>
      </c>
      <c r="F272" t="s">
        <v>5137</v>
      </c>
      <c r="G272" t="s">
        <v>74</v>
      </c>
      <c r="H272" t="s">
        <v>74</v>
      </c>
      <c r="I272" t="s">
        <v>5138</v>
      </c>
      <c r="J272" t="s">
        <v>2229</v>
      </c>
      <c r="K272" t="s">
        <v>74</v>
      </c>
      <c r="L272" t="s">
        <v>74</v>
      </c>
      <c r="M272" t="s">
        <v>78</v>
      </c>
      <c r="N272" t="s">
        <v>79</v>
      </c>
      <c r="O272" t="s">
        <v>74</v>
      </c>
      <c r="P272" t="s">
        <v>74</v>
      </c>
      <c r="Q272" t="s">
        <v>74</v>
      </c>
      <c r="R272" t="s">
        <v>74</v>
      </c>
      <c r="S272" t="s">
        <v>74</v>
      </c>
      <c r="T272" t="s">
        <v>5139</v>
      </c>
      <c r="U272" t="s">
        <v>5140</v>
      </c>
      <c r="V272" t="s">
        <v>5141</v>
      </c>
      <c r="W272" t="s">
        <v>5142</v>
      </c>
      <c r="X272" t="s">
        <v>5143</v>
      </c>
      <c r="Y272" t="s">
        <v>5144</v>
      </c>
      <c r="Z272" t="s">
        <v>5145</v>
      </c>
      <c r="AA272" t="s">
        <v>5146</v>
      </c>
      <c r="AB272" t="s">
        <v>5147</v>
      </c>
      <c r="AC272" t="s">
        <v>5148</v>
      </c>
      <c r="AD272" t="s">
        <v>2005</v>
      </c>
      <c r="AE272" t="s">
        <v>74</v>
      </c>
      <c r="AF272" t="s">
        <v>74</v>
      </c>
      <c r="AG272">
        <v>60</v>
      </c>
      <c r="AH272">
        <v>49</v>
      </c>
      <c r="AI272">
        <v>53</v>
      </c>
      <c r="AJ272">
        <v>0</v>
      </c>
      <c r="AK272">
        <v>24</v>
      </c>
      <c r="AL272" t="s">
        <v>308</v>
      </c>
      <c r="AM272" t="s">
        <v>309</v>
      </c>
      <c r="AN272" t="s">
        <v>310</v>
      </c>
      <c r="AO272" t="s">
        <v>2242</v>
      </c>
      <c r="AP272" t="s">
        <v>2243</v>
      </c>
      <c r="AQ272" t="s">
        <v>74</v>
      </c>
      <c r="AR272" t="s">
        <v>2244</v>
      </c>
      <c r="AS272" t="s">
        <v>2245</v>
      </c>
      <c r="AT272" t="s">
        <v>4683</v>
      </c>
      <c r="AU272">
        <v>2011</v>
      </c>
      <c r="AV272">
        <v>307</v>
      </c>
      <c r="AW272" t="s">
        <v>2154</v>
      </c>
      <c r="AX272" t="s">
        <v>74</v>
      </c>
      <c r="AY272" t="s">
        <v>74</v>
      </c>
      <c r="AZ272" t="s">
        <v>74</v>
      </c>
      <c r="BA272" t="s">
        <v>74</v>
      </c>
      <c r="BB272">
        <v>211</v>
      </c>
      <c r="BC272">
        <v>221</v>
      </c>
      <c r="BD272" t="s">
        <v>74</v>
      </c>
      <c r="BE272" t="s">
        <v>5149</v>
      </c>
      <c r="BF272" t="str">
        <f>HYPERLINK("http://dx.doi.org/10.1016/j.epsl.2011.04.037","http://dx.doi.org/10.1016/j.epsl.2011.04.037")</f>
        <v>http://dx.doi.org/10.1016/j.epsl.2011.04.037</v>
      </c>
      <c r="BG272" t="s">
        <v>74</v>
      </c>
      <c r="BH272" t="s">
        <v>74</v>
      </c>
      <c r="BI272">
        <v>11</v>
      </c>
      <c r="BJ272" t="s">
        <v>488</v>
      </c>
      <c r="BK272" t="s">
        <v>100</v>
      </c>
      <c r="BL272" t="s">
        <v>488</v>
      </c>
      <c r="BM272" t="s">
        <v>4685</v>
      </c>
      <c r="BN272" t="s">
        <v>74</v>
      </c>
      <c r="BO272" t="s">
        <v>273</v>
      </c>
      <c r="BP272" t="s">
        <v>74</v>
      </c>
      <c r="BQ272" t="s">
        <v>74</v>
      </c>
      <c r="BR272" t="s">
        <v>103</v>
      </c>
      <c r="BS272" t="s">
        <v>5150</v>
      </c>
      <c r="BT272" t="str">
        <f>HYPERLINK("https%3A%2F%2Fwww.webofscience.com%2Fwos%2Fwoscc%2Ffull-record%2FWOS:000292797200022","View Full Record in Web of Science")</f>
        <v>View Full Record in Web of Science</v>
      </c>
    </row>
    <row r="273" spans="1:72" x14ac:dyDescent="0.15">
      <c r="A273" t="s">
        <v>72</v>
      </c>
      <c r="B273" t="s">
        <v>5151</v>
      </c>
      <c r="C273" t="s">
        <v>74</v>
      </c>
      <c r="D273" t="s">
        <v>74</v>
      </c>
      <c r="E273" t="s">
        <v>74</v>
      </c>
      <c r="F273" t="s">
        <v>5152</v>
      </c>
      <c r="G273" t="s">
        <v>74</v>
      </c>
      <c r="H273" t="s">
        <v>74</v>
      </c>
      <c r="I273" t="s">
        <v>5153</v>
      </c>
      <c r="J273" t="s">
        <v>5154</v>
      </c>
      <c r="K273" t="s">
        <v>74</v>
      </c>
      <c r="L273" t="s">
        <v>74</v>
      </c>
      <c r="M273" t="s">
        <v>78</v>
      </c>
      <c r="N273" t="s">
        <v>79</v>
      </c>
      <c r="O273" t="s">
        <v>74</v>
      </c>
      <c r="P273" t="s">
        <v>74</v>
      </c>
      <c r="Q273" t="s">
        <v>74</v>
      </c>
      <c r="R273" t="s">
        <v>74</v>
      </c>
      <c r="S273" t="s">
        <v>74</v>
      </c>
      <c r="T273" t="s">
        <v>5155</v>
      </c>
      <c r="U273" t="s">
        <v>5156</v>
      </c>
      <c r="V273" t="s">
        <v>5157</v>
      </c>
      <c r="W273" t="s">
        <v>5158</v>
      </c>
      <c r="X273" t="s">
        <v>5159</v>
      </c>
      <c r="Y273" t="s">
        <v>5160</v>
      </c>
      <c r="Z273" t="s">
        <v>5161</v>
      </c>
      <c r="AA273" t="s">
        <v>5162</v>
      </c>
      <c r="AB273" t="s">
        <v>5163</v>
      </c>
      <c r="AC273" t="s">
        <v>5164</v>
      </c>
      <c r="AD273" t="s">
        <v>5165</v>
      </c>
      <c r="AE273" t="s">
        <v>5166</v>
      </c>
      <c r="AF273" t="s">
        <v>74</v>
      </c>
      <c r="AG273">
        <v>64</v>
      </c>
      <c r="AH273">
        <v>3</v>
      </c>
      <c r="AI273">
        <v>3</v>
      </c>
      <c r="AJ273">
        <v>0</v>
      </c>
      <c r="AK273">
        <v>13</v>
      </c>
      <c r="AL273" t="s">
        <v>1323</v>
      </c>
      <c r="AM273" t="s">
        <v>1324</v>
      </c>
      <c r="AN273" t="s">
        <v>1325</v>
      </c>
      <c r="AO273" t="s">
        <v>5167</v>
      </c>
      <c r="AP273" t="s">
        <v>5168</v>
      </c>
      <c r="AQ273" t="s">
        <v>74</v>
      </c>
      <c r="AR273" t="s">
        <v>5169</v>
      </c>
      <c r="AS273" t="s">
        <v>5170</v>
      </c>
      <c r="AT273" t="s">
        <v>3902</v>
      </c>
      <c r="AU273">
        <v>2011</v>
      </c>
      <c r="AV273">
        <v>36</v>
      </c>
      <c r="AW273">
        <v>9</v>
      </c>
      <c r="AX273" t="s">
        <v>74</v>
      </c>
      <c r="AY273" t="s">
        <v>74</v>
      </c>
      <c r="AZ273" t="s">
        <v>74</v>
      </c>
      <c r="BA273" t="s">
        <v>74</v>
      </c>
      <c r="BB273">
        <v>1230</v>
      </c>
      <c r="BC273">
        <v>1239</v>
      </c>
      <c r="BD273" t="s">
        <v>74</v>
      </c>
      <c r="BE273" t="s">
        <v>5171</v>
      </c>
      <c r="BF273" t="str">
        <f>HYPERLINK("http://dx.doi.org/10.1002/esp.2148","http://dx.doi.org/10.1002/esp.2148")</f>
        <v>http://dx.doi.org/10.1002/esp.2148</v>
      </c>
      <c r="BG273" t="s">
        <v>74</v>
      </c>
      <c r="BH273" t="s">
        <v>74</v>
      </c>
      <c r="BI273">
        <v>10</v>
      </c>
      <c r="BJ273" t="s">
        <v>1496</v>
      </c>
      <c r="BK273" t="s">
        <v>100</v>
      </c>
      <c r="BL273" t="s">
        <v>1497</v>
      </c>
      <c r="BM273" t="s">
        <v>5172</v>
      </c>
      <c r="BN273" t="s">
        <v>74</v>
      </c>
      <c r="BO273" t="s">
        <v>74</v>
      </c>
      <c r="BP273" t="s">
        <v>74</v>
      </c>
      <c r="BQ273" t="s">
        <v>74</v>
      </c>
      <c r="BR273" t="s">
        <v>103</v>
      </c>
      <c r="BS273" t="s">
        <v>5173</v>
      </c>
      <c r="BT273" t="str">
        <f>HYPERLINK("https%3A%2F%2Fwww.webofscience.com%2Fwos%2Fwoscc%2Ffull-record%2FWOS:000292252000009","View Full Record in Web of Science")</f>
        <v>View Full Record in Web of Science</v>
      </c>
    </row>
    <row r="274" spans="1:72" x14ac:dyDescent="0.15">
      <c r="A274" t="s">
        <v>72</v>
      </c>
      <c r="B274" t="s">
        <v>5174</v>
      </c>
      <c r="C274" t="s">
        <v>74</v>
      </c>
      <c r="D274" t="s">
        <v>74</v>
      </c>
      <c r="E274" t="s">
        <v>74</v>
      </c>
      <c r="F274" t="s">
        <v>5175</v>
      </c>
      <c r="G274" t="s">
        <v>74</v>
      </c>
      <c r="H274" t="s">
        <v>74</v>
      </c>
      <c r="I274" t="s">
        <v>5176</v>
      </c>
      <c r="J274" t="s">
        <v>5177</v>
      </c>
      <c r="K274" t="s">
        <v>74</v>
      </c>
      <c r="L274" t="s">
        <v>74</v>
      </c>
      <c r="M274" t="s">
        <v>78</v>
      </c>
      <c r="N274" t="s">
        <v>79</v>
      </c>
      <c r="O274" t="s">
        <v>74</v>
      </c>
      <c r="P274" t="s">
        <v>74</v>
      </c>
      <c r="Q274" t="s">
        <v>74</v>
      </c>
      <c r="R274" t="s">
        <v>74</v>
      </c>
      <c r="S274" t="s">
        <v>74</v>
      </c>
      <c r="T274" t="s">
        <v>5178</v>
      </c>
      <c r="U274" t="s">
        <v>5179</v>
      </c>
      <c r="V274" t="s">
        <v>5180</v>
      </c>
      <c r="W274" t="s">
        <v>5181</v>
      </c>
      <c r="X274" t="s">
        <v>5182</v>
      </c>
      <c r="Y274" t="s">
        <v>5183</v>
      </c>
      <c r="Z274" t="s">
        <v>5184</v>
      </c>
      <c r="AA274" t="s">
        <v>5185</v>
      </c>
      <c r="AB274" t="s">
        <v>5186</v>
      </c>
      <c r="AC274" t="s">
        <v>5187</v>
      </c>
      <c r="AD274" t="s">
        <v>5187</v>
      </c>
      <c r="AE274" t="s">
        <v>5188</v>
      </c>
      <c r="AF274" t="s">
        <v>74</v>
      </c>
      <c r="AG274">
        <v>69</v>
      </c>
      <c r="AH274">
        <v>27</v>
      </c>
      <c r="AI274">
        <v>30</v>
      </c>
      <c r="AJ274">
        <v>3</v>
      </c>
      <c r="AK274">
        <v>66</v>
      </c>
      <c r="AL274" t="s">
        <v>1323</v>
      </c>
      <c r="AM274" t="s">
        <v>1324</v>
      </c>
      <c r="AN274" t="s">
        <v>1325</v>
      </c>
      <c r="AO274" t="s">
        <v>5189</v>
      </c>
      <c r="AP274" t="s">
        <v>5190</v>
      </c>
      <c r="AQ274" t="s">
        <v>74</v>
      </c>
      <c r="AR274" t="s">
        <v>5177</v>
      </c>
      <c r="AS274" t="s">
        <v>5191</v>
      </c>
      <c r="AT274" t="s">
        <v>3902</v>
      </c>
      <c r="AU274">
        <v>2011</v>
      </c>
      <c r="AV274">
        <v>92</v>
      </c>
      <c r="AW274">
        <v>7</v>
      </c>
      <c r="AX274" t="s">
        <v>74</v>
      </c>
      <c r="AY274" t="s">
        <v>74</v>
      </c>
      <c r="AZ274" t="s">
        <v>74</v>
      </c>
      <c r="BA274" t="s">
        <v>74</v>
      </c>
      <c r="BB274">
        <v>1436</v>
      </c>
      <c r="BC274">
        <v>1447</v>
      </c>
      <c r="BD274" t="s">
        <v>74</v>
      </c>
      <c r="BE274" t="s">
        <v>5192</v>
      </c>
      <c r="BF274" t="str">
        <f>HYPERLINK("http://dx.doi.org/10.1890/10-2216.1","http://dx.doi.org/10.1890/10-2216.1")</f>
        <v>http://dx.doi.org/10.1890/10-2216.1</v>
      </c>
      <c r="BG274" t="s">
        <v>74</v>
      </c>
      <c r="BH274" t="s">
        <v>74</v>
      </c>
      <c r="BI274">
        <v>12</v>
      </c>
      <c r="BJ274" t="s">
        <v>5191</v>
      </c>
      <c r="BK274" t="s">
        <v>100</v>
      </c>
      <c r="BL274" t="s">
        <v>5193</v>
      </c>
      <c r="BM274" t="s">
        <v>5194</v>
      </c>
      <c r="BN274">
        <v>21870618</v>
      </c>
      <c r="BO274" t="s">
        <v>74</v>
      </c>
      <c r="BP274" t="s">
        <v>74</v>
      </c>
      <c r="BQ274" t="s">
        <v>74</v>
      </c>
      <c r="BR274" t="s">
        <v>103</v>
      </c>
      <c r="BS274" t="s">
        <v>5195</v>
      </c>
      <c r="BT274" t="str">
        <f>HYPERLINK("https%3A%2F%2Fwww.webofscience.com%2Fwos%2Fwoscc%2Ffull-record%2FWOS:000292814300008","View Full Record in Web of Science")</f>
        <v>View Full Record in Web of Science</v>
      </c>
    </row>
    <row r="275" spans="1:72" x14ac:dyDescent="0.15">
      <c r="A275" t="s">
        <v>72</v>
      </c>
      <c r="B275" t="s">
        <v>5196</v>
      </c>
      <c r="C275" t="s">
        <v>74</v>
      </c>
      <c r="D275" t="s">
        <v>74</v>
      </c>
      <c r="E275" t="s">
        <v>74</v>
      </c>
      <c r="F275" t="s">
        <v>5197</v>
      </c>
      <c r="G275" t="s">
        <v>74</v>
      </c>
      <c r="H275" t="s">
        <v>74</v>
      </c>
      <c r="I275" t="s">
        <v>5198</v>
      </c>
      <c r="J275" t="s">
        <v>5199</v>
      </c>
      <c r="K275" t="s">
        <v>74</v>
      </c>
      <c r="L275" t="s">
        <v>74</v>
      </c>
      <c r="M275" t="s">
        <v>78</v>
      </c>
      <c r="N275" t="s">
        <v>79</v>
      </c>
      <c r="O275" t="s">
        <v>74</v>
      </c>
      <c r="P275" t="s">
        <v>74</v>
      </c>
      <c r="Q275" t="s">
        <v>74</v>
      </c>
      <c r="R275" t="s">
        <v>74</v>
      </c>
      <c r="S275" t="s">
        <v>74</v>
      </c>
      <c r="T275" t="s">
        <v>5200</v>
      </c>
      <c r="U275" t="s">
        <v>5201</v>
      </c>
      <c r="V275" t="s">
        <v>5202</v>
      </c>
      <c r="W275" t="s">
        <v>5203</v>
      </c>
      <c r="X275" t="s">
        <v>5204</v>
      </c>
      <c r="Y275" t="s">
        <v>5205</v>
      </c>
      <c r="Z275" t="s">
        <v>5206</v>
      </c>
      <c r="AA275" t="s">
        <v>5207</v>
      </c>
      <c r="AB275" t="s">
        <v>5208</v>
      </c>
      <c r="AC275" t="s">
        <v>5209</v>
      </c>
      <c r="AD275" t="s">
        <v>5210</v>
      </c>
      <c r="AE275" t="s">
        <v>5211</v>
      </c>
      <c r="AF275" t="s">
        <v>74</v>
      </c>
      <c r="AG275">
        <v>85</v>
      </c>
      <c r="AH275">
        <v>25</v>
      </c>
      <c r="AI275">
        <v>32</v>
      </c>
      <c r="AJ275">
        <v>1</v>
      </c>
      <c r="AK275">
        <v>22</v>
      </c>
      <c r="AL275" t="s">
        <v>1323</v>
      </c>
      <c r="AM275" t="s">
        <v>1324</v>
      </c>
      <c r="AN275" t="s">
        <v>1325</v>
      </c>
      <c r="AO275" t="s">
        <v>5212</v>
      </c>
      <c r="AP275" t="s">
        <v>74</v>
      </c>
      <c r="AQ275" t="s">
        <v>74</v>
      </c>
      <c r="AR275" t="s">
        <v>5199</v>
      </c>
      <c r="AS275" t="s">
        <v>5213</v>
      </c>
      <c r="AT275" t="s">
        <v>3902</v>
      </c>
      <c r="AU275">
        <v>2011</v>
      </c>
      <c r="AV275">
        <v>2</v>
      </c>
      <c r="AW275">
        <v>7</v>
      </c>
      <c r="AX275" t="s">
        <v>74</v>
      </c>
      <c r="AY275" t="s">
        <v>74</v>
      </c>
      <c r="AZ275" t="s">
        <v>74</v>
      </c>
      <c r="BA275" t="s">
        <v>74</v>
      </c>
      <c r="BB275" t="s">
        <v>74</v>
      </c>
      <c r="BC275" t="s">
        <v>74</v>
      </c>
      <c r="BD275">
        <v>73</v>
      </c>
      <c r="BE275" t="s">
        <v>5214</v>
      </c>
      <c r="BF275" t="str">
        <f>HYPERLINK("http://dx.doi.org/10.1890/ES11-00089.1","http://dx.doi.org/10.1890/ES11-00089.1")</f>
        <v>http://dx.doi.org/10.1890/ES11-00089.1</v>
      </c>
      <c r="BG275" t="s">
        <v>74</v>
      </c>
      <c r="BH275" t="s">
        <v>74</v>
      </c>
      <c r="BI275">
        <v>18</v>
      </c>
      <c r="BJ275" t="s">
        <v>5191</v>
      </c>
      <c r="BK275" t="s">
        <v>100</v>
      </c>
      <c r="BL275" t="s">
        <v>5193</v>
      </c>
      <c r="BM275" t="s">
        <v>5215</v>
      </c>
      <c r="BN275" t="s">
        <v>74</v>
      </c>
      <c r="BO275" t="s">
        <v>2134</v>
      </c>
      <c r="BP275" t="s">
        <v>74</v>
      </c>
      <c r="BQ275" t="s">
        <v>74</v>
      </c>
      <c r="BR275" t="s">
        <v>103</v>
      </c>
      <c r="BS275" t="s">
        <v>5216</v>
      </c>
      <c r="BT275" t="str">
        <f>HYPERLINK("https%3A%2F%2Fwww.webofscience.com%2Fwos%2Fwoscc%2Ffull-record%2FWOS:000208810800001","View Full Record in Web of Science")</f>
        <v>View Full Record in Web of Science</v>
      </c>
    </row>
    <row r="276" spans="1:72" x14ac:dyDescent="0.15">
      <c r="A276" t="s">
        <v>72</v>
      </c>
      <c r="B276" t="s">
        <v>5217</v>
      </c>
      <c r="C276" t="s">
        <v>74</v>
      </c>
      <c r="D276" t="s">
        <v>74</v>
      </c>
      <c r="E276" t="s">
        <v>74</v>
      </c>
      <c r="F276" t="s">
        <v>5218</v>
      </c>
      <c r="G276" t="s">
        <v>74</v>
      </c>
      <c r="H276" t="s">
        <v>74</v>
      </c>
      <c r="I276" t="s">
        <v>5219</v>
      </c>
      <c r="J276" t="s">
        <v>5199</v>
      </c>
      <c r="K276" t="s">
        <v>74</v>
      </c>
      <c r="L276" t="s">
        <v>74</v>
      </c>
      <c r="M276" t="s">
        <v>78</v>
      </c>
      <c r="N276" t="s">
        <v>79</v>
      </c>
      <c r="O276" t="s">
        <v>74</v>
      </c>
      <c r="P276" t="s">
        <v>74</v>
      </c>
      <c r="Q276" t="s">
        <v>74</v>
      </c>
      <c r="R276" t="s">
        <v>74</v>
      </c>
      <c r="S276" t="s">
        <v>74</v>
      </c>
      <c r="T276" t="s">
        <v>5220</v>
      </c>
      <c r="U276" t="s">
        <v>5221</v>
      </c>
      <c r="V276" t="s">
        <v>5222</v>
      </c>
      <c r="W276" t="s">
        <v>5223</v>
      </c>
      <c r="X276" t="s">
        <v>3693</v>
      </c>
      <c r="Y276" t="s">
        <v>5224</v>
      </c>
      <c r="Z276" t="s">
        <v>5225</v>
      </c>
      <c r="AA276" t="s">
        <v>74</v>
      </c>
      <c r="AB276" t="s">
        <v>74</v>
      </c>
      <c r="AC276" t="s">
        <v>74</v>
      </c>
      <c r="AD276" t="s">
        <v>74</v>
      </c>
      <c r="AE276" t="s">
        <v>74</v>
      </c>
      <c r="AF276" t="s">
        <v>74</v>
      </c>
      <c r="AG276">
        <v>83</v>
      </c>
      <c r="AH276">
        <v>10</v>
      </c>
      <c r="AI276">
        <v>10</v>
      </c>
      <c r="AJ276">
        <v>2</v>
      </c>
      <c r="AK276">
        <v>10</v>
      </c>
      <c r="AL276" t="s">
        <v>1323</v>
      </c>
      <c r="AM276" t="s">
        <v>1324</v>
      </c>
      <c r="AN276" t="s">
        <v>1325</v>
      </c>
      <c r="AO276" t="s">
        <v>5212</v>
      </c>
      <c r="AP276" t="s">
        <v>74</v>
      </c>
      <c r="AQ276" t="s">
        <v>74</v>
      </c>
      <c r="AR276" t="s">
        <v>5199</v>
      </c>
      <c r="AS276" t="s">
        <v>5213</v>
      </c>
      <c r="AT276" t="s">
        <v>3902</v>
      </c>
      <c r="AU276">
        <v>2011</v>
      </c>
      <c r="AV276">
        <v>2</v>
      </c>
      <c r="AW276">
        <v>7</v>
      </c>
      <c r="AX276" t="s">
        <v>74</v>
      </c>
      <c r="AY276" t="s">
        <v>74</v>
      </c>
      <c r="AZ276" t="s">
        <v>74</v>
      </c>
      <c r="BA276" t="s">
        <v>74</v>
      </c>
      <c r="BB276" t="s">
        <v>74</v>
      </c>
      <c r="BC276" t="s">
        <v>74</v>
      </c>
      <c r="BD276">
        <v>75</v>
      </c>
      <c r="BE276" t="s">
        <v>5226</v>
      </c>
      <c r="BF276" t="str">
        <f>HYPERLINK("http://dx.doi.org/10.1890/ES11-00083.1","http://dx.doi.org/10.1890/ES11-00083.1")</f>
        <v>http://dx.doi.org/10.1890/ES11-00083.1</v>
      </c>
      <c r="BG276" t="s">
        <v>74</v>
      </c>
      <c r="BH276" t="s">
        <v>74</v>
      </c>
      <c r="BI276">
        <v>13</v>
      </c>
      <c r="BJ276" t="s">
        <v>5191</v>
      </c>
      <c r="BK276" t="s">
        <v>100</v>
      </c>
      <c r="BL276" t="s">
        <v>5193</v>
      </c>
      <c r="BM276" t="s">
        <v>5215</v>
      </c>
      <c r="BN276" t="s">
        <v>74</v>
      </c>
      <c r="BO276" t="s">
        <v>74</v>
      </c>
      <c r="BP276" t="s">
        <v>74</v>
      </c>
      <c r="BQ276" t="s">
        <v>74</v>
      </c>
      <c r="BR276" t="s">
        <v>103</v>
      </c>
      <c r="BS276" t="s">
        <v>5227</v>
      </c>
      <c r="BT276" t="str">
        <f>HYPERLINK("https%3A%2F%2Fwww.webofscience.com%2Fwos%2Fwoscc%2Ffull-record%2FWOS:000208810800003","View Full Record in Web of Science")</f>
        <v>View Full Record in Web of Science</v>
      </c>
    </row>
    <row r="277" spans="1:72" x14ac:dyDescent="0.15">
      <c r="A277" t="s">
        <v>72</v>
      </c>
      <c r="B277" t="s">
        <v>5228</v>
      </c>
      <c r="C277" t="s">
        <v>74</v>
      </c>
      <c r="D277" t="s">
        <v>74</v>
      </c>
      <c r="E277" t="s">
        <v>74</v>
      </c>
      <c r="F277" t="s">
        <v>5229</v>
      </c>
      <c r="G277" t="s">
        <v>74</v>
      </c>
      <c r="H277" t="s">
        <v>74</v>
      </c>
      <c r="I277" t="s">
        <v>5230</v>
      </c>
      <c r="J277" t="s">
        <v>5231</v>
      </c>
      <c r="K277" t="s">
        <v>74</v>
      </c>
      <c r="L277" t="s">
        <v>74</v>
      </c>
      <c r="M277" t="s">
        <v>78</v>
      </c>
      <c r="N277" t="s">
        <v>79</v>
      </c>
      <c r="O277" t="s">
        <v>74</v>
      </c>
      <c r="P277" t="s">
        <v>74</v>
      </c>
      <c r="Q277" t="s">
        <v>74</v>
      </c>
      <c r="R277" t="s">
        <v>74</v>
      </c>
      <c r="S277" t="s">
        <v>74</v>
      </c>
      <c r="T277" t="s">
        <v>5232</v>
      </c>
      <c r="U277" t="s">
        <v>5233</v>
      </c>
      <c r="V277" t="s">
        <v>5234</v>
      </c>
      <c r="W277" t="s">
        <v>5235</v>
      </c>
      <c r="X277" t="s">
        <v>5236</v>
      </c>
      <c r="Y277" t="s">
        <v>5237</v>
      </c>
      <c r="Z277" t="s">
        <v>5238</v>
      </c>
      <c r="AA277" t="s">
        <v>5239</v>
      </c>
      <c r="AB277" t="s">
        <v>5240</v>
      </c>
      <c r="AC277" t="s">
        <v>5241</v>
      </c>
      <c r="AD277" t="s">
        <v>5241</v>
      </c>
      <c r="AE277" t="s">
        <v>5242</v>
      </c>
      <c r="AF277" t="s">
        <v>74</v>
      </c>
      <c r="AG277">
        <v>76</v>
      </c>
      <c r="AH277">
        <v>59</v>
      </c>
      <c r="AI277">
        <v>60</v>
      </c>
      <c r="AJ277">
        <v>0</v>
      </c>
      <c r="AK277">
        <v>16</v>
      </c>
      <c r="AL277" t="s">
        <v>1851</v>
      </c>
      <c r="AM277" t="s">
        <v>1852</v>
      </c>
      <c r="AN277" t="s">
        <v>1853</v>
      </c>
      <c r="AO277" t="s">
        <v>5243</v>
      </c>
      <c r="AP277" t="s">
        <v>5244</v>
      </c>
      <c r="AQ277" t="s">
        <v>74</v>
      </c>
      <c r="AR277" t="s">
        <v>5245</v>
      </c>
      <c r="AS277" t="s">
        <v>5246</v>
      </c>
      <c r="AT277" t="s">
        <v>3902</v>
      </c>
      <c r="AU277">
        <v>2011</v>
      </c>
      <c r="AV277">
        <v>74</v>
      </c>
      <c r="AW277">
        <v>5</v>
      </c>
      <c r="AX277" t="s">
        <v>74</v>
      </c>
      <c r="AY277" t="s">
        <v>74</v>
      </c>
      <c r="AZ277" t="s">
        <v>74</v>
      </c>
      <c r="BA277" t="s">
        <v>74</v>
      </c>
      <c r="BB277">
        <v>1238</v>
      </c>
      <c r="BC277">
        <v>1249</v>
      </c>
      <c r="BD277" t="s">
        <v>74</v>
      </c>
      <c r="BE277" t="s">
        <v>5247</v>
      </c>
      <c r="BF277" t="str">
        <f>HYPERLINK("http://dx.doi.org/10.1016/j.ecoenv.2011.03.015","http://dx.doi.org/10.1016/j.ecoenv.2011.03.015")</f>
        <v>http://dx.doi.org/10.1016/j.ecoenv.2011.03.015</v>
      </c>
      <c r="BG277" t="s">
        <v>74</v>
      </c>
      <c r="BH277" t="s">
        <v>74</v>
      </c>
      <c r="BI277">
        <v>12</v>
      </c>
      <c r="BJ277" t="s">
        <v>5248</v>
      </c>
      <c r="BK277" t="s">
        <v>100</v>
      </c>
      <c r="BL277" t="s">
        <v>5249</v>
      </c>
      <c r="BM277" t="s">
        <v>5250</v>
      </c>
      <c r="BN277">
        <v>21481467</v>
      </c>
      <c r="BO277" t="s">
        <v>1025</v>
      </c>
      <c r="BP277" t="s">
        <v>74</v>
      </c>
      <c r="BQ277" t="s">
        <v>74</v>
      </c>
      <c r="BR277" t="s">
        <v>103</v>
      </c>
      <c r="BS277" t="s">
        <v>5251</v>
      </c>
      <c r="BT277" t="str">
        <f>HYPERLINK("https%3A%2F%2Fwww.webofscience.com%2Fwos%2Fwoscc%2Ffull-record%2FWOS:000291960600018","View Full Record in Web of Science")</f>
        <v>View Full Record in Web of Science</v>
      </c>
    </row>
    <row r="278" spans="1:72" x14ac:dyDescent="0.15">
      <c r="A278" t="s">
        <v>72</v>
      </c>
      <c r="B278" t="s">
        <v>5252</v>
      </c>
      <c r="C278" t="s">
        <v>74</v>
      </c>
      <c r="D278" t="s">
        <v>74</v>
      </c>
      <c r="E278" t="s">
        <v>74</v>
      </c>
      <c r="F278" t="s">
        <v>5253</v>
      </c>
      <c r="G278" t="s">
        <v>74</v>
      </c>
      <c r="H278" t="s">
        <v>74</v>
      </c>
      <c r="I278" t="s">
        <v>5254</v>
      </c>
      <c r="J278" t="s">
        <v>5255</v>
      </c>
      <c r="K278" t="s">
        <v>74</v>
      </c>
      <c r="L278" t="s">
        <v>74</v>
      </c>
      <c r="M278" t="s">
        <v>78</v>
      </c>
      <c r="N278" t="s">
        <v>79</v>
      </c>
      <c r="O278" t="s">
        <v>74</v>
      </c>
      <c r="P278" t="s">
        <v>74</v>
      </c>
      <c r="Q278" t="s">
        <v>74</v>
      </c>
      <c r="R278" t="s">
        <v>74</v>
      </c>
      <c r="S278" t="s">
        <v>74</v>
      </c>
      <c r="T278" t="s">
        <v>5256</v>
      </c>
      <c r="U278" t="s">
        <v>5257</v>
      </c>
      <c r="V278" t="s">
        <v>5258</v>
      </c>
      <c r="W278" t="s">
        <v>5259</v>
      </c>
      <c r="X278" t="s">
        <v>5260</v>
      </c>
      <c r="Y278" t="s">
        <v>5261</v>
      </c>
      <c r="Z278" t="s">
        <v>5262</v>
      </c>
      <c r="AA278" t="s">
        <v>5263</v>
      </c>
      <c r="AB278" t="s">
        <v>5264</v>
      </c>
      <c r="AC278" t="s">
        <v>5265</v>
      </c>
      <c r="AD278" t="s">
        <v>5266</v>
      </c>
      <c r="AE278" t="s">
        <v>5267</v>
      </c>
      <c r="AF278" t="s">
        <v>74</v>
      </c>
      <c r="AG278">
        <v>57</v>
      </c>
      <c r="AH278">
        <v>9</v>
      </c>
      <c r="AI278">
        <v>12</v>
      </c>
      <c r="AJ278">
        <v>1</v>
      </c>
      <c r="AK278">
        <v>28</v>
      </c>
      <c r="AL278" t="s">
        <v>1441</v>
      </c>
      <c r="AM278" t="s">
        <v>91</v>
      </c>
      <c r="AN278" t="s">
        <v>1902</v>
      </c>
      <c r="AO278" t="s">
        <v>5268</v>
      </c>
      <c r="AP278" t="s">
        <v>5269</v>
      </c>
      <c r="AQ278" t="s">
        <v>74</v>
      </c>
      <c r="AR278" t="s">
        <v>5270</v>
      </c>
      <c r="AS278" t="s">
        <v>5271</v>
      </c>
      <c r="AT278" t="s">
        <v>3902</v>
      </c>
      <c r="AU278">
        <v>2011</v>
      </c>
      <c r="AV278">
        <v>63</v>
      </c>
      <c r="AW278">
        <v>6</v>
      </c>
      <c r="AX278" t="s">
        <v>74</v>
      </c>
      <c r="AY278" t="s">
        <v>74</v>
      </c>
      <c r="AZ278" t="s">
        <v>74</v>
      </c>
      <c r="BA278" t="s">
        <v>74</v>
      </c>
      <c r="BB278">
        <v>1385</v>
      </c>
      <c r="BC278">
        <v>1393</v>
      </c>
      <c r="BD278" t="s">
        <v>74</v>
      </c>
      <c r="BE278" t="s">
        <v>5272</v>
      </c>
      <c r="BF278" t="str">
        <f>HYPERLINK("http://dx.doi.org/10.1007/s12665-010-0808-8","http://dx.doi.org/10.1007/s12665-010-0808-8")</f>
        <v>http://dx.doi.org/10.1007/s12665-010-0808-8</v>
      </c>
      <c r="BG278" t="s">
        <v>74</v>
      </c>
      <c r="BH278" t="s">
        <v>74</v>
      </c>
      <c r="BI278">
        <v>9</v>
      </c>
      <c r="BJ278" t="s">
        <v>5273</v>
      </c>
      <c r="BK278" t="s">
        <v>100</v>
      </c>
      <c r="BL278" t="s">
        <v>5274</v>
      </c>
      <c r="BM278" t="s">
        <v>5275</v>
      </c>
      <c r="BN278" t="s">
        <v>74</v>
      </c>
      <c r="BO278" t="s">
        <v>74</v>
      </c>
      <c r="BP278" t="s">
        <v>74</v>
      </c>
      <c r="BQ278" t="s">
        <v>74</v>
      </c>
      <c r="BR278" t="s">
        <v>103</v>
      </c>
      <c r="BS278" t="s">
        <v>5276</v>
      </c>
      <c r="BT278" t="str">
        <f>HYPERLINK("https%3A%2F%2Fwww.webofscience.com%2Fwos%2Fwoscc%2Ffull-record%2FWOS:000292043100019","View Full Record in Web of Science")</f>
        <v>View Full Record in Web of Science</v>
      </c>
    </row>
    <row r="279" spans="1:72" x14ac:dyDescent="0.15">
      <c r="A279" t="s">
        <v>72</v>
      </c>
      <c r="B279" t="s">
        <v>5277</v>
      </c>
      <c r="C279" t="s">
        <v>74</v>
      </c>
      <c r="D279" t="s">
        <v>74</v>
      </c>
      <c r="E279" t="s">
        <v>74</v>
      </c>
      <c r="F279" t="s">
        <v>5278</v>
      </c>
      <c r="G279" t="s">
        <v>74</v>
      </c>
      <c r="H279" t="s">
        <v>74</v>
      </c>
      <c r="I279" t="s">
        <v>5279</v>
      </c>
      <c r="J279" t="s">
        <v>5280</v>
      </c>
      <c r="K279" t="s">
        <v>74</v>
      </c>
      <c r="L279" t="s">
        <v>74</v>
      </c>
      <c r="M279" t="s">
        <v>4016</v>
      </c>
      <c r="N279" t="s">
        <v>79</v>
      </c>
      <c r="O279" t="s">
        <v>74</v>
      </c>
      <c r="P279" t="s">
        <v>74</v>
      </c>
      <c r="Q279" t="s">
        <v>74</v>
      </c>
      <c r="R279" t="s">
        <v>74</v>
      </c>
      <c r="S279" t="s">
        <v>74</v>
      </c>
      <c r="T279" t="s">
        <v>5281</v>
      </c>
      <c r="U279" t="s">
        <v>74</v>
      </c>
      <c r="V279" t="s">
        <v>5282</v>
      </c>
      <c r="W279" t="s">
        <v>5283</v>
      </c>
      <c r="X279" t="s">
        <v>5284</v>
      </c>
      <c r="Y279" t="s">
        <v>5285</v>
      </c>
      <c r="Z279" t="s">
        <v>5286</v>
      </c>
      <c r="AA279" t="s">
        <v>5287</v>
      </c>
      <c r="AB279" t="s">
        <v>5288</v>
      </c>
      <c r="AC279" t="s">
        <v>74</v>
      </c>
      <c r="AD279" t="s">
        <v>74</v>
      </c>
      <c r="AE279" t="s">
        <v>74</v>
      </c>
      <c r="AF279" t="s">
        <v>74</v>
      </c>
      <c r="AG279">
        <v>15</v>
      </c>
      <c r="AH279">
        <v>0</v>
      </c>
      <c r="AI279">
        <v>0</v>
      </c>
      <c r="AJ279">
        <v>0</v>
      </c>
      <c r="AK279">
        <v>0</v>
      </c>
      <c r="AL279" t="s">
        <v>5289</v>
      </c>
      <c r="AM279" t="s">
        <v>5290</v>
      </c>
      <c r="AN279" t="s">
        <v>5291</v>
      </c>
      <c r="AO279" t="s">
        <v>5292</v>
      </c>
      <c r="AP279" t="s">
        <v>74</v>
      </c>
      <c r="AQ279" t="s">
        <v>74</v>
      </c>
      <c r="AR279" t="s">
        <v>5280</v>
      </c>
      <c r="AS279" t="s">
        <v>5293</v>
      </c>
      <c r="AT279" t="s">
        <v>5294</v>
      </c>
      <c r="AU279">
        <v>2011</v>
      </c>
      <c r="AV279" t="s">
        <v>74</v>
      </c>
      <c r="AW279">
        <v>17</v>
      </c>
      <c r="AX279" t="s">
        <v>74</v>
      </c>
      <c r="AY279" t="s">
        <v>74</v>
      </c>
      <c r="AZ279" t="s">
        <v>74</v>
      </c>
      <c r="BA279" t="s">
        <v>74</v>
      </c>
      <c r="BB279">
        <v>64</v>
      </c>
      <c r="BC279">
        <v>74</v>
      </c>
      <c r="BD279" t="s">
        <v>74</v>
      </c>
      <c r="BE279" t="s">
        <v>74</v>
      </c>
      <c r="BF279" t="s">
        <v>74</v>
      </c>
      <c r="BG279" t="s">
        <v>74</v>
      </c>
      <c r="BH279" t="s">
        <v>74</v>
      </c>
      <c r="BI279">
        <v>11</v>
      </c>
      <c r="BJ279" t="s">
        <v>130</v>
      </c>
      <c r="BK279" t="s">
        <v>2132</v>
      </c>
      <c r="BL279" t="s">
        <v>131</v>
      </c>
      <c r="BM279" t="s">
        <v>5295</v>
      </c>
      <c r="BN279" t="s">
        <v>74</v>
      </c>
      <c r="BO279" t="s">
        <v>74</v>
      </c>
      <c r="BP279" t="s">
        <v>74</v>
      </c>
      <c r="BQ279" t="s">
        <v>74</v>
      </c>
      <c r="BR279" t="s">
        <v>103</v>
      </c>
      <c r="BS279" t="s">
        <v>5296</v>
      </c>
      <c r="BT279" t="str">
        <f>HYPERLINK("https%3A%2F%2Fwww.webofscience.com%2Fwos%2Fwoscc%2Ffull-record%2FWOS:000210334400005","View Full Record in Web of Science")</f>
        <v>View Full Record in Web of Science</v>
      </c>
    </row>
    <row r="280" spans="1:72" x14ac:dyDescent="0.15">
      <c r="A280" t="s">
        <v>72</v>
      </c>
      <c r="B280" t="s">
        <v>5297</v>
      </c>
      <c r="C280" t="s">
        <v>74</v>
      </c>
      <c r="D280" t="s">
        <v>74</v>
      </c>
      <c r="E280" t="s">
        <v>74</v>
      </c>
      <c r="F280" t="s">
        <v>5298</v>
      </c>
      <c r="G280" t="s">
        <v>74</v>
      </c>
      <c r="H280" t="s">
        <v>74</v>
      </c>
      <c r="I280" t="s">
        <v>5299</v>
      </c>
      <c r="J280" t="s">
        <v>5300</v>
      </c>
      <c r="K280" t="s">
        <v>74</v>
      </c>
      <c r="L280" t="s">
        <v>74</v>
      </c>
      <c r="M280" t="s">
        <v>78</v>
      </c>
      <c r="N280" t="s">
        <v>79</v>
      </c>
      <c r="O280" t="s">
        <v>74</v>
      </c>
      <c r="P280" t="s">
        <v>74</v>
      </c>
      <c r="Q280" t="s">
        <v>74</v>
      </c>
      <c r="R280" t="s">
        <v>74</v>
      </c>
      <c r="S280" t="s">
        <v>74</v>
      </c>
      <c r="T280" t="s">
        <v>74</v>
      </c>
      <c r="U280" t="s">
        <v>5301</v>
      </c>
      <c r="V280" t="s">
        <v>5302</v>
      </c>
      <c r="W280" t="s">
        <v>5303</v>
      </c>
      <c r="X280" t="s">
        <v>5304</v>
      </c>
      <c r="Y280" t="s">
        <v>5305</v>
      </c>
      <c r="Z280" t="s">
        <v>74</v>
      </c>
      <c r="AA280" t="s">
        <v>5306</v>
      </c>
      <c r="AB280" t="s">
        <v>5307</v>
      </c>
      <c r="AC280" t="s">
        <v>5308</v>
      </c>
      <c r="AD280" t="s">
        <v>5309</v>
      </c>
      <c r="AE280" t="s">
        <v>5310</v>
      </c>
      <c r="AF280" t="s">
        <v>74</v>
      </c>
      <c r="AG280">
        <v>43</v>
      </c>
      <c r="AH280">
        <v>18</v>
      </c>
      <c r="AI280">
        <v>22</v>
      </c>
      <c r="AJ280">
        <v>2</v>
      </c>
      <c r="AK280">
        <v>52</v>
      </c>
      <c r="AL280" t="s">
        <v>1712</v>
      </c>
      <c r="AM280" t="s">
        <v>1036</v>
      </c>
      <c r="AN280" t="s">
        <v>1713</v>
      </c>
      <c r="AO280" t="s">
        <v>5311</v>
      </c>
      <c r="AP280" t="s">
        <v>74</v>
      </c>
      <c r="AQ280" t="s">
        <v>74</v>
      </c>
      <c r="AR280" t="s">
        <v>5300</v>
      </c>
      <c r="AS280" t="s">
        <v>131</v>
      </c>
      <c r="AT280" t="s">
        <v>3902</v>
      </c>
      <c r="AU280">
        <v>2011</v>
      </c>
      <c r="AV280">
        <v>39</v>
      </c>
      <c r="AW280">
        <v>7</v>
      </c>
      <c r="AX280" t="s">
        <v>74</v>
      </c>
      <c r="AY280" t="s">
        <v>74</v>
      </c>
      <c r="AZ280" t="s">
        <v>74</v>
      </c>
      <c r="BA280" t="s">
        <v>74</v>
      </c>
      <c r="BB280">
        <v>683</v>
      </c>
      <c r="BC280">
        <v>686</v>
      </c>
      <c r="BD280" t="s">
        <v>74</v>
      </c>
      <c r="BE280" t="s">
        <v>5312</v>
      </c>
      <c r="BF280" t="str">
        <f>HYPERLINK("http://dx.doi.org/10.1130/G31872.1","http://dx.doi.org/10.1130/G31872.1")</f>
        <v>http://dx.doi.org/10.1130/G31872.1</v>
      </c>
      <c r="BG280" t="s">
        <v>74</v>
      </c>
      <c r="BH280" t="s">
        <v>74</v>
      </c>
      <c r="BI280">
        <v>4</v>
      </c>
      <c r="BJ280" t="s">
        <v>131</v>
      </c>
      <c r="BK280" t="s">
        <v>100</v>
      </c>
      <c r="BL280" t="s">
        <v>131</v>
      </c>
      <c r="BM280" t="s">
        <v>5313</v>
      </c>
      <c r="BN280" t="s">
        <v>74</v>
      </c>
      <c r="BO280" t="s">
        <v>74</v>
      </c>
      <c r="BP280" t="s">
        <v>74</v>
      </c>
      <c r="BQ280" t="s">
        <v>74</v>
      </c>
      <c r="BR280" t="s">
        <v>103</v>
      </c>
      <c r="BS280" t="s">
        <v>5314</v>
      </c>
      <c r="BT280" t="str">
        <f>HYPERLINK("https%3A%2F%2Fwww.webofscience.com%2Fwos%2Fwoscc%2Ffull-record%2FWOS:000291729600019","View Full Record in Web of Science")</f>
        <v>View Full Record in Web of Science</v>
      </c>
    </row>
    <row r="281" spans="1:72" x14ac:dyDescent="0.15">
      <c r="A281" t="s">
        <v>72</v>
      </c>
      <c r="B281" t="s">
        <v>5315</v>
      </c>
      <c r="C281" t="s">
        <v>74</v>
      </c>
      <c r="D281" t="s">
        <v>74</v>
      </c>
      <c r="E281" t="s">
        <v>74</v>
      </c>
      <c r="F281" t="s">
        <v>5316</v>
      </c>
      <c r="G281" t="s">
        <v>74</v>
      </c>
      <c r="H281" t="s">
        <v>74</v>
      </c>
      <c r="I281" t="s">
        <v>5317</v>
      </c>
      <c r="J281" t="s">
        <v>5300</v>
      </c>
      <c r="K281" t="s">
        <v>74</v>
      </c>
      <c r="L281" t="s">
        <v>74</v>
      </c>
      <c r="M281" t="s">
        <v>78</v>
      </c>
      <c r="N281" t="s">
        <v>79</v>
      </c>
      <c r="O281" t="s">
        <v>74</v>
      </c>
      <c r="P281" t="s">
        <v>74</v>
      </c>
      <c r="Q281" t="s">
        <v>74</v>
      </c>
      <c r="R281" t="s">
        <v>74</v>
      </c>
      <c r="S281" t="s">
        <v>74</v>
      </c>
      <c r="T281" t="s">
        <v>74</v>
      </c>
      <c r="U281" t="s">
        <v>5318</v>
      </c>
      <c r="V281" t="s">
        <v>5319</v>
      </c>
      <c r="W281" t="s">
        <v>5320</v>
      </c>
      <c r="X281" t="s">
        <v>5321</v>
      </c>
      <c r="Y281" t="s">
        <v>5322</v>
      </c>
      <c r="Z281" t="s">
        <v>74</v>
      </c>
      <c r="AA281" t="s">
        <v>5323</v>
      </c>
      <c r="AB281" t="s">
        <v>5324</v>
      </c>
      <c r="AC281" t="s">
        <v>5325</v>
      </c>
      <c r="AD281" t="s">
        <v>5326</v>
      </c>
      <c r="AE281" t="s">
        <v>5327</v>
      </c>
      <c r="AF281" t="s">
        <v>74</v>
      </c>
      <c r="AG281">
        <v>28</v>
      </c>
      <c r="AH281">
        <v>107</v>
      </c>
      <c r="AI281">
        <v>117</v>
      </c>
      <c r="AJ281">
        <v>0</v>
      </c>
      <c r="AK281">
        <v>28</v>
      </c>
      <c r="AL281" t="s">
        <v>1712</v>
      </c>
      <c r="AM281" t="s">
        <v>1036</v>
      </c>
      <c r="AN281" t="s">
        <v>1713</v>
      </c>
      <c r="AO281" t="s">
        <v>5311</v>
      </c>
      <c r="AP281" t="s">
        <v>5328</v>
      </c>
      <c r="AQ281" t="s">
        <v>74</v>
      </c>
      <c r="AR281" t="s">
        <v>5300</v>
      </c>
      <c r="AS281" t="s">
        <v>131</v>
      </c>
      <c r="AT281" t="s">
        <v>3902</v>
      </c>
      <c r="AU281">
        <v>2011</v>
      </c>
      <c r="AV281">
        <v>39</v>
      </c>
      <c r="AW281">
        <v>7</v>
      </c>
      <c r="AX281" t="s">
        <v>74</v>
      </c>
      <c r="AY281" t="s">
        <v>74</v>
      </c>
      <c r="AZ281" t="s">
        <v>74</v>
      </c>
      <c r="BA281" t="s">
        <v>74</v>
      </c>
      <c r="BB281">
        <v>691</v>
      </c>
      <c r="BC281">
        <v>694</v>
      </c>
      <c r="BD281" t="s">
        <v>74</v>
      </c>
      <c r="BE281" t="s">
        <v>5329</v>
      </c>
      <c r="BF281" t="str">
        <f>HYPERLINK("http://dx.doi.org/10.1130/G32153.1","http://dx.doi.org/10.1130/G32153.1")</f>
        <v>http://dx.doi.org/10.1130/G32153.1</v>
      </c>
      <c r="BG281" t="s">
        <v>74</v>
      </c>
      <c r="BH281" t="s">
        <v>74</v>
      </c>
      <c r="BI281">
        <v>4</v>
      </c>
      <c r="BJ281" t="s">
        <v>131</v>
      </c>
      <c r="BK281" t="s">
        <v>100</v>
      </c>
      <c r="BL281" t="s">
        <v>131</v>
      </c>
      <c r="BM281" t="s">
        <v>5313</v>
      </c>
      <c r="BN281" t="s">
        <v>74</v>
      </c>
      <c r="BO281" t="s">
        <v>74</v>
      </c>
      <c r="BP281" t="s">
        <v>74</v>
      </c>
      <c r="BQ281" t="s">
        <v>74</v>
      </c>
      <c r="BR281" t="s">
        <v>103</v>
      </c>
      <c r="BS281" t="s">
        <v>5330</v>
      </c>
      <c r="BT281" t="str">
        <f>HYPERLINK("https%3A%2F%2Fwww.webofscience.com%2Fwos%2Fwoscc%2Ffull-record%2FWOS:000291729600021","View Full Record in Web of Science")</f>
        <v>View Full Record in Web of Science</v>
      </c>
    </row>
    <row r="282" spans="1:72" x14ac:dyDescent="0.15">
      <c r="A282" t="s">
        <v>72</v>
      </c>
      <c r="B282" t="s">
        <v>5331</v>
      </c>
      <c r="C282" t="s">
        <v>74</v>
      </c>
      <c r="D282" t="s">
        <v>74</v>
      </c>
      <c r="E282" t="s">
        <v>74</v>
      </c>
      <c r="F282" t="s">
        <v>5332</v>
      </c>
      <c r="G282" t="s">
        <v>74</v>
      </c>
      <c r="H282" t="s">
        <v>74</v>
      </c>
      <c r="I282" t="s">
        <v>5333</v>
      </c>
      <c r="J282" t="s">
        <v>4293</v>
      </c>
      <c r="K282" t="s">
        <v>74</v>
      </c>
      <c r="L282" t="s">
        <v>74</v>
      </c>
      <c r="M282" t="s">
        <v>78</v>
      </c>
      <c r="N282" t="s">
        <v>79</v>
      </c>
      <c r="O282" t="s">
        <v>74</v>
      </c>
      <c r="P282" t="s">
        <v>74</v>
      </c>
      <c r="Q282" t="s">
        <v>74</v>
      </c>
      <c r="R282" t="s">
        <v>74</v>
      </c>
      <c r="S282" t="s">
        <v>74</v>
      </c>
      <c r="T282" t="s">
        <v>5334</v>
      </c>
      <c r="U282" t="s">
        <v>5335</v>
      </c>
      <c r="V282" t="s">
        <v>5336</v>
      </c>
      <c r="W282" t="s">
        <v>5337</v>
      </c>
      <c r="X282" t="s">
        <v>5338</v>
      </c>
      <c r="Y282" t="s">
        <v>5339</v>
      </c>
      <c r="Z282" t="s">
        <v>5340</v>
      </c>
      <c r="AA282" t="s">
        <v>74</v>
      </c>
      <c r="AB282" t="s">
        <v>74</v>
      </c>
      <c r="AC282" t="s">
        <v>5341</v>
      </c>
      <c r="AD282" t="s">
        <v>5342</v>
      </c>
      <c r="AE282" t="s">
        <v>5343</v>
      </c>
      <c r="AF282" t="s">
        <v>74</v>
      </c>
      <c r="AG282">
        <v>51</v>
      </c>
      <c r="AH282">
        <v>52</v>
      </c>
      <c r="AI282">
        <v>59</v>
      </c>
      <c r="AJ282">
        <v>1</v>
      </c>
      <c r="AK282">
        <v>27</v>
      </c>
      <c r="AL282" t="s">
        <v>2968</v>
      </c>
      <c r="AM282" t="s">
        <v>508</v>
      </c>
      <c r="AN282" t="s">
        <v>2969</v>
      </c>
      <c r="AO282" t="s">
        <v>4306</v>
      </c>
      <c r="AP282" t="s">
        <v>4307</v>
      </c>
      <c r="AQ282" t="s">
        <v>74</v>
      </c>
      <c r="AR282" t="s">
        <v>4308</v>
      </c>
      <c r="AS282" t="s">
        <v>4309</v>
      </c>
      <c r="AT282" t="s">
        <v>3902</v>
      </c>
      <c r="AU282">
        <v>2011</v>
      </c>
      <c r="AV282">
        <v>68</v>
      </c>
      <c r="AW282">
        <v>7</v>
      </c>
      <c r="AX282" t="s">
        <v>74</v>
      </c>
      <c r="AY282" t="s">
        <v>74</v>
      </c>
      <c r="AZ282" t="s">
        <v>74</v>
      </c>
      <c r="BA282" t="s">
        <v>74</v>
      </c>
      <c r="BB282">
        <v>1391</v>
      </c>
      <c r="BC282">
        <v>1402</v>
      </c>
      <c r="BD282" t="s">
        <v>74</v>
      </c>
      <c r="BE282" t="s">
        <v>5344</v>
      </c>
      <c r="BF282" t="str">
        <f>HYPERLINK("http://dx.doi.org/10.1093/icesjms/fsr046","http://dx.doi.org/10.1093/icesjms/fsr046")</f>
        <v>http://dx.doi.org/10.1093/icesjms/fsr046</v>
      </c>
      <c r="BG282" t="s">
        <v>74</v>
      </c>
      <c r="BH282" t="s">
        <v>74</v>
      </c>
      <c r="BI282">
        <v>12</v>
      </c>
      <c r="BJ282" t="s">
        <v>4311</v>
      </c>
      <c r="BK282" t="s">
        <v>100</v>
      </c>
      <c r="BL282" t="s">
        <v>4311</v>
      </c>
      <c r="BM282" t="s">
        <v>5345</v>
      </c>
      <c r="BN282" t="s">
        <v>74</v>
      </c>
      <c r="BO282" t="s">
        <v>152</v>
      </c>
      <c r="BP282" t="s">
        <v>74</v>
      </c>
      <c r="BQ282" t="s">
        <v>74</v>
      </c>
      <c r="BR282" t="s">
        <v>103</v>
      </c>
      <c r="BS282" t="s">
        <v>5346</v>
      </c>
      <c r="BT282" t="str">
        <f>HYPERLINK("https%3A%2F%2Fwww.webofscience.com%2Fwos%2Fwoscc%2Ffull-record%2FWOS:000294167800003","View Full Record in Web of Science")</f>
        <v>View Full Record in Web of Science</v>
      </c>
    </row>
    <row r="283" spans="1:72" x14ac:dyDescent="0.15">
      <c r="A283" t="s">
        <v>72</v>
      </c>
      <c r="B283" t="s">
        <v>5347</v>
      </c>
      <c r="C283" t="s">
        <v>74</v>
      </c>
      <c r="D283" t="s">
        <v>74</v>
      </c>
      <c r="E283" t="s">
        <v>74</v>
      </c>
      <c r="F283" t="s">
        <v>5348</v>
      </c>
      <c r="G283" t="s">
        <v>74</v>
      </c>
      <c r="H283" t="s">
        <v>74</v>
      </c>
      <c r="I283" t="s">
        <v>5349</v>
      </c>
      <c r="J283" t="s">
        <v>5350</v>
      </c>
      <c r="K283" t="s">
        <v>74</v>
      </c>
      <c r="L283" t="s">
        <v>74</v>
      </c>
      <c r="M283" t="s">
        <v>78</v>
      </c>
      <c r="N283" t="s">
        <v>79</v>
      </c>
      <c r="O283" t="s">
        <v>74</v>
      </c>
      <c r="P283" t="s">
        <v>74</v>
      </c>
      <c r="Q283" t="s">
        <v>74</v>
      </c>
      <c r="R283" t="s">
        <v>74</v>
      </c>
      <c r="S283" t="s">
        <v>74</v>
      </c>
      <c r="T283" t="s">
        <v>74</v>
      </c>
      <c r="U283" t="s">
        <v>5351</v>
      </c>
      <c r="V283" t="s">
        <v>5352</v>
      </c>
      <c r="W283" t="s">
        <v>5353</v>
      </c>
      <c r="X283" t="s">
        <v>5354</v>
      </c>
      <c r="Y283" t="s">
        <v>5355</v>
      </c>
      <c r="Z283" t="s">
        <v>5356</v>
      </c>
      <c r="AA283" t="s">
        <v>74</v>
      </c>
      <c r="AB283" t="s">
        <v>74</v>
      </c>
      <c r="AC283" t="s">
        <v>5357</v>
      </c>
      <c r="AD283" t="s">
        <v>5358</v>
      </c>
      <c r="AE283" t="s">
        <v>5359</v>
      </c>
      <c r="AF283" t="s">
        <v>74</v>
      </c>
      <c r="AG283">
        <v>70</v>
      </c>
      <c r="AH283">
        <v>78</v>
      </c>
      <c r="AI283">
        <v>87</v>
      </c>
      <c r="AJ283">
        <v>1</v>
      </c>
      <c r="AK283">
        <v>43</v>
      </c>
      <c r="AL283" t="s">
        <v>4849</v>
      </c>
      <c r="AM283" t="s">
        <v>4850</v>
      </c>
      <c r="AN283" t="s">
        <v>4851</v>
      </c>
      <c r="AO283" t="s">
        <v>5360</v>
      </c>
      <c r="AP283" t="s">
        <v>5361</v>
      </c>
      <c r="AQ283" t="s">
        <v>74</v>
      </c>
      <c r="AR283" t="s">
        <v>5362</v>
      </c>
      <c r="AS283" t="s">
        <v>5363</v>
      </c>
      <c r="AT283" t="s">
        <v>3902</v>
      </c>
      <c r="AU283">
        <v>2011</v>
      </c>
      <c r="AV283">
        <v>51</v>
      </c>
      <c r="AW283">
        <v>1</v>
      </c>
      <c r="AX283" t="s">
        <v>74</v>
      </c>
      <c r="AY283" t="s">
        <v>74</v>
      </c>
      <c r="AZ283" t="s">
        <v>74</v>
      </c>
      <c r="BA283" t="s">
        <v>74</v>
      </c>
      <c r="BB283">
        <v>62</v>
      </c>
      <c r="BC283">
        <v>72</v>
      </c>
      <c r="BD283" t="s">
        <v>74</v>
      </c>
      <c r="BE283" t="s">
        <v>5364</v>
      </c>
      <c r="BF283" t="str">
        <f>HYPERLINK("http://dx.doi.org/10.1093/icb/icr013","http://dx.doi.org/10.1093/icb/icr013")</f>
        <v>http://dx.doi.org/10.1093/icb/icr013</v>
      </c>
      <c r="BG283" t="s">
        <v>74</v>
      </c>
      <c r="BH283" t="s">
        <v>74</v>
      </c>
      <c r="BI283">
        <v>11</v>
      </c>
      <c r="BJ283" t="s">
        <v>3232</v>
      </c>
      <c r="BK283" t="s">
        <v>100</v>
      </c>
      <c r="BL283" t="s">
        <v>3232</v>
      </c>
      <c r="BM283" t="s">
        <v>5365</v>
      </c>
      <c r="BN283">
        <v>21593141</v>
      </c>
      <c r="BO283" t="s">
        <v>74</v>
      </c>
      <c r="BP283" t="s">
        <v>74</v>
      </c>
      <c r="BQ283" t="s">
        <v>74</v>
      </c>
      <c r="BR283" t="s">
        <v>103</v>
      </c>
      <c r="BS283" t="s">
        <v>5366</v>
      </c>
      <c r="BT283" t="str">
        <f>HYPERLINK("https%3A%2F%2Fwww.webofscience.com%2Fwos%2Fwoscc%2Ffull-record%2FWOS:000292313800006","View Full Record in Web of Science")</f>
        <v>View Full Record in Web of Science</v>
      </c>
    </row>
    <row r="284" spans="1:72" x14ac:dyDescent="0.15">
      <c r="A284" t="s">
        <v>72</v>
      </c>
      <c r="B284" t="s">
        <v>5367</v>
      </c>
      <c r="C284" t="s">
        <v>74</v>
      </c>
      <c r="D284" t="s">
        <v>74</v>
      </c>
      <c r="E284" t="s">
        <v>74</v>
      </c>
      <c r="F284" t="s">
        <v>5368</v>
      </c>
      <c r="G284" t="s">
        <v>74</v>
      </c>
      <c r="H284" t="s">
        <v>74</v>
      </c>
      <c r="I284" t="s">
        <v>5369</v>
      </c>
      <c r="J284" t="s">
        <v>913</v>
      </c>
      <c r="K284" t="s">
        <v>74</v>
      </c>
      <c r="L284" t="s">
        <v>74</v>
      </c>
      <c r="M284" t="s">
        <v>78</v>
      </c>
      <c r="N284" t="s">
        <v>79</v>
      </c>
      <c r="O284" t="s">
        <v>74</v>
      </c>
      <c r="P284" t="s">
        <v>74</v>
      </c>
      <c r="Q284" t="s">
        <v>74</v>
      </c>
      <c r="R284" t="s">
        <v>74</v>
      </c>
      <c r="S284" t="s">
        <v>74</v>
      </c>
      <c r="T284" t="s">
        <v>5370</v>
      </c>
      <c r="U284" t="s">
        <v>5371</v>
      </c>
      <c r="V284" t="s">
        <v>5372</v>
      </c>
      <c r="W284" t="s">
        <v>5373</v>
      </c>
      <c r="X284" t="s">
        <v>5374</v>
      </c>
      <c r="Y284" t="s">
        <v>5375</v>
      </c>
      <c r="Z284" t="s">
        <v>5376</v>
      </c>
      <c r="AA284" t="s">
        <v>5377</v>
      </c>
      <c r="AB284" t="s">
        <v>5378</v>
      </c>
      <c r="AC284" t="s">
        <v>5379</v>
      </c>
      <c r="AD284" t="s">
        <v>5380</v>
      </c>
      <c r="AE284" t="s">
        <v>5381</v>
      </c>
      <c r="AF284" t="s">
        <v>74</v>
      </c>
      <c r="AG284">
        <v>69</v>
      </c>
      <c r="AH284">
        <v>60</v>
      </c>
      <c r="AI284">
        <v>63</v>
      </c>
      <c r="AJ284">
        <v>0</v>
      </c>
      <c r="AK284">
        <v>6</v>
      </c>
      <c r="AL284" t="s">
        <v>926</v>
      </c>
      <c r="AM284" t="s">
        <v>508</v>
      </c>
      <c r="AN284" t="s">
        <v>927</v>
      </c>
      <c r="AO284" t="s">
        <v>928</v>
      </c>
      <c r="AP284" t="s">
        <v>4067</v>
      </c>
      <c r="AQ284" t="s">
        <v>74</v>
      </c>
      <c r="AR284" t="s">
        <v>929</v>
      </c>
      <c r="AS284" t="s">
        <v>930</v>
      </c>
      <c r="AT284" t="s">
        <v>3902</v>
      </c>
      <c r="AU284">
        <v>2011</v>
      </c>
      <c r="AV284">
        <v>73</v>
      </c>
      <c r="AW284" t="s">
        <v>4068</v>
      </c>
      <c r="AX284" t="s">
        <v>74</v>
      </c>
      <c r="AY284" t="s">
        <v>74</v>
      </c>
      <c r="AZ284" t="s">
        <v>864</v>
      </c>
      <c r="BA284" t="s">
        <v>74</v>
      </c>
      <c r="BB284">
        <v>1435</v>
      </c>
      <c r="BC284">
        <v>1443</v>
      </c>
      <c r="BD284" t="s">
        <v>74</v>
      </c>
      <c r="BE284" t="s">
        <v>5382</v>
      </c>
      <c r="BF284" t="str">
        <f>HYPERLINK("http://dx.doi.org/10.1016/j.jastp.2010.09.033","http://dx.doi.org/10.1016/j.jastp.2010.09.033")</f>
        <v>http://dx.doi.org/10.1016/j.jastp.2010.09.033</v>
      </c>
      <c r="BG284" t="s">
        <v>74</v>
      </c>
      <c r="BH284" t="s">
        <v>74</v>
      </c>
      <c r="BI284">
        <v>9</v>
      </c>
      <c r="BJ284" t="s">
        <v>932</v>
      </c>
      <c r="BK284" t="s">
        <v>100</v>
      </c>
      <c r="BL284" t="s">
        <v>932</v>
      </c>
      <c r="BM284" t="s">
        <v>4070</v>
      </c>
      <c r="BN284" t="s">
        <v>74</v>
      </c>
      <c r="BO284" t="s">
        <v>1025</v>
      </c>
      <c r="BP284" t="s">
        <v>74</v>
      </c>
      <c r="BQ284" t="s">
        <v>74</v>
      </c>
      <c r="BR284" t="s">
        <v>103</v>
      </c>
      <c r="BS284" t="s">
        <v>5383</v>
      </c>
      <c r="BT284" t="str">
        <f>HYPERLINK("https%3A%2F%2Fwww.webofscience.com%2Fwos%2Fwoscc%2Ffull-record%2FWOS:000294093500019","View Full Record in Web of Science")</f>
        <v>View Full Record in Web of Science</v>
      </c>
    </row>
    <row r="285" spans="1:72" x14ac:dyDescent="0.15">
      <c r="A285" t="s">
        <v>72</v>
      </c>
      <c r="B285" t="s">
        <v>5384</v>
      </c>
      <c r="C285" t="s">
        <v>74</v>
      </c>
      <c r="D285" t="s">
        <v>74</v>
      </c>
      <c r="E285" t="s">
        <v>74</v>
      </c>
      <c r="F285" t="s">
        <v>5385</v>
      </c>
      <c r="G285" t="s">
        <v>74</v>
      </c>
      <c r="H285" t="s">
        <v>74</v>
      </c>
      <c r="I285" t="s">
        <v>5386</v>
      </c>
      <c r="J285" t="s">
        <v>1263</v>
      </c>
      <c r="K285" t="s">
        <v>74</v>
      </c>
      <c r="L285" t="s">
        <v>74</v>
      </c>
      <c r="M285" t="s">
        <v>78</v>
      </c>
      <c r="N285" t="s">
        <v>79</v>
      </c>
      <c r="O285" t="s">
        <v>74</v>
      </c>
      <c r="P285" t="s">
        <v>74</v>
      </c>
      <c r="Q285" t="s">
        <v>74</v>
      </c>
      <c r="R285" t="s">
        <v>74</v>
      </c>
      <c r="S285" t="s">
        <v>74</v>
      </c>
      <c r="T285" t="s">
        <v>74</v>
      </c>
      <c r="U285" t="s">
        <v>5387</v>
      </c>
      <c r="V285" t="s">
        <v>5388</v>
      </c>
      <c r="W285" t="s">
        <v>5389</v>
      </c>
      <c r="X285" t="s">
        <v>5390</v>
      </c>
      <c r="Y285" t="s">
        <v>5391</v>
      </c>
      <c r="Z285" t="s">
        <v>5392</v>
      </c>
      <c r="AA285" t="s">
        <v>5393</v>
      </c>
      <c r="AB285" t="s">
        <v>5394</v>
      </c>
      <c r="AC285" t="s">
        <v>74</v>
      </c>
      <c r="AD285" t="s">
        <v>74</v>
      </c>
      <c r="AE285" t="s">
        <v>74</v>
      </c>
      <c r="AF285" t="s">
        <v>74</v>
      </c>
      <c r="AG285">
        <v>81</v>
      </c>
      <c r="AH285">
        <v>255</v>
      </c>
      <c r="AI285">
        <v>275</v>
      </c>
      <c r="AJ285">
        <v>1</v>
      </c>
      <c r="AK285">
        <v>46</v>
      </c>
      <c r="AL285" t="s">
        <v>1275</v>
      </c>
      <c r="AM285" t="s">
        <v>1276</v>
      </c>
      <c r="AN285" t="s">
        <v>1277</v>
      </c>
      <c r="AO285" t="s">
        <v>1278</v>
      </c>
      <c r="AP285" t="s">
        <v>1279</v>
      </c>
      <c r="AQ285" t="s">
        <v>74</v>
      </c>
      <c r="AR285" t="s">
        <v>1280</v>
      </c>
      <c r="AS285" t="s">
        <v>1281</v>
      </c>
      <c r="AT285" t="s">
        <v>3902</v>
      </c>
      <c r="AU285">
        <v>2011</v>
      </c>
      <c r="AV285">
        <v>24</v>
      </c>
      <c r="AW285">
        <v>13</v>
      </c>
      <c r="AX285" t="s">
        <v>74</v>
      </c>
      <c r="AY285" t="s">
        <v>74</v>
      </c>
      <c r="AZ285" t="s">
        <v>74</v>
      </c>
      <c r="BA285" t="s">
        <v>74</v>
      </c>
      <c r="BB285">
        <v>3520</v>
      </c>
      <c r="BC285">
        <v>3544</v>
      </c>
      <c r="BD285" t="s">
        <v>74</v>
      </c>
      <c r="BE285" t="s">
        <v>5395</v>
      </c>
      <c r="BF285" t="str">
        <f>HYPERLINK("http://dx.doi.org/10.1175/2011JCLI3964.1","http://dx.doi.org/10.1175/2011JCLI3964.1")</f>
        <v>http://dx.doi.org/10.1175/2011JCLI3964.1</v>
      </c>
      <c r="BG285" t="s">
        <v>74</v>
      </c>
      <c r="BH285" t="s">
        <v>74</v>
      </c>
      <c r="BI285">
        <v>25</v>
      </c>
      <c r="BJ285" t="s">
        <v>248</v>
      </c>
      <c r="BK285" t="s">
        <v>100</v>
      </c>
      <c r="BL285" t="s">
        <v>248</v>
      </c>
      <c r="BM285" t="s">
        <v>5396</v>
      </c>
      <c r="BN285" t="s">
        <v>74</v>
      </c>
      <c r="BO285" t="s">
        <v>1039</v>
      </c>
      <c r="BP285" t="s">
        <v>74</v>
      </c>
      <c r="BQ285" t="s">
        <v>74</v>
      </c>
      <c r="BR285" t="s">
        <v>103</v>
      </c>
      <c r="BS285" t="s">
        <v>5397</v>
      </c>
      <c r="BT285" t="str">
        <f>HYPERLINK("https%3A%2F%2Fwww.webofscience.com%2Fwos%2Fwoscc%2Ffull-record%2FWOS:000292590500023","View Full Record in Web of Science")</f>
        <v>View Full Record in Web of Science</v>
      </c>
    </row>
    <row r="286" spans="1:72" x14ac:dyDescent="0.15">
      <c r="A286" t="s">
        <v>72</v>
      </c>
      <c r="B286" t="s">
        <v>5398</v>
      </c>
      <c r="C286" t="s">
        <v>74</v>
      </c>
      <c r="D286" t="s">
        <v>74</v>
      </c>
      <c r="E286" t="s">
        <v>74</v>
      </c>
      <c r="F286" t="s">
        <v>5399</v>
      </c>
      <c r="G286" t="s">
        <v>74</v>
      </c>
      <c r="H286" t="s">
        <v>74</v>
      </c>
      <c r="I286" t="s">
        <v>5400</v>
      </c>
      <c r="J286" t="s">
        <v>5401</v>
      </c>
      <c r="K286" t="s">
        <v>74</v>
      </c>
      <c r="L286" t="s">
        <v>74</v>
      </c>
      <c r="M286" t="s">
        <v>78</v>
      </c>
      <c r="N286" t="s">
        <v>79</v>
      </c>
      <c r="O286" t="s">
        <v>74</v>
      </c>
      <c r="P286" t="s">
        <v>74</v>
      </c>
      <c r="Q286" t="s">
        <v>74</v>
      </c>
      <c r="R286" t="s">
        <v>74</v>
      </c>
      <c r="S286" t="s">
        <v>74</v>
      </c>
      <c r="T286" t="s">
        <v>5402</v>
      </c>
      <c r="U286" t="s">
        <v>5403</v>
      </c>
      <c r="V286" t="s">
        <v>5404</v>
      </c>
      <c r="W286" t="s">
        <v>5405</v>
      </c>
      <c r="X286" t="s">
        <v>5406</v>
      </c>
      <c r="Y286" t="s">
        <v>5407</v>
      </c>
      <c r="Z286" t="s">
        <v>5408</v>
      </c>
      <c r="AA286" t="s">
        <v>74</v>
      </c>
      <c r="AB286" t="s">
        <v>5409</v>
      </c>
      <c r="AC286" t="s">
        <v>5410</v>
      </c>
      <c r="AD286" t="s">
        <v>4493</v>
      </c>
      <c r="AE286" t="s">
        <v>5411</v>
      </c>
      <c r="AF286" t="s">
        <v>74</v>
      </c>
      <c r="AG286">
        <v>44</v>
      </c>
      <c r="AH286">
        <v>45</v>
      </c>
      <c r="AI286">
        <v>55</v>
      </c>
      <c r="AJ286">
        <v>0</v>
      </c>
      <c r="AK286">
        <v>75</v>
      </c>
      <c r="AL286" t="s">
        <v>1571</v>
      </c>
      <c r="AM286" t="s">
        <v>1572</v>
      </c>
      <c r="AN286" t="s">
        <v>1573</v>
      </c>
      <c r="AO286" t="s">
        <v>1878</v>
      </c>
      <c r="AP286" t="s">
        <v>1879</v>
      </c>
      <c r="AQ286" t="s">
        <v>74</v>
      </c>
      <c r="AR286" t="s">
        <v>1880</v>
      </c>
      <c r="AS286" t="s">
        <v>1881</v>
      </c>
      <c r="AT286" t="s">
        <v>3902</v>
      </c>
      <c r="AU286">
        <v>2011</v>
      </c>
      <c r="AV286">
        <v>181</v>
      </c>
      <c r="AW286">
        <v>5</v>
      </c>
      <c r="AX286" t="s">
        <v>74</v>
      </c>
      <c r="AY286" t="s">
        <v>74</v>
      </c>
      <c r="AZ286" t="s">
        <v>74</v>
      </c>
      <c r="BA286" t="s">
        <v>74</v>
      </c>
      <c r="BB286">
        <v>631</v>
      </c>
      <c r="BC286">
        <v>640</v>
      </c>
      <c r="BD286" t="s">
        <v>74</v>
      </c>
      <c r="BE286" t="s">
        <v>5412</v>
      </c>
      <c r="BF286" t="str">
        <f>HYPERLINK("http://dx.doi.org/10.1007/s00360-011-0552-8","http://dx.doi.org/10.1007/s00360-011-0552-8")</f>
        <v>http://dx.doi.org/10.1007/s00360-011-0552-8</v>
      </c>
      <c r="BG286" t="s">
        <v>74</v>
      </c>
      <c r="BH286" t="s">
        <v>74</v>
      </c>
      <c r="BI286">
        <v>10</v>
      </c>
      <c r="BJ286" t="s">
        <v>1883</v>
      </c>
      <c r="BK286" t="s">
        <v>100</v>
      </c>
      <c r="BL286" t="s">
        <v>1883</v>
      </c>
      <c r="BM286" t="s">
        <v>5413</v>
      </c>
      <c r="BN286">
        <v>21279720</v>
      </c>
      <c r="BO286" t="s">
        <v>74</v>
      </c>
      <c r="BP286" t="s">
        <v>74</v>
      </c>
      <c r="BQ286" t="s">
        <v>74</v>
      </c>
      <c r="BR286" t="s">
        <v>103</v>
      </c>
      <c r="BS286" t="s">
        <v>5414</v>
      </c>
      <c r="BT286" t="str">
        <f>HYPERLINK("https%3A%2F%2Fwww.webofscience.com%2Fwos%2Fwoscc%2Ffull-record%2FWOS:000291803400005","View Full Record in Web of Science")</f>
        <v>View Full Record in Web of Science</v>
      </c>
    </row>
    <row r="287" spans="1:72" x14ac:dyDescent="0.15">
      <c r="A287" t="s">
        <v>72</v>
      </c>
      <c r="B287" t="s">
        <v>5415</v>
      </c>
      <c r="C287" t="s">
        <v>74</v>
      </c>
      <c r="D287" t="s">
        <v>74</v>
      </c>
      <c r="E287" t="s">
        <v>74</v>
      </c>
      <c r="F287" t="s">
        <v>5416</v>
      </c>
      <c r="G287" t="s">
        <v>74</v>
      </c>
      <c r="H287" t="s">
        <v>74</v>
      </c>
      <c r="I287" t="s">
        <v>5417</v>
      </c>
      <c r="J287" t="s">
        <v>5418</v>
      </c>
      <c r="K287" t="s">
        <v>74</v>
      </c>
      <c r="L287" t="s">
        <v>74</v>
      </c>
      <c r="M287" t="s">
        <v>78</v>
      </c>
      <c r="N287" t="s">
        <v>79</v>
      </c>
      <c r="O287" t="s">
        <v>74</v>
      </c>
      <c r="P287" t="s">
        <v>74</v>
      </c>
      <c r="Q287" t="s">
        <v>74</v>
      </c>
      <c r="R287" t="s">
        <v>74</v>
      </c>
      <c r="S287" t="s">
        <v>74</v>
      </c>
      <c r="T287" t="s">
        <v>5419</v>
      </c>
      <c r="U287" t="s">
        <v>5420</v>
      </c>
      <c r="V287" t="s">
        <v>5421</v>
      </c>
      <c r="W287" t="s">
        <v>5422</v>
      </c>
      <c r="X287" t="s">
        <v>5423</v>
      </c>
      <c r="Y287" t="s">
        <v>5424</v>
      </c>
      <c r="Z287" t="s">
        <v>5425</v>
      </c>
      <c r="AA287" t="s">
        <v>5426</v>
      </c>
      <c r="AB287" t="s">
        <v>5427</v>
      </c>
      <c r="AC287" t="s">
        <v>5428</v>
      </c>
      <c r="AD287" t="s">
        <v>5429</v>
      </c>
      <c r="AE287" t="s">
        <v>5430</v>
      </c>
      <c r="AF287" t="s">
        <v>74</v>
      </c>
      <c r="AG287">
        <v>48</v>
      </c>
      <c r="AH287">
        <v>77</v>
      </c>
      <c r="AI287">
        <v>90</v>
      </c>
      <c r="AJ287">
        <v>5</v>
      </c>
      <c r="AK287">
        <v>106</v>
      </c>
      <c r="AL287" t="s">
        <v>1323</v>
      </c>
      <c r="AM287" t="s">
        <v>1324</v>
      </c>
      <c r="AN287" t="s">
        <v>1325</v>
      </c>
      <c r="AO287" t="s">
        <v>5431</v>
      </c>
      <c r="AP287" t="s">
        <v>5432</v>
      </c>
      <c r="AQ287" t="s">
        <v>74</v>
      </c>
      <c r="AR287" t="s">
        <v>5433</v>
      </c>
      <c r="AS287" t="s">
        <v>5434</v>
      </c>
      <c r="AT287" t="s">
        <v>3902</v>
      </c>
      <c r="AU287">
        <v>2011</v>
      </c>
      <c r="AV287">
        <v>99</v>
      </c>
      <c r="AW287">
        <v>4</v>
      </c>
      <c r="AX287" t="s">
        <v>74</v>
      </c>
      <c r="AY287" t="s">
        <v>74</v>
      </c>
      <c r="AZ287" t="s">
        <v>74</v>
      </c>
      <c r="BA287" t="s">
        <v>74</v>
      </c>
      <c r="BB287">
        <v>914</v>
      </c>
      <c r="BC287">
        <v>922</v>
      </c>
      <c r="BD287" t="s">
        <v>74</v>
      </c>
      <c r="BE287" t="s">
        <v>5435</v>
      </c>
      <c r="BF287" t="str">
        <f>HYPERLINK("http://dx.doi.org/10.1111/j.1365-2745.2011.01823.x","http://dx.doi.org/10.1111/j.1365-2745.2011.01823.x")</f>
        <v>http://dx.doi.org/10.1111/j.1365-2745.2011.01823.x</v>
      </c>
      <c r="BG287" t="s">
        <v>74</v>
      </c>
      <c r="BH287" t="s">
        <v>74</v>
      </c>
      <c r="BI287">
        <v>9</v>
      </c>
      <c r="BJ287" t="s">
        <v>5436</v>
      </c>
      <c r="BK287" t="s">
        <v>100</v>
      </c>
      <c r="BL287" t="s">
        <v>5437</v>
      </c>
      <c r="BM287" t="s">
        <v>5438</v>
      </c>
      <c r="BN287" t="s">
        <v>74</v>
      </c>
      <c r="BO287" t="s">
        <v>152</v>
      </c>
      <c r="BP287" t="s">
        <v>74</v>
      </c>
      <c r="BQ287" t="s">
        <v>74</v>
      </c>
      <c r="BR287" t="s">
        <v>103</v>
      </c>
      <c r="BS287" t="s">
        <v>5439</v>
      </c>
      <c r="BT287" t="str">
        <f>HYPERLINK("https%3A%2F%2Fwww.webofscience.com%2Fwos%2Fwoscc%2Ffull-record%2FWOS:000292419800004","View Full Record in Web of Science")</f>
        <v>View Full Record in Web of Science</v>
      </c>
    </row>
    <row r="288" spans="1:72" x14ac:dyDescent="0.15">
      <c r="A288" t="s">
        <v>72</v>
      </c>
      <c r="B288" t="s">
        <v>5440</v>
      </c>
      <c r="C288" t="s">
        <v>74</v>
      </c>
      <c r="D288" t="s">
        <v>74</v>
      </c>
      <c r="E288" t="s">
        <v>74</v>
      </c>
      <c r="F288" t="s">
        <v>5441</v>
      </c>
      <c r="G288" t="s">
        <v>74</v>
      </c>
      <c r="H288" t="s">
        <v>74</v>
      </c>
      <c r="I288" t="s">
        <v>5442</v>
      </c>
      <c r="J288" t="s">
        <v>5443</v>
      </c>
      <c r="K288" t="s">
        <v>74</v>
      </c>
      <c r="L288" t="s">
        <v>74</v>
      </c>
      <c r="M288" t="s">
        <v>78</v>
      </c>
      <c r="N288" t="s">
        <v>79</v>
      </c>
      <c r="O288" t="s">
        <v>74</v>
      </c>
      <c r="P288" t="s">
        <v>74</v>
      </c>
      <c r="Q288" t="s">
        <v>74</v>
      </c>
      <c r="R288" t="s">
        <v>74</v>
      </c>
      <c r="S288" t="s">
        <v>74</v>
      </c>
      <c r="T288" t="s">
        <v>5444</v>
      </c>
      <c r="U288" t="s">
        <v>5445</v>
      </c>
      <c r="V288" t="s">
        <v>5446</v>
      </c>
      <c r="W288" t="s">
        <v>5447</v>
      </c>
      <c r="X288" t="s">
        <v>5448</v>
      </c>
      <c r="Y288" t="s">
        <v>5449</v>
      </c>
      <c r="Z288" t="s">
        <v>5450</v>
      </c>
      <c r="AA288" t="s">
        <v>5451</v>
      </c>
      <c r="AB288" t="s">
        <v>5452</v>
      </c>
      <c r="AC288" t="s">
        <v>5453</v>
      </c>
      <c r="AD288" t="s">
        <v>5454</v>
      </c>
      <c r="AE288" t="s">
        <v>5455</v>
      </c>
      <c r="AF288" t="s">
        <v>74</v>
      </c>
      <c r="AG288">
        <v>63</v>
      </c>
      <c r="AH288">
        <v>34</v>
      </c>
      <c r="AI288">
        <v>39</v>
      </c>
      <c r="AJ288">
        <v>1</v>
      </c>
      <c r="AK288">
        <v>69</v>
      </c>
      <c r="AL288" t="s">
        <v>1323</v>
      </c>
      <c r="AM288" t="s">
        <v>1324</v>
      </c>
      <c r="AN288" t="s">
        <v>1325</v>
      </c>
      <c r="AO288" t="s">
        <v>5456</v>
      </c>
      <c r="AP288" t="s">
        <v>5457</v>
      </c>
      <c r="AQ288" t="s">
        <v>74</v>
      </c>
      <c r="AR288" t="s">
        <v>5458</v>
      </c>
      <c r="AS288" t="s">
        <v>5459</v>
      </c>
      <c r="AT288" t="s">
        <v>3902</v>
      </c>
      <c r="AU288">
        <v>2011</v>
      </c>
      <c r="AV288">
        <v>24</v>
      </c>
      <c r="AW288">
        <v>7</v>
      </c>
      <c r="AX288" t="s">
        <v>74</v>
      </c>
      <c r="AY288" t="s">
        <v>74</v>
      </c>
      <c r="AZ288" t="s">
        <v>74</v>
      </c>
      <c r="BA288" t="s">
        <v>74</v>
      </c>
      <c r="BB288">
        <v>1487</v>
      </c>
      <c r="BC288">
        <v>1496</v>
      </c>
      <c r="BD288" t="s">
        <v>74</v>
      </c>
      <c r="BE288" t="s">
        <v>5460</v>
      </c>
      <c r="BF288" t="str">
        <f>HYPERLINK("http://dx.doi.org/10.1111/j.1420-9101.2011.02281.x","http://dx.doi.org/10.1111/j.1420-9101.2011.02281.x")</f>
        <v>http://dx.doi.org/10.1111/j.1420-9101.2011.02281.x</v>
      </c>
      <c r="BG288" t="s">
        <v>74</v>
      </c>
      <c r="BH288" t="s">
        <v>74</v>
      </c>
      <c r="BI288">
        <v>10</v>
      </c>
      <c r="BJ288" t="s">
        <v>5461</v>
      </c>
      <c r="BK288" t="s">
        <v>100</v>
      </c>
      <c r="BL288" t="s">
        <v>5462</v>
      </c>
      <c r="BM288" t="s">
        <v>5463</v>
      </c>
      <c r="BN288">
        <v>21545423</v>
      </c>
      <c r="BO288" t="s">
        <v>74</v>
      </c>
      <c r="BP288" t="s">
        <v>74</v>
      </c>
      <c r="BQ288" t="s">
        <v>74</v>
      </c>
      <c r="BR288" t="s">
        <v>103</v>
      </c>
      <c r="BS288" t="s">
        <v>5464</v>
      </c>
      <c r="BT288" t="str">
        <f>HYPERLINK("https%3A%2F%2Fwww.webofscience.com%2Fwos%2Fwoscc%2Ffull-record%2FWOS:000292698700010","View Full Record in Web of Science")</f>
        <v>View Full Record in Web of Science</v>
      </c>
    </row>
    <row r="289" spans="1:72" x14ac:dyDescent="0.15">
      <c r="A289" t="s">
        <v>72</v>
      </c>
      <c r="B289" t="s">
        <v>5465</v>
      </c>
      <c r="C289" t="s">
        <v>74</v>
      </c>
      <c r="D289" t="s">
        <v>74</v>
      </c>
      <c r="E289" t="s">
        <v>74</v>
      </c>
      <c r="F289" t="s">
        <v>5466</v>
      </c>
      <c r="G289" t="s">
        <v>74</v>
      </c>
      <c r="H289" t="s">
        <v>74</v>
      </c>
      <c r="I289" t="s">
        <v>5467</v>
      </c>
      <c r="J289" t="s">
        <v>1765</v>
      </c>
      <c r="K289" t="s">
        <v>74</v>
      </c>
      <c r="L289" t="s">
        <v>74</v>
      </c>
      <c r="M289" t="s">
        <v>78</v>
      </c>
      <c r="N289" t="s">
        <v>79</v>
      </c>
      <c r="O289" t="s">
        <v>74</v>
      </c>
      <c r="P289" t="s">
        <v>74</v>
      </c>
      <c r="Q289" t="s">
        <v>74</v>
      </c>
      <c r="R289" t="s">
        <v>74</v>
      </c>
      <c r="S289" t="s">
        <v>74</v>
      </c>
      <c r="T289" t="s">
        <v>5468</v>
      </c>
      <c r="U289" t="s">
        <v>5469</v>
      </c>
      <c r="V289" t="s">
        <v>5470</v>
      </c>
      <c r="W289" t="s">
        <v>5471</v>
      </c>
      <c r="X289" t="s">
        <v>5472</v>
      </c>
      <c r="Y289" t="s">
        <v>5473</v>
      </c>
      <c r="Z289" t="s">
        <v>5474</v>
      </c>
      <c r="AA289" t="s">
        <v>74</v>
      </c>
      <c r="AB289" t="s">
        <v>74</v>
      </c>
      <c r="AC289" t="s">
        <v>5475</v>
      </c>
      <c r="AD289" t="s">
        <v>5476</v>
      </c>
      <c r="AE289" t="s">
        <v>5477</v>
      </c>
      <c r="AF289" t="s">
        <v>74</v>
      </c>
      <c r="AG289">
        <v>86</v>
      </c>
      <c r="AH289">
        <v>25</v>
      </c>
      <c r="AI289">
        <v>29</v>
      </c>
      <c r="AJ289">
        <v>0</v>
      </c>
      <c r="AK289">
        <v>30</v>
      </c>
      <c r="AL289" t="s">
        <v>1777</v>
      </c>
      <c r="AM289" t="s">
        <v>1778</v>
      </c>
      <c r="AN289" t="s">
        <v>1779</v>
      </c>
      <c r="AO289" t="s">
        <v>1780</v>
      </c>
      <c r="AP289" t="s">
        <v>5478</v>
      </c>
      <c r="AQ289" t="s">
        <v>74</v>
      </c>
      <c r="AR289" t="s">
        <v>1781</v>
      </c>
      <c r="AS289" t="s">
        <v>1782</v>
      </c>
      <c r="AT289" t="s">
        <v>3902</v>
      </c>
      <c r="AU289">
        <v>2011</v>
      </c>
      <c r="AV289">
        <v>214</v>
      </c>
      <c r="AW289">
        <v>13</v>
      </c>
      <c r="AX289" t="s">
        <v>74</v>
      </c>
      <c r="AY289" t="s">
        <v>74</v>
      </c>
      <c r="AZ289" t="s">
        <v>74</v>
      </c>
      <c r="BA289" t="s">
        <v>74</v>
      </c>
      <c r="BB289">
        <v>2164</v>
      </c>
      <c r="BC289">
        <v>2174</v>
      </c>
      <c r="BD289" t="s">
        <v>74</v>
      </c>
      <c r="BE289" t="s">
        <v>5479</v>
      </c>
      <c r="BF289" t="str">
        <f>HYPERLINK("http://dx.doi.org/10.1242/jeb.048744","http://dx.doi.org/10.1242/jeb.048744")</f>
        <v>http://dx.doi.org/10.1242/jeb.048744</v>
      </c>
      <c r="BG289" t="s">
        <v>74</v>
      </c>
      <c r="BH289" t="s">
        <v>74</v>
      </c>
      <c r="BI289">
        <v>11</v>
      </c>
      <c r="BJ289" t="s">
        <v>1784</v>
      </c>
      <c r="BK289" t="s">
        <v>100</v>
      </c>
      <c r="BL289" t="s">
        <v>1785</v>
      </c>
      <c r="BM289" t="s">
        <v>5480</v>
      </c>
      <c r="BN289">
        <v>21653810</v>
      </c>
      <c r="BO289" t="s">
        <v>702</v>
      </c>
      <c r="BP289" t="s">
        <v>74</v>
      </c>
      <c r="BQ289" t="s">
        <v>74</v>
      </c>
      <c r="BR289" t="s">
        <v>103</v>
      </c>
      <c r="BS289" t="s">
        <v>5481</v>
      </c>
      <c r="BT289" t="str">
        <f>HYPERLINK("https%3A%2F%2Fwww.webofscience.com%2Fwos%2Fwoscc%2Ffull-record%2FWOS:000291386300012","View Full Record in Web of Science")</f>
        <v>View Full Record in Web of Science</v>
      </c>
    </row>
    <row r="290" spans="1:72" x14ac:dyDescent="0.15">
      <c r="A290" t="s">
        <v>72</v>
      </c>
      <c r="B290" t="s">
        <v>5482</v>
      </c>
      <c r="C290" t="s">
        <v>74</v>
      </c>
      <c r="D290" t="s">
        <v>74</v>
      </c>
      <c r="E290" t="s">
        <v>74</v>
      </c>
      <c r="F290" t="s">
        <v>5483</v>
      </c>
      <c r="G290" t="s">
        <v>74</v>
      </c>
      <c r="H290" t="s">
        <v>74</v>
      </c>
      <c r="I290" t="s">
        <v>5484</v>
      </c>
      <c r="J290" t="s">
        <v>5485</v>
      </c>
      <c r="K290" t="s">
        <v>74</v>
      </c>
      <c r="L290" t="s">
        <v>74</v>
      </c>
      <c r="M290" t="s">
        <v>78</v>
      </c>
      <c r="N290" t="s">
        <v>79</v>
      </c>
      <c r="O290" t="s">
        <v>74</v>
      </c>
      <c r="P290" t="s">
        <v>74</v>
      </c>
      <c r="Q290" t="s">
        <v>74</v>
      </c>
      <c r="R290" t="s">
        <v>74</v>
      </c>
      <c r="S290" t="s">
        <v>74</v>
      </c>
      <c r="T290" t="s">
        <v>5486</v>
      </c>
      <c r="U290" t="s">
        <v>5487</v>
      </c>
      <c r="V290" t="s">
        <v>5488</v>
      </c>
      <c r="W290" t="s">
        <v>5489</v>
      </c>
      <c r="X290" t="s">
        <v>5490</v>
      </c>
      <c r="Y290" t="s">
        <v>5491</v>
      </c>
      <c r="Z290" t="s">
        <v>5492</v>
      </c>
      <c r="AA290" t="s">
        <v>5493</v>
      </c>
      <c r="AB290" t="s">
        <v>5494</v>
      </c>
      <c r="AC290" t="s">
        <v>5495</v>
      </c>
      <c r="AD290" t="s">
        <v>5496</v>
      </c>
      <c r="AE290" t="s">
        <v>5497</v>
      </c>
      <c r="AF290" t="s">
        <v>74</v>
      </c>
      <c r="AG290">
        <v>47</v>
      </c>
      <c r="AH290">
        <v>45</v>
      </c>
      <c r="AI290">
        <v>46</v>
      </c>
      <c r="AJ290">
        <v>1</v>
      </c>
      <c r="AK290">
        <v>38</v>
      </c>
      <c r="AL290" t="s">
        <v>1323</v>
      </c>
      <c r="AM290" t="s">
        <v>1324</v>
      </c>
      <c r="AN290" t="s">
        <v>1325</v>
      </c>
      <c r="AO290" t="s">
        <v>5498</v>
      </c>
      <c r="AP290" t="s">
        <v>5499</v>
      </c>
      <c r="AQ290" t="s">
        <v>74</v>
      </c>
      <c r="AR290" t="s">
        <v>5500</v>
      </c>
      <c r="AS290" t="s">
        <v>5501</v>
      </c>
      <c r="AT290" t="s">
        <v>3902</v>
      </c>
      <c r="AU290">
        <v>2011</v>
      </c>
      <c r="AV290">
        <v>79</v>
      </c>
      <c r="AW290">
        <v>1</v>
      </c>
      <c r="AX290" t="s">
        <v>74</v>
      </c>
      <c r="AY290" t="s">
        <v>74</v>
      </c>
      <c r="AZ290" t="s">
        <v>74</v>
      </c>
      <c r="BA290" t="s">
        <v>74</v>
      </c>
      <c r="BB290">
        <v>138</v>
      </c>
      <c r="BC290">
        <v>154</v>
      </c>
      <c r="BD290" t="s">
        <v>74</v>
      </c>
      <c r="BE290" t="s">
        <v>5502</v>
      </c>
      <c r="BF290" t="str">
        <f>HYPERLINK("http://dx.doi.org/10.1111/j.1095-8649.2011.03005.x","http://dx.doi.org/10.1111/j.1095-8649.2011.03005.x")</f>
        <v>http://dx.doi.org/10.1111/j.1095-8649.2011.03005.x</v>
      </c>
      <c r="BG290" t="s">
        <v>74</v>
      </c>
      <c r="BH290" t="s">
        <v>74</v>
      </c>
      <c r="BI290">
        <v>17</v>
      </c>
      <c r="BJ290" t="s">
        <v>317</v>
      </c>
      <c r="BK290" t="s">
        <v>100</v>
      </c>
      <c r="BL290" t="s">
        <v>317</v>
      </c>
      <c r="BM290" t="s">
        <v>5503</v>
      </c>
      <c r="BN290">
        <v>21722116</v>
      </c>
      <c r="BO290" t="s">
        <v>74</v>
      </c>
      <c r="BP290" t="s">
        <v>74</v>
      </c>
      <c r="BQ290" t="s">
        <v>74</v>
      </c>
      <c r="BR290" t="s">
        <v>103</v>
      </c>
      <c r="BS290" t="s">
        <v>5504</v>
      </c>
      <c r="BT290" t="str">
        <f>HYPERLINK("https%3A%2F%2Fwww.webofscience.com%2Fwos%2Fwoscc%2Ffull-record%2FWOS:000292335900010","View Full Record in Web of Science")</f>
        <v>View Full Record in Web of Science</v>
      </c>
    </row>
    <row r="291" spans="1:72" x14ac:dyDescent="0.15">
      <c r="A291" t="s">
        <v>72</v>
      </c>
      <c r="B291" t="s">
        <v>5505</v>
      </c>
      <c r="C291" t="s">
        <v>74</v>
      </c>
      <c r="D291" t="s">
        <v>74</v>
      </c>
      <c r="E291" t="s">
        <v>74</v>
      </c>
      <c r="F291" t="s">
        <v>5506</v>
      </c>
      <c r="G291" t="s">
        <v>74</v>
      </c>
      <c r="H291" t="s">
        <v>74</v>
      </c>
      <c r="I291" t="s">
        <v>5507</v>
      </c>
      <c r="J291" t="s">
        <v>5508</v>
      </c>
      <c r="K291" t="s">
        <v>74</v>
      </c>
      <c r="L291" t="s">
        <v>74</v>
      </c>
      <c r="M291" t="s">
        <v>78</v>
      </c>
      <c r="N291" t="s">
        <v>79</v>
      </c>
      <c r="O291" t="s">
        <v>74</v>
      </c>
      <c r="P291" t="s">
        <v>74</v>
      </c>
      <c r="Q291" t="s">
        <v>74</v>
      </c>
      <c r="R291" t="s">
        <v>74</v>
      </c>
      <c r="S291" t="s">
        <v>74</v>
      </c>
      <c r="T291" t="s">
        <v>74</v>
      </c>
      <c r="U291" t="s">
        <v>5509</v>
      </c>
      <c r="V291" t="s">
        <v>5510</v>
      </c>
      <c r="W291" t="s">
        <v>5511</v>
      </c>
      <c r="X291" t="s">
        <v>5512</v>
      </c>
      <c r="Y291" t="s">
        <v>5513</v>
      </c>
      <c r="Z291" t="s">
        <v>5514</v>
      </c>
      <c r="AA291" t="s">
        <v>5515</v>
      </c>
      <c r="AB291" t="s">
        <v>5516</v>
      </c>
      <c r="AC291" t="s">
        <v>5517</v>
      </c>
      <c r="AD291" t="s">
        <v>5518</v>
      </c>
      <c r="AE291" t="s">
        <v>5519</v>
      </c>
      <c r="AF291" t="s">
        <v>74</v>
      </c>
      <c r="AG291">
        <v>75</v>
      </c>
      <c r="AH291">
        <v>39</v>
      </c>
      <c r="AI291">
        <v>43</v>
      </c>
      <c r="AJ291">
        <v>1</v>
      </c>
      <c r="AK291">
        <v>25</v>
      </c>
      <c r="AL291" t="s">
        <v>5520</v>
      </c>
      <c r="AM291" t="s">
        <v>5521</v>
      </c>
      <c r="AN291" t="s">
        <v>5522</v>
      </c>
      <c r="AO291" t="s">
        <v>5523</v>
      </c>
      <c r="AP291" t="s">
        <v>5524</v>
      </c>
      <c r="AQ291" t="s">
        <v>74</v>
      </c>
      <c r="AR291" t="s">
        <v>5525</v>
      </c>
      <c r="AS291" t="s">
        <v>5526</v>
      </c>
      <c r="AT291" t="s">
        <v>5527</v>
      </c>
      <c r="AU291">
        <v>2011</v>
      </c>
      <c r="AV291">
        <v>69</v>
      </c>
      <c r="AW291" t="s">
        <v>5528</v>
      </c>
      <c r="AX291" t="s">
        <v>74</v>
      </c>
      <c r="AY291" t="s">
        <v>74</v>
      </c>
      <c r="AZ291" t="s">
        <v>74</v>
      </c>
      <c r="BA291" t="s">
        <v>74</v>
      </c>
      <c r="BB291">
        <v>753</v>
      </c>
      <c r="BC291">
        <v>777</v>
      </c>
      <c r="BD291" t="s">
        <v>74</v>
      </c>
      <c r="BE291" t="s">
        <v>5529</v>
      </c>
      <c r="BF291" t="str">
        <f>HYPERLINK("http://dx.doi.org/10.1357/002224011799849408","http://dx.doi.org/10.1357/002224011799849408")</f>
        <v>http://dx.doi.org/10.1357/002224011799849408</v>
      </c>
      <c r="BG291" t="s">
        <v>74</v>
      </c>
      <c r="BH291" t="s">
        <v>74</v>
      </c>
      <c r="BI291">
        <v>25</v>
      </c>
      <c r="BJ291" t="s">
        <v>271</v>
      </c>
      <c r="BK291" t="s">
        <v>100</v>
      </c>
      <c r="BL291" t="s">
        <v>271</v>
      </c>
      <c r="BM291" t="s">
        <v>5530</v>
      </c>
      <c r="BN291" t="s">
        <v>74</v>
      </c>
      <c r="BO291" t="s">
        <v>74</v>
      </c>
      <c r="BP291" t="s">
        <v>74</v>
      </c>
      <c r="BQ291" t="s">
        <v>74</v>
      </c>
      <c r="BR291" t="s">
        <v>103</v>
      </c>
      <c r="BS291" t="s">
        <v>5531</v>
      </c>
      <c r="BT291" t="str">
        <f>HYPERLINK("https%3A%2F%2Fwww.webofscience.com%2Fwos%2Fwoscc%2Ffull-record%2FWOS:000301562300015","View Full Record in Web of Science")</f>
        <v>View Full Record in Web of Science</v>
      </c>
    </row>
    <row r="292" spans="1:72" x14ac:dyDescent="0.15">
      <c r="A292" t="s">
        <v>72</v>
      </c>
      <c r="B292" t="s">
        <v>5532</v>
      </c>
      <c r="C292" t="s">
        <v>74</v>
      </c>
      <c r="D292" t="s">
        <v>74</v>
      </c>
      <c r="E292" t="s">
        <v>74</v>
      </c>
      <c r="F292" t="s">
        <v>5533</v>
      </c>
      <c r="G292" t="s">
        <v>74</v>
      </c>
      <c r="H292" t="s">
        <v>74</v>
      </c>
      <c r="I292" t="s">
        <v>5534</v>
      </c>
      <c r="J292" t="s">
        <v>5535</v>
      </c>
      <c r="K292" t="s">
        <v>74</v>
      </c>
      <c r="L292" t="s">
        <v>74</v>
      </c>
      <c r="M292" t="s">
        <v>78</v>
      </c>
      <c r="N292" t="s">
        <v>79</v>
      </c>
      <c r="O292" t="s">
        <v>74</v>
      </c>
      <c r="P292" t="s">
        <v>74</v>
      </c>
      <c r="Q292" t="s">
        <v>74</v>
      </c>
      <c r="R292" t="s">
        <v>74</v>
      </c>
      <c r="S292" t="s">
        <v>74</v>
      </c>
      <c r="T292" t="s">
        <v>5536</v>
      </c>
      <c r="U292" t="s">
        <v>5537</v>
      </c>
      <c r="V292" t="s">
        <v>5538</v>
      </c>
      <c r="W292" t="s">
        <v>5539</v>
      </c>
      <c r="X292" t="s">
        <v>5540</v>
      </c>
      <c r="Y292" t="s">
        <v>5541</v>
      </c>
      <c r="Z292" t="s">
        <v>2645</v>
      </c>
      <c r="AA292" t="s">
        <v>5542</v>
      </c>
      <c r="AB292" t="s">
        <v>5543</v>
      </c>
      <c r="AC292" t="s">
        <v>5544</v>
      </c>
      <c r="AD292" t="s">
        <v>5545</v>
      </c>
      <c r="AE292" t="s">
        <v>5546</v>
      </c>
      <c r="AF292" t="s">
        <v>74</v>
      </c>
      <c r="AG292">
        <v>48</v>
      </c>
      <c r="AH292">
        <v>19</v>
      </c>
      <c r="AI292">
        <v>22</v>
      </c>
      <c r="AJ292">
        <v>0</v>
      </c>
      <c r="AK292">
        <v>32</v>
      </c>
      <c r="AL292" t="s">
        <v>1571</v>
      </c>
      <c r="AM292" t="s">
        <v>1572</v>
      </c>
      <c r="AN292" t="s">
        <v>1573</v>
      </c>
      <c r="AO292" t="s">
        <v>5547</v>
      </c>
      <c r="AP292" t="s">
        <v>5548</v>
      </c>
      <c r="AQ292" t="s">
        <v>74</v>
      </c>
      <c r="AR292" t="s">
        <v>5549</v>
      </c>
      <c r="AS292" t="s">
        <v>5550</v>
      </c>
      <c r="AT292" t="s">
        <v>3902</v>
      </c>
      <c r="AU292">
        <v>2011</v>
      </c>
      <c r="AV292">
        <v>152</v>
      </c>
      <c r="AW292">
        <v>3</v>
      </c>
      <c r="AX292" t="s">
        <v>74</v>
      </c>
      <c r="AY292" t="s">
        <v>74</v>
      </c>
      <c r="AZ292" t="s">
        <v>74</v>
      </c>
      <c r="BA292" t="s">
        <v>74</v>
      </c>
      <c r="BB292">
        <v>549</v>
      </c>
      <c r="BC292">
        <v>555</v>
      </c>
      <c r="BD292" t="s">
        <v>74</v>
      </c>
      <c r="BE292" t="s">
        <v>5551</v>
      </c>
      <c r="BF292" t="str">
        <f>HYPERLINK("http://dx.doi.org/10.1007/s10336-010-0616-7","http://dx.doi.org/10.1007/s10336-010-0616-7")</f>
        <v>http://dx.doi.org/10.1007/s10336-010-0616-7</v>
      </c>
      <c r="BG292" t="s">
        <v>74</v>
      </c>
      <c r="BH292" t="s">
        <v>74</v>
      </c>
      <c r="BI292">
        <v>7</v>
      </c>
      <c r="BJ292" t="s">
        <v>4855</v>
      </c>
      <c r="BK292" t="s">
        <v>100</v>
      </c>
      <c r="BL292" t="s">
        <v>3232</v>
      </c>
      <c r="BM292" t="s">
        <v>5552</v>
      </c>
      <c r="BN292" t="s">
        <v>74</v>
      </c>
      <c r="BO292" t="s">
        <v>1025</v>
      </c>
      <c r="BP292" t="s">
        <v>74</v>
      </c>
      <c r="BQ292" t="s">
        <v>74</v>
      </c>
      <c r="BR292" t="s">
        <v>103</v>
      </c>
      <c r="BS292" t="s">
        <v>5553</v>
      </c>
      <c r="BT292" t="str">
        <f>HYPERLINK("https%3A%2F%2Fwww.webofscience.com%2Fwos%2Fwoscc%2Ffull-record%2FWOS:000291605400005","View Full Record in Web of Science")</f>
        <v>View Full Record in Web of Science</v>
      </c>
    </row>
    <row r="293" spans="1:72" x14ac:dyDescent="0.15">
      <c r="A293" t="s">
        <v>72</v>
      </c>
      <c r="B293" t="s">
        <v>5554</v>
      </c>
      <c r="C293" t="s">
        <v>74</v>
      </c>
      <c r="D293" t="s">
        <v>74</v>
      </c>
      <c r="E293" t="s">
        <v>74</v>
      </c>
      <c r="F293" t="s">
        <v>5555</v>
      </c>
      <c r="G293" t="s">
        <v>74</v>
      </c>
      <c r="H293" t="s">
        <v>74</v>
      </c>
      <c r="I293" t="s">
        <v>5556</v>
      </c>
      <c r="J293" t="s">
        <v>5535</v>
      </c>
      <c r="K293" t="s">
        <v>74</v>
      </c>
      <c r="L293" t="s">
        <v>74</v>
      </c>
      <c r="M293" t="s">
        <v>78</v>
      </c>
      <c r="N293" t="s">
        <v>79</v>
      </c>
      <c r="O293" t="s">
        <v>74</v>
      </c>
      <c r="P293" t="s">
        <v>74</v>
      </c>
      <c r="Q293" t="s">
        <v>74</v>
      </c>
      <c r="R293" t="s">
        <v>74</v>
      </c>
      <c r="S293" t="s">
        <v>74</v>
      </c>
      <c r="T293" t="s">
        <v>5557</v>
      </c>
      <c r="U293" t="s">
        <v>5558</v>
      </c>
      <c r="V293" t="s">
        <v>5559</v>
      </c>
      <c r="W293" t="s">
        <v>5560</v>
      </c>
      <c r="X293" t="s">
        <v>5561</v>
      </c>
      <c r="Y293" t="s">
        <v>5562</v>
      </c>
      <c r="Z293" t="s">
        <v>5563</v>
      </c>
      <c r="AA293" t="s">
        <v>5564</v>
      </c>
      <c r="AB293" t="s">
        <v>5565</v>
      </c>
      <c r="AC293" t="s">
        <v>5566</v>
      </c>
      <c r="AD293" t="s">
        <v>5567</v>
      </c>
      <c r="AE293" t="s">
        <v>5568</v>
      </c>
      <c r="AF293" t="s">
        <v>74</v>
      </c>
      <c r="AG293">
        <v>44</v>
      </c>
      <c r="AH293">
        <v>15</v>
      </c>
      <c r="AI293">
        <v>15</v>
      </c>
      <c r="AJ293">
        <v>1</v>
      </c>
      <c r="AK293">
        <v>23</v>
      </c>
      <c r="AL293" t="s">
        <v>1571</v>
      </c>
      <c r="AM293" t="s">
        <v>1572</v>
      </c>
      <c r="AN293" t="s">
        <v>1573</v>
      </c>
      <c r="AO293" t="s">
        <v>5547</v>
      </c>
      <c r="AP293" t="s">
        <v>5548</v>
      </c>
      <c r="AQ293" t="s">
        <v>74</v>
      </c>
      <c r="AR293" t="s">
        <v>5549</v>
      </c>
      <c r="AS293" t="s">
        <v>5550</v>
      </c>
      <c r="AT293" t="s">
        <v>3902</v>
      </c>
      <c r="AU293">
        <v>2011</v>
      </c>
      <c r="AV293">
        <v>152</v>
      </c>
      <c r="AW293">
        <v>3</v>
      </c>
      <c r="AX293" t="s">
        <v>74</v>
      </c>
      <c r="AY293" t="s">
        <v>74</v>
      </c>
      <c r="AZ293" t="s">
        <v>74</v>
      </c>
      <c r="BA293" t="s">
        <v>74</v>
      </c>
      <c r="BB293">
        <v>759</v>
      </c>
      <c r="BC293">
        <v>768</v>
      </c>
      <c r="BD293" t="s">
        <v>74</v>
      </c>
      <c r="BE293" t="s">
        <v>5569</v>
      </c>
      <c r="BF293" t="str">
        <f>HYPERLINK("http://dx.doi.org/10.1007/s10336-011-0658-5","http://dx.doi.org/10.1007/s10336-011-0658-5")</f>
        <v>http://dx.doi.org/10.1007/s10336-011-0658-5</v>
      </c>
      <c r="BG293" t="s">
        <v>74</v>
      </c>
      <c r="BH293" t="s">
        <v>74</v>
      </c>
      <c r="BI293">
        <v>10</v>
      </c>
      <c r="BJ293" t="s">
        <v>4855</v>
      </c>
      <c r="BK293" t="s">
        <v>100</v>
      </c>
      <c r="BL293" t="s">
        <v>3232</v>
      </c>
      <c r="BM293" t="s">
        <v>5552</v>
      </c>
      <c r="BN293" t="s">
        <v>74</v>
      </c>
      <c r="BO293" t="s">
        <v>1025</v>
      </c>
      <c r="BP293" t="s">
        <v>74</v>
      </c>
      <c r="BQ293" t="s">
        <v>74</v>
      </c>
      <c r="BR293" t="s">
        <v>103</v>
      </c>
      <c r="BS293" t="s">
        <v>5570</v>
      </c>
      <c r="BT293" t="str">
        <f>HYPERLINK("https%3A%2F%2Fwww.webofscience.com%2Fwos%2Fwoscc%2Ffull-record%2FWOS:000291605400027","View Full Record in Web of Science")</f>
        <v>View Full Record in Web of Science</v>
      </c>
    </row>
    <row r="294" spans="1:72" x14ac:dyDescent="0.15">
      <c r="A294" t="s">
        <v>72</v>
      </c>
      <c r="B294" t="s">
        <v>5571</v>
      </c>
      <c r="C294" t="s">
        <v>74</v>
      </c>
      <c r="D294" t="s">
        <v>74</v>
      </c>
      <c r="E294" t="s">
        <v>74</v>
      </c>
      <c r="F294" t="s">
        <v>5572</v>
      </c>
      <c r="G294" t="s">
        <v>74</v>
      </c>
      <c r="H294" t="s">
        <v>74</v>
      </c>
      <c r="I294" t="s">
        <v>5573</v>
      </c>
      <c r="J294" t="s">
        <v>1289</v>
      </c>
      <c r="K294" t="s">
        <v>74</v>
      </c>
      <c r="L294" t="s">
        <v>74</v>
      </c>
      <c r="M294" t="s">
        <v>78</v>
      </c>
      <c r="N294" t="s">
        <v>79</v>
      </c>
      <c r="O294" t="s">
        <v>74</v>
      </c>
      <c r="P294" t="s">
        <v>74</v>
      </c>
      <c r="Q294" t="s">
        <v>74</v>
      </c>
      <c r="R294" t="s">
        <v>74</v>
      </c>
      <c r="S294" t="s">
        <v>74</v>
      </c>
      <c r="T294" t="s">
        <v>74</v>
      </c>
      <c r="U294" t="s">
        <v>5574</v>
      </c>
      <c r="V294" t="s">
        <v>5575</v>
      </c>
      <c r="W294" t="s">
        <v>5576</v>
      </c>
      <c r="X294" t="s">
        <v>5577</v>
      </c>
      <c r="Y294" t="s">
        <v>5578</v>
      </c>
      <c r="Z294" t="s">
        <v>5579</v>
      </c>
      <c r="AA294" t="s">
        <v>74</v>
      </c>
      <c r="AB294" t="s">
        <v>5580</v>
      </c>
      <c r="AC294" t="s">
        <v>5581</v>
      </c>
      <c r="AD294" t="s">
        <v>5582</v>
      </c>
      <c r="AE294" t="s">
        <v>5583</v>
      </c>
      <c r="AF294" t="s">
        <v>74</v>
      </c>
      <c r="AG294">
        <v>60</v>
      </c>
      <c r="AH294">
        <v>17</v>
      </c>
      <c r="AI294">
        <v>19</v>
      </c>
      <c r="AJ294">
        <v>0</v>
      </c>
      <c r="AK294">
        <v>9</v>
      </c>
      <c r="AL294" t="s">
        <v>1275</v>
      </c>
      <c r="AM294" t="s">
        <v>1276</v>
      </c>
      <c r="AN294" t="s">
        <v>1277</v>
      </c>
      <c r="AO294" t="s">
        <v>1301</v>
      </c>
      <c r="AP294" t="s">
        <v>1302</v>
      </c>
      <c r="AQ294" t="s">
        <v>74</v>
      </c>
      <c r="AR294" t="s">
        <v>1303</v>
      </c>
      <c r="AS294" t="s">
        <v>1304</v>
      </c>
      <c r="AT294" t="s">
        <v>3902</v>
      </c>
      <c r="AU294">
        <v>2011</v>
      </c>
      <c r="AV294">
        <v>41</v>
      </c>
      <c r="AW294">
        <v>7</v>
      </c>
      <c r="AX294" t="s">
        <v>74</v>
      </c>
      <c r="AY294" t="s">
        <v>74</v>
      </c>
      <c r="AZ294" t="s">
        <v>74</v>
      </c>
      <c r="BA294" t="s">
        <v>74</v>
      </c>
      <c r="BB294">
        <v>1385</v>
      </c>
      <c r="BC294">
        <v>1407</v>
      </c>
      <c r="BD294" t="s">
        <v>74</v>
      </c>
      <c r="BE294" t="s">
        <v>5584</v>
      </c>
      <c r="BF294" t="str">
        <f>HYPERLINK("http://dx.doi.org/10.1175/JPO-D-10-05017.1","http://dx.doi.org/10.1175/JPO-D-10-05017.1")</f>
        <v>http://dx.doi.org/10.1175/JPO-D-10-05017.1</v>
      </c>
      <c r="BG294" t="s">
        <v>74</v>
      </c>
      <c r="BH294" t="s">
        <v>74</v>
      </c>
      <c r="BI294">
        <v>23</v>
      </c>
      <c r="BJ294" t="s">
        <v>271</v>
      </c>
      <c r="BK294" t="s">
        <v>100</v>
      </c>
      <c r="BL294" t="s">
        <v>271</v>
      </c>
      <c r="BM294" t="s">
        <v>5585</v>
      </c>
      <c r="BN294" t="s">
        <v>74</v>
      </c>
      <c r="BO294" t="s">
        <v>152</v>
      </c>
      <c r="BP294" t="s">
        <v>74</v>
      </c>
      <c r="BQ294" t="s">
        <v>74</v>
      </c>
      <c r="BR294" t="s">
        <v>103</v>
      </c>
      <c r="BS294" t="s">
        <v>5586</v>
      </c>
      <c r="BT294" t="str">
        <f>HYPERLINK("https%3A%2F%2Fwww.webofscience.com%2Fwos%2Fwoscc%2Ffull-record%2FWOS:000293513200007","View Full Record in Web of Science")</f>
        <v>View Full Record in Web of Science</v>
      </c>
    </row>
    <row r="295" spans="1:72" x14ac:dyDescent="0.15">
      <c r="A295" t="s">
        <v>72</v>
      </c>
      <c r="B295" t="s">
        <v>5587</v>
      </c>
      <c r="C295" t="s">
        <v>74</v>
      </c>
      <c r="D295" t="s">
        <v>74</v>
      </c>
      <c r="E295" t="s">
        <v>74</v>
      </c>
      <c r="F295" t="s">
        <v>5588</v>
      </c>
      <c r="G295" t="s">
        <v>74</v>
      </c>
      <c r="H295" t="s">
        <v>74</v>
      </c>
      <c r="I295" t="s">
        <v>5589</v>
      </c>
      <c r="J295" t="s">
        <v>5590</v>
      </c>
      <c r="K295" t="s">
        <v>74</v>
      </c>
      <c r="L295" t="s">
        <v>74</v>
      </c>
      <c r="M295" t="s">
        <v>78</v>
      </c>
      <c r="N295" t="s">
        <v>79</v>
      </c>
      <c r="O295" t="s">
        <v>74</v>
      </c>
      <c r="P295" t="s">
        <v>74</v>
      </c>
      <c r="Q295" t="s">
        <v>74</v>
      </c>
      <c r="R295" t="s">
        <v>74</v>
      </c>
      <c r="S295" t="s">
        <v>74</v>
      </c>
      <c r="T295" t="s">
        <v>5591</v>
      </c>
      <c r="U295" t="s">
        <v>5592</v>
      </c>
      <c r="V295" t="s">
        <v>5593</v>
      </c>
      <c r="W295" t="s">
        <v>5594</v>
      </c>
      <c r="X295" t="s">
        <v>3693</v>
      </c>
      <c r="Y295" t="s">
        <v>5595</v>
      </c>
      <c r="Z295" t="s">
        <v>5596</v>
      </c>
      <c r="AA295" t="s">
        <v>1956</v>
      </c>
      <c r="AB295" t="s">
        <v>5597</v>
      </c>
      <c r="AC295" t="s">
        <v>5598</v>
      </c>
      <c r="AD295" t="s">
        <v>5599</v>
      </c>
      <c r="AE295" t="s">
        <v>5600</v>
      </c>
      <c r="AF295" t="s">
        <v>74</v>
      </c>
      <c r="AG295">
        <v>18</v>
      </c>
      <c r="AH295">
        <v>28</v>
      </c>
      <c r="AI295">
        <v>33</v>
      </c>
      <c r="AJ295">
        <v>0</v>
      </c>
      <c r="AK295">
        <v>11</v>
      </c>
      <c r="AL295" t="s">
        <v>2968</v>
      </c>
      <c r="AM295" t="s">
        <v>508</v>
      </c>
      <c r="AN295" t="s">
        <v>2969</v>
      </c>
      <c r="AO295" t="s">
        <v>5601</v>
      </c>
      <c r="AP295" t="s">
        <v>74</v>
      </c>
      <c r="AQ295" t="s">
        <v>74</v>
      </c>
      <c r="AR295" t="s">
        <v>5602</v>
      </c>
      <c r="AS295" t="s">
        <v>5603</v>
      </c>
      <c r="AT295" t="s">
        <v>3902</v>
      </c>
      <c r="AU295">
        <v>2011</v>
      </c>
      <c r="AV295">
        <v>33</v>
      </c>
      <c r="AW295">
        <v>7</v>
      </c>
      <c r="AX295" t="s">
        <v>74</v>
      </c>
      <c r="AY295" t="s">
        <v>74</v>
      </c>
      <c r="AZ295" t="s">
        <v>74</v>
      </c>
      <c r="BA295" t="s">
        <v>74</v>
      </c>
      <c r="BB295">
        <v>1134</v>
      </c>
      <c r="BC295">
        <v>1138</v>
      </c>
      <c r="BD295" t="s">
        <v>74</v>
      </c>
      <c r="BE295" t="s">
        <v>5604</v>
      </c>
      <c r="BF295" t="str">
        <f>HYPERLINK("http://dx.doi.org/10.1093/plankt/fbr006","http://dx.doi.org/10.1093/plankt/fbr006")</f>
        <v>http://dx.doi.org/10.1093/plankt/fbr006</v>
      </c>
      <c r="BG295" t="s">
        <v>74</v>
      </c>
      <c r="BH295" t="s">
        <v>74</v>
      </c>
      <c r="BI295">
        <v>5</v>
      </c>
      <c r="BJ295" t="s">
        <v>5605</v>
      </c>
      <c r="BK295" t="s">
        <v>100</v>
      </c>
      <c r="BL295" t="s">
        <v>5605</v>
      </c>
      <c r="BM295" t="s">
        <v>5606</v>
      </c>
      <c r="BN295">
        <v>21655471</v>
      </c>
      <c r="BO295" t="s">
        <v>5607</v>
      </c>
      <c r="BP295" t="s">
        <v>74</v>
      </c>
      <c r="BQ295" t="s">
        <v>74</v>
      </c>
      <c r="BR295" t="s">
        <v>103</v>
      </c>
      <c r="BS295" t="s">
        <v>5608</v>
      </c>
      <c r="BT295" t="str">
        <f>HYPERLINK("https%3A%2F%2Fwww.webofscience.com%2Fwos%2Fwoscc%2Ffull-record%2FWOS:000291542300013","View Full Record in Web of Science")</f>
        <v>View Full Record in Web of Science</v>
      </c>
    </row>
    <row r="296" spans="1:72" x14ac:dyDescent="0.15">
      <c r="A296" t="s">
        <v>72</v>
      </c>
      <c r="B296" t="s">
        <v>5609</v>
      </c>
      <c r="C296" t="s">
        <v>74</v>
      </c>
      <c r="D296" t="s">
        <v>74</v>
      </c>
      <c r="E296" t="s">
        <v>74</v>
      </c>
      <c r="F296" t="s">
        <v>5610</v>
      </c>
      <c r="G296" t="s">
        <v>74</v>
      </c>
      <c r="H296" t="s">
        <v>74</v>
      </c>
      <c r="I296" t="s">
        <v>5611</v>
      </c>
      <c r="J296" t="s">
        <v>4233</v>
      </c>
      <c r="K296" t="s">
        <v>74</v>
      </c>
      <c r="L296" t="s">
        <v>74</v>
      </c>
      <c r="M296" t="s">
        <v>78</v>
      </c>
      <c r="N296" t="s">
        <v>79</v>
      </c>
      <c r="O296" t="s">
        <v>74</v>
      </c>
      <c r="P296" t="s">
        <v>74</v>
      </c>
      <c r="Q296" t="s">
        <v>74</v>
      </c>
      <c r="R296" t="s">
        <v>74</v>
      </c>
      <c r="S296" t="s">
        <v>74</v>
      </c>
      <c r="T296" t="s">
        <v>5612</v>
      </c>
      <c r="U296" t="s">
        <v>5613</v>
      </c>
      <c r="V296" t="s">
        <v>5614</v>
      </c>
      <c r="W296" t="s">
        <v>5615</v>
      </c>
      <c r="X296" t="s">
        <v>5616</v>
      </c>
      <c r="Y296" t="s">
        <v>5617</v>
      </c>
      <c r="Z296" t="s">
        <v>5618</v>
      </c>
      <c r="AA296" t="s">
        <v>5619</v>
      </c>
      <c r="AB296" t="s">
        <v>5620</v>
      </c>
      <c r="AC296" t="s">
        <v>5621</v>
      </c>
      <c r="AD296" t="s">
        <v>5622</v>
      </c>
      <c r="AE296" t="s">
        <v>5623</v>
      </c>
      <c r="AF296" t="s">
        <v>74</v>
      </c>
      <c r="AG296">
        <v>32</v>
      </c>
      <c r="AH296">
        <v>24</v>
      </c>
      <c r="AI296">
        <v>27</v>
      </c>
      <c r="AJ296">
        <v>0</v>
      </c>
      <c r="AK296">
        <v>26</v>
      </c>
      <c r="AL296" t="s">
        <v>1323</v>
      </c>
      <c r="AM296" t="s">
        <v>1324</v>
      </c>
      <c r="AN296" t="s">
        <v>1325</v>
      </c>
      <c r="AO296" t="s">
        <v>4243</v>
      </c>
      <c r="AP296" t="s">
        <v>4244</v>
      </c>
      <c r="AQ296" t="s">
        <v>74</v>
      </c>
      <c r="AR296" t="s">
        <v>4245</v>
      </c>
      <c r="AS296" t="s">
        <v>4246</v>
      </c>
      <c r="AT296" t="s">
        <v>3902</v>
      </c>
      <c r="AU296">
        <v>2011</v>
      </c>
      <c r="AV296">
        <v>26</v>
      </c>
      <c r="AW296">
        <v>5</v>
      </c>
      <c r="AX296" t="s">
        <v>74</v>
      </c>
      <c r="AY296" t="s">
        <v>74</v>
      </c>
      <c r="AZ296" t="s">
        <v>74</v>
      </c>
      <c r="BA296" t="s">
        <v>74</v>
      </c>
      <c r="BB296">
        <v>474</v>
      </c>
      <c r="BC296">
        <v>477</v>
      </c>
      <c r="BD296" t="s">
        <v>74</v>
      </c>
      <c r="BE296" t="s">
        <v>5624</v>
      </c>
      <c r="BF296" t="str">
        <f>HYPERLINK("http://dx.doi.org/10.1002/jqs.1525","http://dx.doi.org/10.1002/jqs.1525")</f>
        <v>http://dx.doi.org/10.1002/jqs.1525</v>
      </c>
      <c r="BG296" t="s">
        <v>74</v>
      </c>
      <c r="BH296" t="s">
        <v>74</v>
      </c>
      <c r="BI296">
        <v>4</v>
      </c>
      <c r="BJ296" t="s">
        <v>1496</v>
      </c>
      <c r="BK296" t="s">
        <v>100</v>
      </c>
      <c r="BL296" t="s">
        <v>1497</v>
      </c>
      <c r="BM296" t="s">
        <v>4248</v>
      </c>
      <c r="BN296" t="s">
        <v>74</v>
      </c>
      <c r="BO296" t="s">
        <v>273</v>
      </c>
      <c r="BP296" t="s">
        <v>74</v>
      </c>
      <c r="BQ296" t="s">
        <v>74</v>
      </c>
      <c r="BR296" t="s">
        <v>103</v>
      </c>
      <c r="BS296" t="s">
        <v>5625</v>
      </c>
      <c r="BT296" t="str">
        <f>HYPERLINK("https%3A%2F%2Fwww.webofscience.com%2Fwos%2Fwoscc%2Ffull-record%2FWOS:000293098300004","View Full Record in Web of Science")</f>
        <v>View Full Record in Web of Science</v>
      </c>
    </row>
    <row r="297" spans="1:72" x14ac:dyDescent="0.15">
      <c r="A297" t="s">
        <v>72</v>
      </c>
      <c r="B297" t="s">
        <v>5626</v>
      </c>
      <c r="C297" t="s">
        <v>74</v>
      </c>
      <c r="D297" t="s">
        <v>74</v>
      </c>
      <c r="E297" t="s">
        <v>74</v>
      </c>
      <c r="F297" t="s">
        <v>5627</v>
      </c>
      <c r="G297" t="s">
        <v>74</v>
      </c>
      <c r="H297" t="s">
        <v>74</v>
      </c>
      <c r="I297" t="s">
        <v>5628</v>
      </c>
      <c r="J297" t="s">
        <v>5629</v>
      </c>
      <c r="K297" t="s">
        <v>74</v>
      </c>
      <c r="L297" t="s">
        <v>74</v>
      </c>
      <c r="M297" t="s">
        <v>78</v>
      </c>
      <c r="N297" t="s">
        <v>79</v>
      </c>
      <c r="O297" t="s">
        <v>74</v>
      </c>
      <c r="P297" t="s">
        <v>74</v>
      </c>
      <c r="Q297" t="s">
        <v>74</v>
      </c>
      <c r="R297" t="s">
        <v>74</v>
      </c>
      <c r="S297" t="s">
        <v>74</v>
      </c>
      <c r="T297" t="s">
        <v>74</v>
      </c>
      <c r="U297" t="s">
        <v>5630</v>
      </c>
      <c r="V297" t="s">
        <v>5631</v>
      </c>
      <c r="W297" t="s">
        <v>5632</v>
      </c>
      <c r="X297" t="s">
        <v>5633</v>
      </c>
      <c r="Y297" t="s">
        <v>5634</v>
      </c>
      <c r="Z297" t="s">
        <v>5635</v>
      </c>
      <c r="AA297" t="s">
        <v>5636</v>
      </c>
      <c r="AB297" t="s">
        <v>5637</v>
      </c>
      <c r="AC297" t="s">
        <v>5638</v>
      </c>
      <c r="AD297" t="s">
        <v>5639</v>
      </c>
      <c r="AE297" t="s">
        <v>5640</v>
      </c>
      <c r="AF297" t="s">
        <v>74</v>
      </c>
      <c r="AG297">
        <v>45</v>
      </c>
      <c r="AH297">
        <v>7</v>
      </c>
      <c r="AI297">
        <v>8</v>
      </c>
      <c r="AJ297">
        <v>0</v>
      </c>
      <c r="AK297">
        <v>21</v>
      </c>
      <c r="AL297" t="s">
        <v>5641</v>
      </c>
      <c r="AM297" t="s">
        <v>5642</v>
      </c>
      <c r="AN297" t="s">
        <v>5643</v>
      </c>
      <c r="AO297" t="s">
        <v>5644</v>
      </c>
      <c r="AP297" t="s">
        <v>5645</v>
      </c>
      <c r="AQ297" t="s">
        <v>74</v>
      </c>
      <c r="AR297" t="s">
        <v>5646</v>
      </c>
      <c r="AS297" t="s">
        <v>5647</v>
      </c>
      <c r="AT297" t="s">
        <v>4476</v>
      </c>
      <c r="AU297">
        <v>2011</v>
      </c>
      <c r="AV297">
        <v>81</v>
      </c>
      <c r="AW297" t="s">
        <v>5648</v>
      </c>
      <c r="AX297" t="s">
        <v>74</v>
      </c>
      <c r="AY297" t="s">
        <v>74</v>
      </c>
      <c r="AZ297" t="s">
        <v>74</v>
      </c>
      <c r="BA297" t="s">
        <v>74</v>
      </c>
      <c r="BB297">
        <v>600</v>
      </c>
      <c r="BC297">
        <v>610</v>
      </c>
      <c r="BD297" t="s">
        <v>74</v>
      </c>
      <c r="BE297" t="s">
        <v>5649</v>
      </c>
      <c r="BF297" t="str">
        <f>HYPERLINK("http://dx.doi.org/10.2110/jsr.2011.43","http://dx.doi.org/10.2110/jsr.2011.43")</f>
        <v>http://dx.doi.org/10.2110/jsr.2011.43</v>
      </c>
      <c r="BG297" t="s">
        <v>74</v>
      </c>
      <c r="BH297" t="s">
        <v>74</v>
      </c>
      <c r="BI297">
        <v>11</v>
      </c>
      <c r="BJ297" t="s">
        <v>131</v>
      </c>
      <c r="BK297" t="s">
        <v>100</v>
      </c>
      <c r="BL297" t="s">
        <v>131</v>
      </c>
      <c r="BM297" t="s">
        <v>5650</v>
      </c>
      <c r="BN297" t="s">
        <v>74</v>
      </c>
      <c r="BO297" t="s">
        <v>74</v>
      </c>
      <c r="BP297" t="s">
        <v>74</v>
      </c>
      <c r="BQ297" t="s">
        <v>74</v>
      </c>
      <c r="BR297" t="s">
        <v>103</v>
      </c>
      <c r="BS297" t="s">
        <v>5651</v>
      </c>
      <c r="BT297" t="str">
        <f>HYPERLINK("https%3A%2F%2Fwww.webofscience.com%2Fwos%2Fwoscc%2Ffull-record%2FWOS:000292898800010","View Full Record in Web of Science")</f>
        <v>View Full Record in Web of Science</v>
      </c>
    </row>
    <row r="298" spans="1:72" x14ac:dyDescent="0.15">
      <c r="A298" t="s">
        <v>72</v>
      </c>
      <c r="B298" t="s">
        <v>5652</v>
      </c>
      <c r="C298" t="s">
        <v>74</v>
      </c>
      <c r="D298" t="s">
        <v>74</v>
      </c>
      <c r="E298" t="s">
        <v>74</v>
      </c>
      <c r="F298" t="s">
        <v>5653</v>
      </c>
      <c r="G298" t="s">
        <v>74</v>
      </c>
      <c r="H298" t="s">
        <v>74</v>
      </c>
      <c r="I298" t="s">
        <v>5654</v>
      </c>
      <c r="J298" t="s">
        <v>807</v>
      </c>
      <c r="K298" t="s">
        <v>74</v>
      </c>
      <c r="L298" t="s">
        <v>74</v>
      </c>
      <c r="M298" t="s">
        <v>78</v>
      </c>
      <c r="N298" t="s">
        <v>2002</v>
      </c>
      <c r="O298" t="s">
        <v>74</v>
      </c>
      <c r="P298" t="s">
        <v>74</v>
      </c>
      <c r="Q298" t="s">
        <v>74</v>
      </c>
      <c r="R298" t="s">
        <v>74</v>
      </c>
      <c r="S298" t="s">
        <v>74</v>
      </c>
      <c r="T298" t="s">
        <v>74</v>
      </c>
      <c r="U298" t="s">
        <v>74</v>
      </c>
      <c r="V298" t="s">
        <v>74</v>
      </c>
      <c r="W298" t="s">
        <v>5655</v>
      </c>
      <c r="X298" t="s">
        <v>3982</v>
      </c>
      <c r="Y298" t="s">
        <v>5656</v>
      </c>
      <c r="Z298" t="s">
        <v>5657</v>
      </c>
      <c r="AA298" t="s">
        <v>74</v>
      </c>
      <c r="AB298" t="s">
        <v>74</v>
      </c>
      <c r="AC298" t="s">
        <v>74</v>
      </c>
      <c r="AD298" t="s">
        <v>74</v>
      </c>
      <c r="AE298" t="s">
        <v>74</v>
      </c>
      <c r="AF298" t="s">
        <v>74</v>
      </c>
      <c r="AG298">
        <v>0</v>
      </c>
      <c r="AH298">
        <v>1</v>
      </c>
      <c r="AI298">
        <v>2</v>
      </c>
      <c r="AJ298">
        <v>0</v>
      </c>
      <c r="AK298">
        <v>0</v>
      </c>
      <c r="AL298" t="s">
        <v>819</v>
      </c>
      <c r="AM298" t="s">
        <v>820</v>
      </c>
      <c r="AN298" t="s">
        <v>821</v>
      </c>
      <c r="AO298" t="s">
        <v>822</v>
      </c>
      <c r="AP298" t="s">
        <v>74</v>
      </c>
      <c r="AQ298" t="s">
        <v>74</v>
      </c>
      <c r="AR298" t="s">
        <v>823</v>
      </c>
      <c r="AS298" t="s">
        <v>824</v>
      </c>
      <c r="AT298" t="s">
        <v>3902</v>
      </c>
      <c r="AU298">
        <v>2011</v>
      </c>
      <c r="AV298">
        <v>78</v>
      </c>
      <c r="AW298">
        <v>1</v>
      </c>
      <c r="AX298" t="s">
        <v>74</v>
      </c>
      <c r="AY298" t="s">
        <v>74</v>
      </c>
      <c r="AZ298" t="s">
        <v>74</v>
      </c>
      <c r="BA298" t="s">
        <v>74</v>
      </c>
      <c r="BB298">
        <v>5</v>
      </c>
      <c r="BC298">
        <v>6</v>
      </c>
      <c r="BD298" t="s">
        <v>74</v>
      </c>
      <c r="BE298" t="s">
        <v>5658</v>
      </c>
      <c r="BF298" t="str">
        <f>HYPERLINK("http://dx.doi.org/10.1007/s12594-011-0060-1","http://dx.doi.org/10.1007/s12594-011-0060-1")</f>
        <v>http://dx.doi.org/10.1007/s12594-011-0060-1</v>
      </c>
      <c r="BG298" t="s">
        <v>74</v>
      </c>
      <c r="BH298" t="s">
        <v>74</v>
      </c>
      <c r="BI298">
        <v>2</v>
      </c>
      <c r="BJ298" t="s">
        <v>130</v>
      </c>
      <c r="BK298" t="s">
        <v>100</v>
      </c>
      <c r="BL298" t="s">
        <v>131</v>
      </c>
      <c r="BM298" t="s">
        <v>3944</v>
      </c>
      <c r="BN298" t="s">
        <v>74</v>
      </c>
      <c r="BO298" t="s">
        <v>74</v>
      </c>
      <c r="BP298" t="s">
        <v>74</v>
      </c>
      <c r="BQ298" t="s">
        <v>74</v>
      </c>
      <c r="BR298" t="s">
        <v>103</v>
      </c>
      <c r="BS298" t="s">
        <v>5659</v>
      </c>
      <c r="BT298" t="str">
        <f>HYPERLINK("https%3A%2F%2Fwww.webofscience.com%2Fwos%2Fwoscc%2Ffull-record%2FWOS:000295167800001","View Full Record in Web of Science")</f>
        <v>View Full Record in Web of Science</v>
      </c>
    </row>
    <row r="299" spans="1:72" x14ac:dyDescent="0.15">
      <c r="A299" t="s">
        <v>72</v>
      </c>
      <c r="B299" t="s">
        <v>5660</v>
      </c>
      <c r="C299" t="s">
        <v>74</v>
      </c>
      <c r="D299" t="s">
        <v>74</v>
      </c>
      <c r="E299" t="s">
        <v>74</v>
      </c>
      <c r="F299" t="s">
        <v>5661</v>
      </c>
      <c r="G299" t="s">
        <v>74</v>
      </c>
      <c r="H299" t="s">
        <v>74</v>
      </c>
      <c r="I299" t="s">
        <v>5662</v>
      </c>
      <c r="J299" t="s">
        <v>5663</v>
      </c>
      <c r="K299" t="s">
        <v>74</v>
      </c>
      <c r="L299" t="s">
        <v>74</v>
      </c>
      <c r="M299" t="s">
        <v>78</v>
      </c>
      <c r="N299" t="s">
        <v>79</v>
      </c>
      <c r="O299" t="s">
        <v>74</v>
      </c>
      <c r="P299" t="s">
        <v>74</v>
      </c>
      <c r="Q299" t="s">
        <v>74</v>
      </c>
      <c r="R299" t="s">
        <v>74</v>
      </c>
      <c r="S299" t="s">
        <v>74</v>
      </c>
      <c r="T299" t="s">
        <v>74</v>
      </c>
      <c r="U299" t="s">
        <v>5664</v>
      </c>
      <c r="V299" t="s">
        <v>5665</v>
      </c>
      <c r="W299" t="s">
        <v>5666</v>
      </c>
      <c r="X299" t="s">
        <v>2015</v>
      </c>
      <c r="Y299" t="s">
        <v>5667</v>
      </c>
      <c r="Z299" t="s">
        <v>5668</v>
      </c>
      <c r="AA299" t="s">
        <v>74</v>
      </c>
      <c r="AB299" t="s">
        <v>74</v>
      </c>
      <c r="AC299" t="s">
        <v>5669</v>
      </c>
      <c r="AD299" t="s">
        <v>5670</v>
      </c>
      <c r="AE299" t="s">
        <v>5671</v>
      </c>
      <c r="AF299" t="s">
        <v>74</v>
      </c>
      <c r="AG299">
        <v>44</v>
      </c>
      <c r="AH299">
        <v>80</v>
      </c>
      <c r="AI299">
        <v>84</v>
      </c>
      <c r="AJ299">
        <v>0</v>
      </c>
      <c r="AK299">
        <v>42</v>
      </c>
      <c r="AL299" t="s">
        <v>5672</v>
      </c>
      <c r="AM299" t="s">
        <v>5673</v>
      </c>
      <c r="AN299" t="s">
        <v>5674</v>
      </c>
      <c r="AO299" t="s">
        <v>5675</v>
      </c>
      <c r="AP299" t="s">
        <v>74</v>
      </c>
      <c r="AQ299" t="s">
        <v>74</v>
      </c>
      <c r="AR299" t="s">
        <v>5676</v>
      </c>
      <c r="AS299" t="s">
        <v>5677</v>
      </c>
      <c r="AT299" t="s">
        <v>3902</v>
      </c>
      <c r="AU299">
        <v>2011</v>
      </c>
      <c r="AV299">
        <v>56</v>
      </c>
      <c r="AW299">
        <v>4</v>
      </c>
      <c r="AX299" t="s">
        <v>74</v>
      </c>
      <c r="AY299" t="s">
        <v>74</v>
      </c>
      <c r="AZ299" t="s">
        <v>74</v>
      </c>
      <c r="BA299" t="s">
        <v>74</v>
      </c>
      <c r="BB299">
        <v>1310</v>
      </c>
      <c r="BC299">
        <v>1318</v>
      </c>
      <c r="BD299" t="s">
        <v>74</v>
      </c>
      <c r="BE299" t="s">
        <v>5678</v>
      </c>
      <c r="BF299" t="str">
        <f>HYPERLINK("http://dx.doi.org/10.4319/lo.2011.56.4.1310","http://dx.doi.org/10.4319/lo.2011.56.4.1310")</f>
        <v>http://dx.doi.org/10.4319/lo.2011.56.4.1310</v>
      </c>
      <c r="BG299" t="s">
        <v>74</v>
      </c>
      <c r="BH299" t="s">
        <v>74</v>
      </c>
      <c r="BI299">
        <v>9</v>
      </c>
      <c r="BJ299" t="s">
        <v>5679</v>
      </c>
      <c r="BK299" t="s">
        <v>100</v>
      </c>
      <c r="BL299" t="s">
        <v>5605</v>
      </c>
      <c r="BM299" t="s">
        <v>5680</v>
      </c>
      <c r="BN299" t="s">
        <v>74</v>
      </c>
      <c r="BO299" t="s">
        <v>152</v>
      </c>
      <c r="BP299" t="s">
        <v>74</v>
      </c>
      <c r="BQ299" t="s">
        <v>74</v>
      </c>
      <c r="BR299" t="s">
        <v>103</v>
      </c>
      <c r="BS299" t="s">
        <v>5681</v>
      </c>
      <c r="BT299" t="str">
        <f>HYPERLINK("https%3A%2F%2Fwww.webofscience.com%2Fwos%2Fwoscc%2Ffull-record%2FWOS:000294603400011","View Full Record in Web of Science")</f>
        <v>View Full Record in Web of Science</v>
      </c>
    </row>
    <row r="300" spans="1:72" x14ac:dyDescent="0.15">
      <c r="A300" t="s">
        <v>72</v>
      </c>
      <c r="B300" t="s">
        <v>5682</v>
      </c>
      <c r="C300" t="s">
        <v>74</v>
      </c>
      <c r="D300" t="s">
        <v>74</v>
      </c>
      <c r="E300" t="s">
        <v>74</v>
      </c>
      <c r="F300" t="s">
        <v>5683</v>
      </c>
      <c r="G300" t="s">
        <v>74</v>
      </c>
      <c r="H300" t="s">
        <v>74</v>
      </c>
      <c r="I300" t="s">
        <v>5684</v>
      </c>
      <c r="J300" t="s">
        <v>5663</v>
      </c>
      <c r="K300" t="s">
        <v>74</v>
      </c>
      <c r="L300" t="s">
        <v>74</v>
      </c>
      <c r="M300" t="s">
        <v>78</v>
      </c>
      <c r="N300" t="s">
        <v>79</v>
      </c>
      <c r="O300" t="s">
        <v>74</v>
      </c>
      <c r="P300" t="s">
        <v>74</v>
      </c>
      <c r="Q300" t="s">
        <v>74</v>
      </c>
      <c r="R300" t="s">
        <v>74</v>
      </c>
      <c r="S300" t="s">
        <v>74</v>
      </c>
      <c r="T300" t="s">
        <v>74</v>
      </c>
      <c r="U300" t="s">
        <v>5685</v>
      </c>
      <c r="V300" t="s">
        <v>5686</v>
      </c>
      <c r="W300" t="s">
        <v>5687</v>
      </c>
      <c r="X300" t="s">
        <v>5688</v>
      </c>
      <c r="Y300" t="s">
        <v>5689</v>
      </c>
      <c r="Z300" t="s">
        <v>5690</v>
      </c>
      <c r="AA300" t="s">
        <v>5691</v>
      </c>
      <c r="AB300" t="s">
        <v>74</v>
      </c>
      <c r="AC300" t="s">
        <v>5692</v>
      </c>
      <c r="AD300" t="s">
        <v>5693</v>
      </c>
      <c r="AE300" t="s">
        <v>5694</v>
      </c>
      <c r="AF300" t="s">
        <v>74</v>
      </c>
      <c r="AG300">
        <v>106</v>
      </c>
      <c r="AH300">
        <v>163</v>
      </c>
      <c r="AI300">
        <v>178</v>
      </c>
      <c r="AJ300">
        <v>0</v>
      </c>
      <c r="AK300">
        <v>74</v>
      </c>
      <c r="AL300" t="s">
        <v>1323</v>
      </c>
      <c r="AM300" t="s">
        <v>1324</v>
      </c>
      <c r="AN300" t="s">
        <v>1325</v>
      </c>
      <c r="AO300" t="s">
        <v>5675</v>
      </c>
      <c r="AP300" t="s">
        <v>5695</v>
      </c>
      <c r="AQ300" t="s">
        <v>74</v>
      </c>
      <c r="AR300" t="s">
        <v>5676</v>
      </c>
      <c r="AS300" t="s">
        <v>5677</v>
      </c>
      <c r="AT300" t="s">
        <v>3902</v>
      </c>
      <c r="AU300">
        <v>2011</v>
      </c>
      <c r="AV300">
        <v>56</v>
      </c>
      <c r="AW300">
        <v>4</v>
      </c>
      <c r="AX300" t="s">
        <v>74</v>
      </c>
      <c r="AY300" t="s">
        <v>74</v>
      </c>
      <c r="AZ300" t="s">
        <v>74</v>
      </c>
      <c r="BA300" t="s">
        <v>74</v>
      </c>
      <c r="BB300">
        <v>1411</v>
      </c>
      <c r="BC300">
        <v>1428</v>
      </c>
      <c r="BD300" t="s">
        <v>74</v>
      </c>
      <c r="BE300" t="s">
        <v>5696</v>
      </c>
      <c r="BF300" t="str">
        <f>HYPERLINK("http://dx.doi.org/10.4319/lo.2011.56.4.1411","http://dx.doi.org/10.4319/lo.2011.56.4.1411")</f>
        <v>http://dx.doi.org/10.4319/lo.2011.56.4.1411</v>
      </c>
      <c r="BG300" t="s">
        <v>74</v>
      </c>
      <c r="BH300" t="s">
        <v>74</v>
      </c>
      <c r="BI300">
        <v>18</v>
      </c>
      <c r="BJ300" t="s">
        <v>5679</v>
      </c>
      <c r="BK300" t="s">
        <v>100</v>
      </c>
      <c r="BL300" t="s">
        <v>5605</v>
      </c>
      <c r="BM300" t="s">
        <v>5680</v>
      </c>
      <c r="BN300" t="s">
        <v>74</v>
      </c>
      <c r="BO300" t="s">
        <v>273</v>
      </c>
      <c r="BP300" t="s">
        <v>74</v>
      </c>
      <c r="BQ300" t="s">
        <v>74</v>
      </c>
      <c r="BR300" t="s">
        <v>103</v>
      </c>
      <c r="BS300" t="s">
        <v>5697</v>
      </c>
      <c r="BT300" t="str">
        <f>HYPERLINK("https%3A%2F%2Fwww.webofscience.com%2Fwos%2Fwoscc%2Ffull-record%2FWOS:000294603400019","View Full Record in Web of Science")</f>
        <v>View Full Record in Web of Science</v>
      </c>
    </row>
    <row r="301" spans="1:72" x14ac:dyDescent="0.15">
      <c r="A301" t="s">
        <v>72</v>
      </c>
      <c r="B301" t="s">
        <v>5698</v>
      </c>
      <c r="C301" t="s">
        <v>74</v>
      </c>
      <c r="D301" t="s">
        <v>74</v>
      </c>
      <c r="E301" t="s">
        <v>74</v>
      </c>
      <c r="F301" t="s">
        <v>5699</v>
      </c>
      <c r="G301" t="s">
        <v>74</v>
      </c>
      <c r="H301" t="s">
        <v>74</v>
      </c>
      <c r="I301" t="s">
        <v>5700</v>
      </c>
      <c r="J301" t="s">
        <v>5701</v>
      </c>
      <c r="K301" t="s">
        <v>74</v>
      </c>
      <c r="L301" t="s">
        <v>74</v>
      </c>
      <c r="M301" t="s">
        <v>78</v>
      </c>
      <c r="N301" t="s">
        <v>79</v>
      </c>
      <c r="O301" t="s">
        <v>74</v>
      </c>
      <c r="P301" t="s">
        <v>74</v>
      </c>
      <c r="Q301" t="s">
        <v>74</v>
      </c>
      <c r="R301" t="s">
        <v>74</v>
      </c>
      <c r="S301" t="s">
        <v>74</v>
      </c>
      <c r="T301" t="s">
        <v>5702</v>
      </c>
      <c r="U301" t="s">
        <v>5703</v>
      </c>
      <c r="V301" t="s">
        <v>5704</v>
      </c>
      <c r="W301" t="s">
        <v>5705</v>
      </c>
      <c r="X301" t="s">
        <v>5706</v>
      </c>
      <c r="Y301" t="s">
        <v>5707</v>
      </c>
      <c r="Z301" t="s">
        <v>5708</v>
      </c>
      <c r="AA301" t="s">
        <v>74</v>
      </c>
      <c r="AB301" t="s">
        <v>5709</v>
      </c>
      <c r="AC301" t="s">
        <v>5710</v>
      </c>
      <c r="AD301" t="s">
        <v>5711</v>
      </c>
      <c r="AE301" t="s">
        <v>5712</v>
      </c>
      <c r="AF301" t="s">
        <v>74</v>
      </c>
      <c r="AG301">
        <v>92</v>
      </c>
      <c r="AH301">
        <v>41</v>
      </c>
      <c r="AI301">
        <v>42</v>
      </c>
      <c r="AJ301">
        <v>0</v>
      </c>
      <c r="AK301">
        <v>30</v>
      </c>
      <c r="AL301" t="s">
        <v>2669</v>
      </c>
      <c r="AM301" t="s">
        <v>309</v>
      </c>
      <c r="AN301" t="s">
        <v>2670</v>
      </c>
      <c r="AO301" t="s">
        <v>5713</v>
      </c>
      <c r="AP301" t="s">
        <v>74</v>
      </c>
      <c r="AQ301" t="s">
        <v>74</v>
      </c>
      <c r="AR301" t="s">
        <v>5701</v>
      </c>
      <c r="AS301" t="s">
        <v>5714</v>
      </c>
      <c r="AT301" t="s">
        <v>3902</v>
      </c>
      <c r="AU301">
        <v>2011</v>
      </c>
      <c r="AV301">
        <v>125</v>
      </c>
      <c r="AW301" t="s">
        <v>2154</v>
      </c>
      <c r="AX301" t="s">
        <v>74</v>
      </c>
      <c r="AY301" t="s">
        <v>74</v>
      </c>
      <c r="AZ301" t="s">
        <v>74</v>
      </c>
      <c r="BA301" t="s">
        <v>74</v>
      </c>
      <c r="BB301">
        <v>553</v>
      </c>
      <c r="BC301">
        <v>568</v>
      </c>
      <c r="BD301" t="s">
        <v>74</v>
      </c>
      <c r="BE301" t="s">
        <v>5715</v>
      </c>
      <c r="BF301" t="str">
        <f>HYPERLINK("http://dx.doi.org/10.1016/j.lithos.2011.03.011","http://dx.doi.org/10.1016/j.lithos.2011.03.011")</f>
        <v>http://dx.doi.org/10.1016/j.lithos.2011.03.011</v>
      </c>
      <c r="BG301" t="s">
        <v>74</v>
      </c>
      <c r="BH301" t="s">
        <v>74</v>
      </c>
      <c r="BI301">
        <v>16</v>
      </c>
      <c r="BJ301" t="s">
        <v>5716</v>
      </c>
      <c r="BK301" t="s">
        <v>100</v>
      </c>
      <c r="BL301" t="s">
        <v>5716</v>
      </c>
      <c r="BM301" t="s">
        <v>5717</v>
      </c>
      <c r="BN301" t="s">
        <v>74</v>
      </c>
      <c r="BO301" t="s">
        <v>74</v>
      </c>
      <c r="BP301" t="s">
        <v>74</v>
      </c>
      <c r="BQ301" t="s">
        <v>74</v>
      </c>
      <c r="BR301" t="s">
        <v>103</v>
      </c>
      <c r="BS301" t="s">
        <v>5718</v>
      </c>
      <c r="BT301" t="str">
        <f>HYPERLINK("https%3A%2F%2Fwww.webofscience.com%2Fwos%2Fwoscc%2Ffull-record%2FWOS:000292663600035","View Full Record in Web of Science")</f>
        <v>View Full Record in Web of Science</v>
      </c>
    </row>
    <row r="302" spans="1:72" x14ac:dyDescent="0.15">
      <c r="A302" t="s">
        <v>72</v>
      </c>
      <c r="B302" t="s">
        <v>5719</v>
      </c>
      <c r="C302" t="s">
        <v>74</v>
      </c>
      <c r="D302" t="s">
        <v>74</v>
      </c>
      <c r="E302" t="s">
        <v>74</v>
      </c>
      <c r="F302" t="s">
        <v>5720</v>
      </c>
      <c r="G302" t="s">
        <v>74</v>
      </c>
      <c r="H302" t="s">
        <v>74</v>
      </c>
      <c r="I302" t="s">
        <v>5721</v>
      </c>
      <c r="J302" t="s">
        <v>1562</v>
      </c>
      <c r="K302" t="s">
        <v>74</v>
      </c>
      <c r="L302" t="s">
        <v>74</v>
      </c>
      <c r="M302" t="s">
        <v>78</v>
      </c>
      <c r="N302" t="s">
        <v>4724</v>
      </c>
      <c r="O302" t="s">
        <v>74</v>
      </c>
      <c r="P302" t="s">
        <v>74</v>
      </c>
      <c r="Q302" t="s">
        <v>74</v>
      </c>
      <c r="R302" t="s">
        <v>74</v>
      </c>
      <c r="S302" t="s">
        <v>74</v>
      </c>
      <c r="T302" t="s">
        <v>74</v>
      </c>
      <c r="U302" t="s">
        <v>74</v>
      </c>
      <c r="V302" t="s">
        <v>74</v>
      </c>
      <c r="W302" t="s">
        <v>5722</v>
      </c>
      <c r="X302" t="s">
        <v>3028</v>
      </c>
      <c r="Y302" t="s">
        <v>5723</v>
      </c>
      <c r="Z302" t="s">
        <v>5724</v>
      </c>
      <c r="AA302" t="s">
        <v>3031</v>
      </c>
      <c r="AB302" t="s">
        <v>3032</v>
      </c>
      <c r="AC302" t="s">
        <v>74</v>
      </c>
      <c r="AD302" t="s">
        <v>74</v>
      </c>
      <c r="AE302" t="s">
        <v>74</v>
      </c>
      <c r="AF302" t="s">
        <v>74</v>
      </c>
      <c r="AG302">
        <v>1</v>
      </c>
      <c r="AH302">
        <v>0</v>
      </c>
      <c r="AI302">
        <v>0</v>
      </c>
      <c r="AJ302">
        <v>0</v>
      </c>
      <c r="AK302">
        <v>6</v>
      </c>
      <c r="AL302" t="s">
        <v>1441</v>
      </c>
      <c r="AM302" t="s">
        <v>91</v>
      </c>
      <c r="AN302" t="s">
        <v>1595</v>
      </c>
      <c r="AO302" t="s">
        <v>1574</v>
      </c>
      <c r="AP302" t="s">
        <v>74</v>
      </c>
      <c r="AQ302" t="s">
        <v>74</v>
      </c>
      <c r="AR302" t="s">
        <v>1576</v>
      </c>
      <c r="AS302" t="s">
        <v>1577</v>
      </c>
      <c r="AT302" t="s">
        <v>3902</v>
      </c>
      <c r="AU302">
        <v>2011</v>
      </c>
      <c r="AV302">
        <v>158</v>
      </c>
      <c r="AW302">
        <v>7</v>
      </c>
      <c r="AX302" t="s">
        <v>74</v>
      </c>
      <c r="AY302" t="s">
        <v>74</v>
      </c>
      <c r="AZ302" t="s">
        <v>74</v>
      </c>
      <c r="BA302" t="s">
        <v>74</v>
      </c>
      <c r="BB302">
        <v>1681</v>
      </c>
      <c r="BC302">
        <v>1681</v>
      </c>
      <c r="BD302" t="s">
        <v>74</v>
      </c>
      <c r="BE302" t="s">
        <v>5725</v>
      </c>
      <c r="BF302" t="str">
        <f>HYPERLINK("http://dx.doi.org/10.1007/s00227-011-1683-x","http://dx.doi.org/10.1007/s00227-011-1683-x")</f>
        <v>http://dx.doi.org/10.1007/s00227-011-1683-x</v>
      </c>
      <c r="BG302" t="s">
        <v>74</v>
      </c>
      <c r="BH302" t="s">
        <v>74</v>
      </c>
      <c r="BI302">
        <v>1</v>
      </c>
      <c r="BJ302" t="s">
        <v>700</v>
      </c>
      <c r="BK302" t="s">
        <v>100</v>
      </c>
      <c r="BL302" t="s">
        <v>700</v>
      </c>
      <c r="BM302" t="s">
        <v>5726</v>
      </c>
      <c r="BN302" t="s">
        <v>74</v>
      </c>
      <c r="BO302" t="s">
        <v>152</v>
      </c>
      <c r="BP302" t="s">
        <v>74</v>
      </c>
      <c r="BQ302" t="s">
        <v>74</v>
      </c>
      <c r="BR302" t="s">
        <v>103</v>
      </c>
      <c r="BS302" t="s">
        <v>5727</v>
      </c>
      <c r="BT302" t="str">
        <f>HYPERLINK("https%3A%2F%2Fwww.webofscience.com%2Fwos%2Fwoscc%2Ffull-record%2FWOS:000291922200020","View Full Record in Web of Science")</f>
        <v>View Full Record in Web of Science</v>
      </c>
    </row>
    <row r="303" spans="1:72" x14ac:dyDescent="0.15">
      <c r="A303" t="s">
        <v>72</v>
      </c>
      <c r="B303" t="s">
        <v>5728</v>
      </c>
      <c r="C303" t="s">
        <v>74</v>
      </c>
      <c r="D303" t="s">
        <v>74</v>
      </c>
      <c r="E303" t="s">
        <v>74</v>
      </c>
      <c r="F303" t="s">
        <v>5729</v>
      </c>
      <c r="G303" t="s">
        <v>74</v>
      </c>
      <c r="H303" t="s">
        <v>74</v>
      </c>
      <c r="I303" t="s">
        <v>5730</v>
      </c>
      <c r="J303" t="s">
        <v>5731</v>
      </c>
      <c r="K303" t="s">
        <v>74</v>
      </c>
      <c r="L303" t="s">
        <v>74</v>
      </c>
      <c r="M303" t="s">
        <v>78</v>
      </c>
      <c r="N303" t="s">
        <v>79</v>
      </c>
      <c r="O303" t="s">
        <v>74</v>
      </c>
      <c r="P303" t="s">
        <v>74</v>
      </c>
      <c r="Q303" t="s">
        <v>74</v>
      </c>
      <c r="R303" t="s">
        <v>74</v>
      </c>
      <c r="S303" t="s">
        <v>74</v>
      </c>
      <c r="T303" t="s">
        <v>5732</v>
      </c>
      <c r="U303" t="s">
        <v>5733</v>
      </c>
      <c r="V303" t="s">
        <v>5734</v>
      </c>
      <c r="W303" t="s">
        <v>5735</v>
      </c>
      <c r="X303" t="s">
        <v>5736</v>
      </c>
      <c r="Y303" t="s">
        <v>5737</v>
      </c>
      <c r="Z303" t="s">
        <v>5738</v>
      </c>
      <c r="AA303" t="s">
        <v>5739</v>
      </c>
      <c r="AB303" t="s">
        <v>74</v>
      </c>
      <c r="AC303" t="s">
        <v>5740</v>
      </c>
      <c r="AD303" t="s">
        <v>5741</v>
      </c>
      <c r="AE303" t="s">
        <v>5742</v>
      </c>
      <c r="AF303" t="s">
        <v>74</v>
      </c>
      <c r="AG303">
        <v>89</v>
      </c>
      <c r="AH303">
        <v>420</v>
      </c>
      <c r="AI303">
        <v>485</v>
      </c>
      <c r="AJ303">
        <v>4</v>
      </c>
      <c r="AK303">
        <v>151</v>
      </c>
      <c r="AL303" t="s">
        <v>308</v>
      </c>
      <c r="AM303" t="s">
        <v>309</v>
      </c>
      <c r="AN303" t="s">
        <v>310</v>
      </c>
      <c r="AO303" t="s">
        <v>5743</v>
      </c>
      <c r="AP303" t="s">
        <v>5744</v>
      </c>
      <c r="AQ303" t="s">
        <v>74</v>
      </c>
      <c r="AR303" t="s">
        <v>5745</v>
      </c>
      <c r="AS303" t="s">
        <v>5746</v>
      </c>
      <c r="AT303" t="s">
        <v>4683</v>
      </c>
      <c r="AU303">
        <v>2011</v>
      </c>
      <c r="AV303">
        <v>285</v>
      </c>
      <c r="AW303" t="s">
        <v>3418</v>
      </c>
      <c r="AX303" t="s">
        <v>74</v>
      </c>
      <c r="AY303" t="s">
        <v>74</v>
      </c>
      <c r="AZ303" t="s">
        <v>74</v>
      </c>
      <c r="BA303" t="s">
        <v>74</v>
      </c>
      <c r="BB303">
        <v>69</v>
      </c>
      <c r="BC303">
        <v>86</v>
      </c>
      <c r="BD303" t="s">
        <v>74</v>
      </c>
      <c r="BE303" t="s">
        <v>5747</v>
      </c>
      <c r="BF303" t="str">
        <f>HYPERLINK("http://dx.doi.org/10.1016/j.margeo.2011.05.008","http://dx.doi.org/10.1016/j.margeo.2011.05.008")</f>
        <v>http://dx.doi.org/10.1016/j.margeo.2011.05.008</v>
      </c>
      <c r="BG303" t="s">
        <v>74</v>
      </c>
      <c r="BH303" t="s">
        <v>74</v>
      </c>
      <c r="BI303">
        <v>18</v>
      </c>
      <c r="BJ303" t="s">
        <v>5748</v>
      </c>
      <c r="BK303" t="s">
        <v>100</v>
      </c>
      <c r="BL303" t="s">
        <v>5749</v>
      </c>
      <c r="BM303" t="s">
        <v>5750</v>
      </c>
      <c r="BN303" t="s">
        <v>74</v>
      </c>
      <c r="BO303" t="s">
        <v>74</v>
      </c>
      <c r="BP303" t="s">
        <v>74</v>
      </c>
      <c r="BQ303" t="s">
        <v>74</v>
      </c>
      <c r="BR303" t="s">
        <v>103</v>
      </c>
      <c r="BS303" t="s">
        <v>5751</v>
      </c>
      <c r="BT303" t="str">
        <f>HYPERLINK("https%3A%2F%2Fwww.webofscience.com%2Fwos%2Fwoscc%2Ffull-record%2FWOS:000293314700006","View Full Record in Web of Science")</f>
        <v>View Full Record in Web of Science</v>
      </c>
    </row>
    <row r="304" spans="1:72" x14ac:dyDescent="0.15">
      <c r="A304" t="s">
        <v>72</v>
      </c>
      <c r="B304" t="s">
        <v>5752</v>
      </c>
      <c r="C304" t="s">
        <v>74</v>
      </c>
      <c r="D304" t="s">
        <v>74</v>
      </c>
      <c r="E304" t="s">
        <v>74</v>
      </c>
      <c r="F304" t="s">
        <v>5753</v>
      </c>
      <c r="G304" t="s">
        <v>74</v>
      </c>
      <c r="H304" t="s">
        <v>74</v>
      </c>
      <c r="I304" t="s">
        <v>5754</v>
      </c>
      <c r="J304" t="s">
        <v>5755</v>
      </c>
      <c r="K304" t="s">
        <v>74</v>
      </c>
      <c r="L304" t="s">
        <v>74</v>
      </c>
      <c r="M304" t="s">
        <v>78</v>
      </c>
      <c r="N304" t="s">
        <v>79</v>
      </c>
      <c r="O304" t="s">
        <v>74</v>
      </c>
      <c r="P304" t="s">
        <v>74</v>
      </c>
      <c r="Q304" t="s">
        <v>74</v>
      </c>
      <c r="R304" t="s">
        <v>74</v>
      </c>
      <c r="S304" t="s">
        <v>74</v>
      </c>
      <c r="T304" t="s">
        <v>5756</v>
      </c>
      <c r="U304" t="s">
        <v>5757</v>
      </c>
      <c r="V304" t="s">
        <v>5758</v>
      </c>
      <c r="W304" t="s">
        <v>5759</v>
      </c>
      <c r="X304" t="s">
        <v>5760</v>
      </c>
      <c r="Y304" t="s">
        <v>5761</v>
      </c>
      <c r="Z304" t="s">
        <v>5762</v>
      </c>
      <c r="AA304" t="s">
        <v>74</v>
      </c>
      <c r="AB304" t="s">
        <v>74</v>
      </c>
      <c r="AC304" t="s">
        <v>5763</v>
      </c>
      <c r="AD304" t="s">
        <v>5764</v>
      </c>
      <c r="AE304" t="s">
        <v>5765</v>
      </c>
      <c r="AF304" t="s">
        <v>74</v>
      </c>
      <c r="AG304">
        <v>42</v>
      </c>
      <c r="AH304">
        <v>54</v>
      </c>
      <c r="AI304">
        <v>57</v>
      </c>
      <c r="AJ304">
        <v>1</v>
      </c>
      <c r="AK304">
        <v>41</v>
      </c>
      <c r="AL304" t="s">
        <v>4179</v>
      </c>
      <c r="AM304" t="s">
        <v>1324</v>
      </c>
      <c r="AN304" t="s">
        <v>1325</v>
      </c>
      <c r="AO304" t="s">
        <v>5766</v>
      </c>
      <c r="AP304" t="s">
        <v>74</v>
      </c>
      <c r="AQ304" t="s">
        <v>74</v>
      </c>
      <c r="AR304" t="s">
        <v>5767</v>
      </c>
      <c r="AS304" t="s">
        <v>5768</v>
      </c>
      <c r="AT304" t="s">
        <v>3902</v>
      </c>
      <c r="AU304">
        <v>2011</v>
      </c>
      <c r="AV304">
        <v>27</v>
      </c>
      <c r="AW304">
        <v>3</v>
      </c>
      <c r="AX304" t="s">
        <v>74</v>
      </c>
      <c r="AY304" t="s">
        <v>74</v>
      </c>
      <c r="AZ304" t="s">
        <v>74</v>
      </c>
      <c r="BA304" t="s">
        <v>74</v>
      </c>
      <c r="BB304">
        <v>455</v>
      </c>
      <c r="BC304">
        <v>476</v>
      </c>
      <c r="BD304" t="s">
        <v>74</v>
      </c>
      <c r="BE304" t="s">
        <v>5769</v>
      </c>
      <c r="BF304" t="str">
        <f>HYPERLINK("http://dx.doi.org/10.1111/j.1748-7692.2010.00412.x","http://dx.doi.org/10.1111/j.1748-7692.2010.00412.x")</f>
        <v>http://dx.doi.org/10.1111/j.1748-7692.2010.00412.x</v>
      </c>
      <c r="BG304" t="s">
        <v>74</v>
      </c>
      <c r="BH304" t="s">
        <v>74</v>
      </c>
      <c r="BI304">
        <v>22</v>
      </c>
      <c r="BJ304" t="s">
        <v>5770</v>
      </c>
      <c r="BK304" t="s">
        <v>100</v>
      </c>
      <c r="BL304" t="s">
        <v>5770</v>
      </c>
      <c r="BM304" t="s">
        <v>5771</v>
      </c>
      <c r="BN304" t="s">
        <v>74</v>
      </c>
      <c r="BO304" t="s">
        <v>1025</v>
      </c>
      <c r="BP304" t="s">
        <v>74</v>
      </c>
      <c r="BQ304" t="s">
        <v>74</v>
      </c>
      <c r="BR304" t="s">
        <v>103</v>
      </c>
      <c r="BS304" t="s">
        <v>5772</v>
      </c>
      <c r="BT304" t="str">
        <f>HYPERLINK("https%3A%2F%2Fwww.webofscience.com%2Fwos%2Fwoscc%2Ffull-record%2FWOS:000292825200009","View Full Record in Web of Science")</f>
        <v>View Full Record in Web of Science</v>
      </c>
    </row>
    <row r="305" spans="1:72" x14ac:dyDescent="0.15">
      <c r="A305" t="s">
        <v>72</v>
      </c>
      <c r="B305" t="s">
        <v>5773</v>
      </c>
      <c r="C305" t="s">
        <v>74</v>
      </c>
      <c r="D305" t="s">
        <v>74</v>
      </c>
      <c r="E305" t="s">
        <v>74</v>
      </c>
      <c r="F305" t="s">
        <v>5774</v>
      </c>
      <c r="G305" t="s">
        <v>74</v>
      </c>
      <c r="H305" t="s">
        <v>74</v>
      </c>
      <c r="I305" t="s">
        <v>5775</v>
      </c>
      <c r="J305" t="s">
        <v>5755</v>
      </c>
      <c r="K305" t="s">
        <v>74</v>
      </c>
      <c r="L305" t="s">
        <v>74</v>
      </c>
      <c r="M305" t="s">
        <v>78</v>
      </c>
      <c r="N305" t="s">
        <v>79</v>
      </c>
      <c r="O305" t="s">
        <v>74</v>
      </c>
      <c r="P305" t="s">
        <v>74</v>
      </c>
      <c r="Q305" t="s">
        <v>74</v>
      </c>
      <c r="R305" t="s">
        <v>74</v>
      </c>
      <c r="S305" t="s">
        <v>74</v>
      </c>
      <c r="T305" t="s">
        <v>5776</v>
      </c>
      <c r="U305" t="s">
        <v>5777</v>
      </c>
      <c r="V305" t="s">
        <v>5778</v>
      </c>
      <c r="W305" t="s">
        <v>5779</v>
      </c>
      <c r="X305" t="s">
        <v>5780</v>
      </c>
      <c r="Y305" t="s">
        <v>5781</v>
      </c>
      <c r="Z305" t="s">
        <v>5782</v>
      </c>
      <c r="AA305" t="s">
        <v>5783</v>
      </c>
      <c r="AB305" t="s">
        <v>5784</v>
      </c>
      <c r="AC305" t="s">
        <v>5785</v>
      </c>
      <c r="AD305" t="s">
        <v>5785</v>
      </c>
      <c r="AE305" t="s">
        <v>5786</v>
      </c>
      <c r="AF305" t="s">
        <v>74</v>
      </c>
      <c r="AG305">
        <v>63</v>
      </c>
      <c r="AH305">
        <v>44</v>
      </c>
      <c r="AI305">
        <v>52</v>
      </c>
      <c r="AJ305">
        <v>1</v>
      </c>
      <c r="AK305">
        <v>45</v>
      </c>
      <c r="AL305" t="s">
        <v>1323</v>
      </c>
      <c r="AM305" t="s">
        <v>1324</v>
      </c>
      <c r="AN305" t="s">
        <v>1325</v>
      </c>
      <c r="AO305" t="s">
        <v>5766</v>
      </c>
      <c r="AP305" t="s">
        <v>5787</v>
      </c>
      <c r="AQ305" t="s">
        <v>74</v>
      </c>
      <c r="AR305" t="s">
        <v>5767</v>
      </c>
      <c r="AS305" t="s">
        <v>5768</v>
      </c>
      <c r="AT305" t="s">
        <v>3902</v>
      </c>
      <c r="AU305">
        <v>2011</v>
      </c>
      <c r="AV305">
        <v>27</v>
      </c>
      <c r="AW305">
        <v>3</v>
      </c>
      <c r="AX305" t="s">
        <v>74</v>
      </c>
      <c r="AY305" t="s">
        <v>74</v>
      </c>
      <c r="AZ305" t="s">
        <v>74</v>
      </c>
      <c r="BA305" t="s">
        <v>74</v>
      </c>
      <c r="BB305">
        <v>567</v>
      </c>
      <c r="BC305">
        <v>586</v>
      </c>
      <c r="BD305" t="s">
        <v>74</v>
      </c>
      <c r="BE305" t="s">
        <v>5788</v>
      </c>
      <c r="BF305" t="str">
        <f>HYPERLINK("http://dx.doi.org/10.1111/j.1748-7692.2010.00425.x","http://dx.doi.org/10.1111/j.1748-7692.2010.00425.x")</f>
        <v>http://dx.doi.org/10.1111/j.1748-7692.2010.00425.x</v>
      </c>
      <c r="BG305" t="s">
        <v>74</v>
      </c>
      <c r="BH305" t="s">
        <v>74</v>
      </c>
      <c r="BI305">
        <v>20</v>
      </c>
      <c r="BJ305" t="s">
        <v>5770</v>
      </c>
      <c r="BK305" t="s">
        <v>100</v>
      </c>
      <c r="BL305" t="s">
        <v>5770</v>
      </c>
      <c r="BM305" t="s">
        <v>5771</v>
      </c>
      <c r="BN305" t="s">
        <v>74</v>
      </c>
      <c r="BO305" t="s">
        <v>74</v>
      </c>
      <c r="BP305" t="s">
        <v>74</v>
      </c>
      <c r="BQ305" t="s">
        <v>74</v>
      </c>
      <c r="BR305" t="s">
        <v>103</v>
      </c>
      <c r="BS305" t="s">
        <v>5789</v>
      </c>
      <c r="BT305" t="str">
        <f>HYPERLINK("https%3A%2F%2Fwww.webofscience.com%2Fwos%2Fwoscc%2Ffull-record%2FWOS:000292825200014","View Full Record in Web of Science")</f>
        <v>View Full Record in Web of Science</v>
      </c>
    </row>
    <row r="306" spans="1:72" x14ac:dyDescent="0.15">
      <c r="A306" t="s">
        <v>72</v>
      </c>
      <c r="B306" t="s">
        <v>5790</v>
      </c>
      <c r="C306" t="s">
        <v>74</v>
      </c>
      <c r="D306" t="s">
        <v>74</v>
      </c>
      <c r="E306" t="s">
        <v>74</v>
      </c>
      <c r="F306" t="s">
        <v>5791</v>
      </c>
      <c r="G306" t="s">
        <v>74</v>
      </c>
      <c r="H306" t="s">
        <v>74</v>
      </c>
      <c r="I306" t="s">
        <v>5792</v>
      </c>
      <c r="J306" t="s">
        <v>5755</v>
      </c>
      <c r="K306" t="s">
        <v>74</v>
      </c>
      <c r="L306" t="s">
        <v>74</v>
      </c>
      <c r="M306" t="s">
        <v>78</v>
      </c>
      <c r="N306" t="s">
        <v>79</v>
      </c>
      <c r="O306" t="s">
        <v>74</v>
      </c>
      <c r="P306" t="s">
        <v>74</v>
      </c>
      <c r="Q306" t="s">
        <v>74</v>
      </c>
      <c r="R306" t="s">
        <v>74</v>
      </c>
      <c r="S306" t="s">
        <v>74</v>
      </c>
      <c r="T306" t="s">
        <v>5793</v>
      </c>
      <c r="U306" t="s">
        <v>5794</v>
      </c>
      <c r="V306" t="s">
        <v>5795</v>
      </c>
      <c r="W306" t="s">
        <v>5796</v>
      </c>
      <c r="X306" t="s">
        <v>5797</v>
      </c>
      <c r="Y306" t="s">
        <v>5798</v>
      </c>
      <c r="Z306" t="s">
        <v>5799</v>
      </c>
      <c r="AA306" t="s">
        <v>74</v>
      </c>
      <c r="AB306" t="s">
        <v>74</v>
      </c>
      <c r="AC306" t="s">
        <v>5800</v>
      </c>
      <c r="AD306" t="s">
        <v>5801</v>
      </c>
      <c r="AE306" t="s">
        <v>5802</v>
      </c>
      <c r="AF306" t="s">
        <v>74</v>
      </c>
      <c r="AG306">
        <v>32</v>
      </c>
      <c r="AH306">
        <v>67</v>
      </c>
      <c r="AI306">
        <v>85</v>
      </c>
      <c r="AJ306">
        <v>1</v>
      </c>
      <c r="AK306">
        <v>48</v>
      </c>
      <c r="AL306" t="s">
        <v>1323</v>
      </c>
      <c r="AM306" t="s">
        <v>1324</v>
      </c>
      <c r="AN306" t="s">
        <v>1325</v>
      </c>
      <c r="AO306" t="s">
        <v>5766</v>
      </c>
      <c r="AP306" t="s">
        <v>5787</v>
      </c>
      <c r="AQ306" t="s">
        <v>74</v>
      </c>
      <c r="AR306" t="s">
        <v>5767</v>
      </c>
      <c r="AS306" t="s">
        <v>5768</v>
      </c>
      <c r="AT306" t="s">
        <v>3902</v>
      </c>
      <c r="AU306">
        <v>2011</v>
      </c>
      <c r="AV306">
        <v>27</v>
      </c>
      <c r="AW306">
        <v>3</v>
      </c>
      <c r="AX306" t="s">
        <v>74</v>
      </c>
      <c r="AY306" t="s">
        <v>74</v>
      </c>
      <c r="AZ306" t="s">
        <v>74</v>
      </c>
      <c r="BA306" t="s">
        <v>74</v>
      </c>
      <c r="BB306">
        <v>587</v>
      </c>
      <c r="BC306">
        <v>605</v>
      </c>
      <c r="BD306" t="s">
        <v>74</v>
      </c>
      <c r="BE306" t="s">
        <v>5803</v>
      </c>
      <c r="BF306" t="str">
        <f>HYPERLINK("http://dx.doi.org/10.1111/j.1748-7692.2010.00427.x","http://dx.doi.org/10.1111/j.1748-7692.2010.00427.x")</f>
        <v>http://dx.doi.org/10.1111/j.1748-7692.2010.00427.x</v>
      </c>
      <c r="BG306" t="s">
        <v>74</v>
      </c>
      <c r="BH306" t="s">
        <v>74</v>
      </c>
      <c r="BI306">
        <v>19</v>
      </c>
      <c r="BJ306" t="s">
        <v>5770</v>
      </c>
      <c r="BK306" t="s">
        <v>100</v>
      </c>
      <c r="BL306" t="s">
        <v>5770</v>
      </c>
      <c r="BM306" t="s">
        <v>5771</v>
      </c>
      <c r="BN306" t="s">
        <v>74</v>
      </c>
      <c r="BO306" t="s">
        <v>74</v>
      </c>
      <c r="BP306" t="s">
        <v>74</v>
      </c>
      <c r="BQ306" t="s">
        <v>74</v>
      </c>
      <c r="BR306" t="s">
        <v>103</v>
      </c>
      <c r="BS306" t="s">
        <v>5804</v>
      </c>
      <c r="BT306" t="str">
        <f>HYPERLINK("https%3A%2F%2Fwww.webofscience.com%2Fwos%2Fwoscc%2Ffull-record%2FWOS:000292825200015","View Full Record in Web of Science")</f>
        <v>View Full Record in Web of Science</v>
      </c>
    </row>
    <row r="307" spans="1:72" x14ac:dyDescent="0.15">
      <c r="A307" t="s">
        <v>72</v>
      </c>
      <c r="B307" t="s">
        <v>5805</v>
      </c>
      <c r="C307" t="s">
        <v>74</v>
      </c>
      <c r="D307" t="s">
        <v>74</v>
      </c>
      <c r="E307" t="s">
        <v>74</v>
      </c>
      <c r="F307" t="s">
        <v>5806</v>
      </c>
      <c r="G307" t="s">
        <v>74</v>
      </c>
      <c r="H307" t="s">
        <v>74</v>
      </c>
      <c r="I307" t="s">
        <v>5807</v>
      </c>
      <c r="J307" t="s">
        <v>5808</v>
      </c>
      <c r="K307" t="s">
        <v>74</v>
      </c>
      <c r="L307" t="s">
        <v>74</v>
      </c>
      <c r="M307" t="s">
        <v>78</v>
      </c>
      <c r="N307" t="s">
        <v>278</v>
      </c>
      <c r="O307" t="s">
        <v>74</v>
      </c>
      <c r="P307" t="s">
        <v>74</v>
      </c>
      <c r="Q307" t="s">
        <v>74</v>
      </c>
      <c r="R307" t="s">
        <v>74</v>
      </c>
      <c r="S307" t="s">
        <v>74</v>
      </c>
      <c r="T307" t="s">
        <v>74</v>
      </c>
      <c r="U307" t="s">
        <v>5809</v>
      </c>
      <c r="V307" t="s">
        <v>5810</v>
      </c>
      <c r="W307" t="s">
        <v>5811</v>
      </c>
      <c r="X307" t="s">
        <v>5812</v>
      </c>
      <c r="Y307" t="s">
        <v>1316</v>
      </c>
      <c r="Z307" t="s">
        <v>1317</v>
      </c>
      <c r="AA307" t="s">
        <v>5813</v>
      </c>
      <c r="AB307" t="s">
        <v>5814</v>
      </c>
      <c r="AC307" t="s">
        <v>1320</v>
      </c>
      <c r="AD307" t="s">
        <v>1321</v>
      </c>
      <c r="AE307" t="s">
        <v>5815</v>
      </c>
      <c r="AF307" t="s">
        <v>74</v>
      </c>
      <c r="AG307">
        <v>130</v>
      </c>
      <c r="AH307">
        <v>232</v>
      </c>
      <c r="AI307">
        <v>251</v>
      </c>
      <c r="AJ307">
        <v>7</v>
      </c>
      <c r="AK307">
        <v>124</v>
      </c>
      <c r="AL307" t="s">
        <v>1323</v>
      </c>
      <c r="AM307" t="s">
        <v>1324</v>
      </c>
      <c r="AN307" t="s">
        <v>1325</v>
      </c>
      <c r="AO307" t="s">
        <v>5816</v>
      </c>
      <c r="AP307" t="s">
        <v>74</v>
      </c>
      <c r="AQ307" t="s">
        <v>74</v>
      </c>
      <c r="AR307" t="s">
        <v>5817</v>
      </c>
      <c r="AS307" t="s">
        <v>5818</v>
      </c>
      <c r="AT307" t="s">
        <v>3902</v>
      </c>
      <c r="AU307">
        <v>2011</v>
      </c>
      <c r="AV307">
        <v>4</v>
      </c>
      <c r="AW307">
        <v>4</v>
      </c>
      <c r="AX307" t="s">
        <v>74</v>
      </c>
      <c r="AY307" t="s">
        <v>74</v>
      </c>
      <c r="AZ307" t="s">
        <v>864</v>
      </c>
      <c r="BA307" t="s">
        <v>74</v>
      </c>
      <c r="BB307">
        <v>449</v>
      </c>
      <c r="BC307">
        <v>460</v>
      </c>
      <c r="BD307" t="s">
        <v>74</v>
      </c>
      <c r="BE307" t="s">
        <v>5819</v>
      </c>
      <c r="BF307" t="str">
        <f>HYPERLINK("http://dx.doi.org/10.1111/j.1751-7915.2011.00258.x","http://dx.doi.org/10.1111/j.1751-7915.2011.00258.x")</f>
        <v>http://dx.doi.org/10.1111/j.1751-7915.2011.00258.x</v>
      </c>
      <c r="BG307" t="s">
        <v>74</v>
      </c>
      <c r="BH307" t="s">
        <v>74</v>
      </c>
      <c r="BI307">
        <v>12</v>
      </c>
      <c r="BJ307" t="s">
        <v>4406</v>
      </c>
      <c r="BK307" t="s">
        <v>100</v>
      </c>
      <c r="BL307" t="s">
        <v>4406</v>
      </c>
      <c r="BM307" t="s">
        <v>5820</v>
      </c>
      <c r="BN307">
        <v>21733127</v>
      </c>
      <c r="BO307" t="s">
        <v>2678</v>
      </c>
      <c r="BP307" t="s">
        <v>74</v>
      </c>
      <c r="BQ307" t="s">
        <v>74</v>
      </c>
      <c r="BR307" t="s">
        <v>103</v>
      </c>
      <c r="BS307" t="s">
        <v>5821</v>
      </c>
      <c r="BT307" t="str">
        <f>HYPERLINK("https%3A%2F%2Fwww.webofscience.com%2Fwos%2Fwoscc%2Ffull-record%2FWOS:000292467200003","View Full Record in Web of Science")</f>
        <v>View Full Record in Web of Science</v>
      </c>
    </row>
    <row r="308" spans="1:72" x14ac:dyDescent="0.15">
      <c r="A308" t="s">
        <v>72</v>
      </c>
      <c r="B308" t="s">
        <v>5822</v>
      </c>
      <c r="C308" t="s">
        <v>74</v>
      </c>
      <c r="D308" t="s">
        <v>74</v>
      </c>
      <c r="E308" t="s">
        <v>74</v>
      </c>
      <c r="F308" t="s">
        <v>5823</v>
      </c>
      <c r="G308" t="s">
        <v>74</v>
      </c>
      <c r="H308" t="s">
        <v>74</v>
      </c>
      <c r="I308" t="s">
        <v>5824</v>
      </c>
      <c r="J308" t="s">
        <v>2518</v>
      </c>
      <c r="K308" t="s">
        <v>74</v>
      </c>
      <c r="L308" t="s">
        <v>74</v>
      </c>
      <c r="M308" t="s">
        <v>78</v>
      </c>
      <c r="N308" t="s">
        <v>79</v>
      </c>
      <c r="O308" t="s">
        <v>74</v>
      </c>
      <c r="P308" t="s">
        <v>74</v>
      </c>
      <c r="Q308" t="s">
        <v>74</v>
      </c>
      <c r="R308" t="s">
        <v>74</v>
      </c>
      <c r="S308" t="s">
        <v>74</v>
      </c>
      <c r="T308" t="s">
        <v>74</v>
      </c>
      <c r="U308" t="s">
        <v>5825</v>
      </c>
      <c r="V308" t="s">
        <v>5826</v>
      </c>
      <c r="W308" t="s">
        <v>5827</v>
      </c>
      <c r="X308" t="s">
        <v>5828</v>
      </c>
      <c r="Y308" t="s">
        <v>5829</v>
      </c>
      <c r="Z308" t="s">
        <v>5830</v>
      </c>
      <c r="AA308" t="s">
        <v>5831</v>
      </c>
      <c r="AB308" t="s">
        <v>5832</v>
      </c>
      <c r="AC308" t="s">
        <v>5833</v>
      </c>
      <c r="AD308" t="s">
        <v>5834</v>
      </c>
      <c r="AE308" t="s">
        <v>5835</v>
      </c>
      <c r="AF308" t="s">
        <v>74</v>
      </c>
      <c r="AG308">
        <v>48</v>
      </c>
      <c r="AH308">
        <v>45</v>
      </c>
      <c r="AI308">
        <v>50</v>
      </c>
      <c r="AJ308">
        <v>1</v>
      </c>
      <c r="AK308">
        <v>34</v>
      </c>
      <c r="AL308" t="s">
        <v>1441</v>
      </c>
      <c r="AM308" t="s">
        <v>91</v>
      </c>
      <c r="AN308" t="s">
        <v>1595</v>
      </c>
      <c r="AO308" t="s">
        <v>2530</v>
      </c>
      <c r="AP308" t="s">
        <v>2531</v>
      </c>
      <c r="AQ308" t="s">
        <v>74</v>
      </c>
      <c r="AR308" t="s">
        <v>2532</v>
      </c>
      <c r="AS308" t="s">
        <v>2533</v>
      </c>
      <c r="AT308" t="s">
        <v>3902</v>
      </c>
      <c r="AU308">
        <v>2011</v>
      </c>
      <c r="AV308">
        <v>62</v>
      </c>
      <c r="AW308">
        <v>1</v>
      </c>
      <c r="AX308" t="s">
        <v>74</v>
      </c>
      <c r="AY308" t="s">
        <v>74</v>
      </c>
      <c r="AZ308" t="s">
        <v>74</v>
      </c>
      <c r="BA308" t="s">
        <v>74</v>
      </c>
      <c r="BB308">
        <v>69</v>
      </c>
      <c r="BC308">
        <v>79</v>
      </c>
      <c r="BD308" t="s">
        <v>74</v>
      </c>
      <c r="BE308" t="s">
        <v>5836</v>
      </c>
      <c r="BF308" t="str">
        <f>HYPERLINK("http://dx.doi.org/10.1007/s00248-011-9864-1","http://dx.doi.org/10.1007/s00248-011-9864-1")</f>
        <v>http://dx.doi.org/10.1007/s00248-011-9864-1</v>
      </c>
      <c r="BG308" t="s">
        <v>74</v>
      </c>
      <c r="BH308" t="s">
        <v>74</v>
      </c>
      <c r="BI308">
        <v>11</v>
      </c>
      <c r="BJ308" t="s">
        <v>2535</v>
      </c>
      <c r="BK308" t="s">
        <v>100</v>
      </c>
      <c r="BL308" t="s">
        <v>2536</v>
      </c>
      <c r="BM308" t="s">
        <v>5837</v>
      </c>
      <c r="BN308">
        <v>21584756</v>
      </c>
      <c r="BO308" t="s">
        <v>74</v>
      </c>
      <c r="BP308" t="s">
        <v>74</v>
      </c>
      <c r="BQ308" t="s">
        <v>74</v>
      </c>
      <c r="BR308" t="s">
        <v>103</v>
      </c>
      <c r="BS308" t="s">
        <v>5838</v>
      </c>
      <c r="BT308" t="str">
        <f>HYPERLINK("https%3A%2F%2Fwww.webofscience.com%2Fwos%2Fwoscc%2Ffull-record%2FWOS:000293030400007","View Full Record in Web of Science")</f>
        <v>View Full Record in Web of Science</v>
      </c>
    </row>
    <row r="309" spans="1:72" x14ac:dyDescent="0.15">
      <c r="A309" t="s">
        <v>72</v>
      </c>
      <c r="B309" t="s">
        <v>5839</v>
      </c>
      <c r="C309" t="s">
        <v>74</v>
      </c>
      <c r="D309" t="s">
        <v>74</v>
      </c>
      <c r="E309" t="s">
        <v>74</v>
      </c>
      <c r="F309" t="s">
        <v>5840</v>
      </c>
      <c r="G309" t="s">
        <v>74</v>
      </c>
      <c r="H309" t="s">
        <v>74</v>
      </c>
      <c r="I309" t="s">
        <v>5841</v>
      </c>
      <c r="J309" t="s">
        <v>5842</v>
      </c>
      <c r="K309" t="s">
        <v>74</v>
      </c>
      <c r="L309" t="s">
        <v>74</v>
      </c>
      <c r="M309" t="s">
        <v>78</v>
      </c>
      <c r="N309" t="s">
        <v>79</v>
      </c>
      <c r="O309" t="s">
        <v>74</v>
      </c>
      <c r="P309" t="s">
        <v>74</v>
      </c>
      <c r="Q309" t="s">
        <v>74</v>
      </c>
      <c r="R309" t="s">
        <v>74</v>
      </c>
      <c r="S309" t="s">
        <v>74</v>
      </c>
      <c r="T309" t="s">
        <v>5843</v>
      </c>
      <c r="U309" t="s">
        <v>5844</v>
      </c>
      <c r="V309" t="s">
        <v>5845</v>
      </c>
      <c r="W309" t="s">
        <v>5846</v>
      </c>
      <c r="X309" t="s">
        <v>5847</v>
      </c>
      <c r="Y309" t="s">
        <v>5848</v>
      </c>
      <c r="Z309" t="s">
        <v>163</v>
      </c>
      <c r="AA309" t="s">
        <v>5849</v>
      </c>
      <c r="AB309" t="s">
        <v>165</v>
      </c>
      <c r="AC309" t="s">
        <v>5850</v>
      </c>
      <c r="AD309" t="s">
        <v>5851</v>
      </c>
      <c r="AE309" t="s">
        <v>5852</v>
      </c>
      <c r="AF309" t="s">
        <v>74</v>
      </c>
      <c r="AG309">
        <v>33</v>
      </c>
      <c r="AH309">
        <v>21</v>
      </c>
      <c r="AI309">
        <v>23</v>
      </c>
      <c r="AJ309">
        <v>0</v>
      </c>
      <c r="AK309">
        <v>20</v>
      </c>
      <c r="AL309" t="s">
        <v>1323</v>
      </c>
      <c r="AM309" t="s">
        <v>1324</v>
      </c>
      <c r="AN309" t="s">
        <v>1325</v>
      </c>
      <c r="AO309" t="s">
        <v>5853</v>
      </c>
      <c r="AP309" t="s">
        <v>5854</v>
      </c>
      <c r="AQ309" t="s">
        <v>74</v>
      </c>
      <c r="AR309" t="s">
        <v>5855</v>
      </c>
      <c r="AS309" t="s">
        <v>5856</v>
      </c>
      <c r="AT309" t="s">
        <v>3902</v>
      </c>
      <c r="AU309">
        <v>2011</v>
      </c>
      <c r="AV309">
        <v>11</v>
      </c>
      <c r="AW309">
        <v>4</v>
      </c>
      <c r="AX309" t="s">
        <v>74</v>
      </c>
      <c r="AY309" t="s">
        <v>74</v>
      </c>
      <c r="AZ309" t="s">
        <v>74</v>
      </c>
      <c r="BA309" t="s">
        <v>74</v>
      </c>
      <c r="BB309">
        <v>703</v>
      </c>
      <c r="BC309">
        <v>710</v>
      </c>
      <c r="BD309" t="s">
        <v>74</v>
      </c>
      <c r="BE309" t="s">
        <v>5857</v>
      </c>
      <c r="BF309" t="str">
        <f>HYPERLINK("http://dx.doi.org/10.1111/j.1755-0998.2011.02999.x","http://dx.doi.org/10.1111/j.1755-0998.2011.02999.x")</f>
        <v>http://dx.doi.org/10.1111/j.1755-0998.2011.02999.x</v>
      </c>
      <c r="BG309" t="s">
        <v>74</v>
      </c>
      <c r="BH309" t="s">
        <v>74</v>
      </c>
      <c r="BI309">
        <v>8</v>
      </c>
      <c r="BJ309" t="s">
        <v>2558</v>
      </c>
      <c r="BK309" t="s">
        <v>100</v>
      </c>
      <c r="BL309" t="s">
        <v>2559</v>
      </c>
      <c r="BM309" t="s">
        <v>5858</v>
      </c>
      <c r="BN309">
        <v>21466659</v>
      </c>
      <c r="BO309" t="s">
        <v>152</v>
      </c>
      <c r="BP309" t="s">
        <v>74</v>
      </c>
      <c r="BQ309" t="s">
        <v>74</v>
      </c>
      <c r="BR309" t="s">
        <v>103</v>
      </c>
      <c r="BS309" t="s">
        <v>5859</v>
      </c>
      <c r="BT309" t="str">
        <f>HYPERLINK("https%3A%2F%2Fwww.webofscience.com%2Fwos%2Fwoscc%2Ffull-record%2FWOS:000292478500012","View Full Record in Web of Science")</f>
        <v>View Full Record in Web of Science</v>
      </c>
    </row>
    <row r="310" spans="1:72" x14ac:dyDescent="0.15">
      <c r="A310" t="s">
        <v>72</v>
      </c>
      <c r="B310" t="s">
        <v>5860</v>
      </c>
      <c r="C310" t="s">
        <v>74</v>
      </c>
      <c r="D310" t="s">
        <v>74</v>
      </c>
      <c r="E310" t="s">
        <v>74</v>
      </c>
      <c r="F310" t="s">
        <v>5861</v>
      </c>
      <c r="G310" t="s">
        <v>74</v>
      </c>
      <c r="H310" t="s">
        <v>74</v>
      </c>
      <c r="I310" t="s">
        <v>5862</v>
      </c>
      <c r="J310" t="s">
        <v>5863</v>
      </c>
      <c r="K310" t="s">
        <v>74</v>
      </c>
      <c r="L310" t="s">
        <v>74</v>
      </c>
      <c r="M310" t="s">
        <v>78</v>
      </c>
      <c r="N310" t="s">
        <v>79</v>
      </c>
      <c r="O310" t="s">
        <v>74</v>
      </c>
      <c r="P310" t="s">
        <v>74</v>
      </c>
      <c r="Q310" t="s">
        <v>74</v>
      </c>
      <c r="R310" t="s">
        <v>74</v>
      </c>
      <c r="S310" t="s">
        <v>74</v>
      </c>
      <c r="T310" t="s">
        <v>5864</v>
      </c>
      <c r="U310" t="s">
        <v>5865</v>
      </c>
      <c r="V310" t="s">
        <v>5866</v>
      </c>
      <c r="W310" t="s">
        <v>5867</v>
      </c>
      <c r="X310" t="s">
        <v>5868</v>
      </c>
      <c r="Y310" t="s">
        <v>5869</v>
      </c>
      <c r="Z310" t="s">
        <v>5870</v>
      </c>
      <c r="AA310" t="s">
        <v>5871</v>
      </c>
      <c r="AB310" t="s">
        <v>5872</v>
      </c>
      <c r="AC310" t="s">
        <v>5873</v>
      </c>
      <c r="AD310" t="s">
        <v>5873</v>
      </c>
      <c r="AE310" t="s">
        <v>5874</v>
      </c>
      <c r="AF310" t="s">
        <v>74</v>
      </c>
      <c r="AG310">
        <v>21</v>
      </c>
      <c r="AH310">
        <v>37</v>
      </c>
      <c r="AI310">
        <v>37</v>
      </c>
      <c r="AJ310">
        <v>1</v>
      </c>
      <c r="AK310">
        <v>5</v>
      </c>
      <c r="AL310" t="s">
        <v>1571</v>
      </c>
      <c r="AM310" t="s">
        <v>1572</v>
      </c>
      <c r="AN310" t="s">
        <v>1573</v>
      </c>
      <c r="AO310" t="s">
        <v>5875</v>
      </c>
      <c r="AP310" t="s">
        <v>5876</v>
      </c>
      <c r="AQ310" t="s">
        <v>74</v>
      </c>
      <c r="AR310" t="s">
        <v>5877</v>
      </c>
      <c r="AS310" t="s">
        <v>5878</v>
      </c>
      <c r="AT310" t="s">
        <v>3902</v>
      </c>
      <c r="AU310">
        <v>2011</v>
      </c>
      <c r="AV310">
        <v>61</v>
      </c>
      <c r="AW310">
        <v>7</v>
      </c>
      <c r="AX310" t="s">
        <v>74</v>
      </c>
      <c r="AY310" t="s">
        <v>74</v>
      </c>
      <c r="AZ310" t="s">
        <v>74</v>
      </c>
      <c r="BA310" t="s">
        <v>74</v>
      </c>
      <c r="BB310">
        <v>881</v>
      </c>
      <c r="BC310">
        <v>890</v>
      </c>
      <c r="BD310" t="s">
        <v>74</v>
      </c>
      <c r="BE310" t="s">
        <v>5879</v>
      </c>
      <c r="BF310" t="str">
        <f>HYPERLINK("http://dx.doi.org/10.1007/s10236-011-0406-7","http://dx.doi.org/10.1007/s10236-011-0406-7")</f>
        <v>http://dx.doi.org/10.1007/s10236-011-0406-7</v>
      </c>
      <c r="BG310" t="s">
        <v>74</v>
      </c>
      <c r="BH310" t="s">
        <v>74</v>
      </c>
      <c r="BI310">
        <v>10</v>
      </c>
      <c r="BJ310" t="s">
        <v>271</v>
      </c>
      <c r="BK310" t="s">
        <v>100</v>
      </c>
      <c r="BL310" t="s">
        <v>271</v>
      </c>
      <c r="BM310" t="s">
        <v>5880</v>
      </c>
      <c r="BN310" t="s">
        <v>74</v>
      </c>
      <c r="BO310" t="s">
        <v>74</v>
      </c>
      <c r="BP310" t="s">
        <v>74</v>
      </c>
      <c r="BQ310" t="s">
        <v>74</v>
      </c>
      <c r="BR310" t="s">
        <v>103</v>
      </c>
      <c r="BS310" t="s">
        <v>5881</v>
      </c>
      <c r="BT310" t="str">
        <f>HYPERLINK("https%3A%2F%2Fwww.webofscience.com%2Fwos%2Fwoscc%2Ffull-record%2FWOS:000292273300002","View Full Record in Web of Science")</f>
        <v>View Full Record in Web of Science</v>
      </c>
    </row>
    <row r="311" spans="1:72" x14ac:dyDescent="0.15">
      <c r="A311" t="s">
        <v>72</v>
      </c>
      <c r="B311" t="s">
        <v>5882</v>
      </c>
      <c r="C311" t="s">
        <v>74</v>
      </c>
      <c r="D311" t="s">
        <v>74</v>
      </c>
      <c r="E311" t="s">
        <v>74</v>
      </c>
      <c r="F311" t="s">
        <v>5883</v>
      </c>
      <c r="G311" t="s">
        <v>74</v>
      </c>
      <c r="H311" t="s">
        <v>74</v>
      </c>
      <c r="I311" t="s">
        <v>5884</v>
      </c>
      <c r="J311" t="s">
        <v>5885</v>
      </c>
      <c r="K311" t="s">
        <v>74</v>
      </c>
      <c r="L311" t="s">
        <v>74</v>
      </c>
      <c r="M311" t="s">
        <v>78</v>
      </c>
      <c r="N311" t="s">
        <v>79</v>
      </c>
      <c r="O311" t="s">
        <v>74</v>
      </c>
      <c r="P311" t="s">
        <v>74</v>
      </c>
      <c r="Q311" t="s">
        <v>74</v>
      </c>
      <c r="R311" t="s">
        <v>74</v>
      </c>
      <c r="S311" t="s">
        <v>74</v>
      </c>
      <c r="T311" t="s">
        <v>5886</v>
      </c>
      <c r="U311" t="s">
        <v>5887</v>
      </c>
      <c r="V311" t="s">
        <v>5888</v>
      </c>
      <c r="W311" t="s">
        <v>5889</v>
      </c>
      <c r="X311" t="s">
        <v>5890</v>
      </c>
      <c r="Y311" t="s">
        <v>5891</v>
      </c>
      <c r="Z311" t="s">
        <v>5892</v>
      </c>
      <c r="AA311" t="s">
        <v>5893</v>
      </c>
      <c r="AB311" t="s">
        <v>5894</v>
      </c>
      <c r="AC311" t="s">
        <v>74</v>
      </c>
      <c r="AD311" t="s">
        <v>74</v>
      </c>
      <c r="AE311" t="s">
        <v>74</v>
      </c>
      <c r="AF311" t="s">
        <v>74</v>
      </c>
      <c r="AG311">
        <v>127</v>
      </c>
      <c r="AH311">
        <v>35</v>
      </c>
      <c r="AI311">
        <v>37</v>
      </c>
      <c r="AJ311">
        <v>0</v>
      </c>
      <c r="AK311">
        <v>15</v>
      </c>
      <c r="AL311" t="s">
        <v>308</v>
      </c>
      <c r="AM311" t="s">
        <v>309</v>
      </c>
      <c r="AN311" t="s">
        <v>310</v>
      </c>
      <c r="AO311" t="s">
        <v>5895</v>
      </c>
      <c r="AP311" t="s">
        <v>5896</v>
      </c>
      <c r="AQ311" t="s">
        <v>74</v>
      </c>
      <c r="AR311" t="s">
        <v>5897</v>
      </c>
      <c r="AS311" t="s">
        <v>5898</v>
      </c>
      <c r="AT311" t="s">
        <v>4683</v>
      </c>
      <c r="AU311">
        <v>2011</v>
      </c>
      <c r="AV311">
        <v>307</v>
      </c>
      <c r="AW311" t="s">
        <v>3418</v>
      </c>
      <c r="AX311" t="s">
        <v>74</v>
      </c>
      <c r="AY311" t="s">
        <v>74</v>
      </c>
      <c r="AZ311" t="s">
        <v>74</v>
      </c>
      <c r="BA311" t="s">
        <v>74</v>
      </c>
      <c r="BB311">
        <v>129</v>
      </c>
      <c r="BC311">
        <v>149</v>
      </c>
      <c r="BD311" t="s">
        <v>74</v>
      </c>
      <c r="BE311" t="s">
        <v>5899</v>
      </c>
      <c r="BF311" t="str">
        <f>HYPERLINK("http://dx.doi.org/10.1016/j.palaeo.2011.05.008","http://dx.doi.org/10.1016/j.palaeo.2011.05.008")</f>
        <v>http://dx.doi.org/10.1016/j.palaeo.2011.05.008</v>
      </c>
      <c r="BG311" t="s">
        <v>74</v>
      </c>
      <c r="BH311" t="s">
        <v>74</v>
      </c>
      <c r="BI311">
        <v>21</v>
      </c>
      <c r="BJ311" t="s">
        <v>5900</v>
      </c>
      <c r="BK311" t="s">
        <v>100</v>
      </c>
      <c r="BL311" t="s">
        <v>5901</v>
      </c>
      <c r="BM311" t="s">
        <v>5902</v>
      </c>
      <c r="BN311" t="s">
        <v>74</v>
      </c>
      <c r="BO311" t="s">
        <v>74</v>
      </c>
      <c r="BP311" t="s">
        <v>74</v>
      </c>
      <c r="BQ311" t="s">
        <v>74</v>
      </c>
      <c r="BR311" t="s">
        <v>103</v>
      </c>
      <c r="BS311" t="s">
        <v>5903</v>
      </c>
      <c r="BT311" t="str">
        <f>HYPERLINK("https%3A%2F%2Fwww.webofscience.com%2Fwos%2Fwoscc%2Ffull-record%2FWOS:000293424300010","View Full Record in Web of Science")</f>
        <v>View Full Record in Web of Science</v>
      </c>
    </row>
    <row r="312" spans="1:72" x14ac:dyDescent="0.15">
      <c r="A312" t="s">
        <v>72</v>
      </c>
      <c r="B312" t="s">
        <v>5904</v>
      </c>
      <c r="C312" t="s">
        <v>74</v>
      </c>
      <c r="D312" t="s">
        <v>74</v>
      </c>
      <c r="E312" t="s">
        <v>74</v>
      </c>
      <c r="F312" t="s">
        <v>5905</v>
      </c>
      <c r="G312" t="s">
        <v>74</v>
      </c>
      <c r="H312" t="s">
        <v>74</v>
      </c>
      <c r="I312" t="s">
        <v>5906</v>
      </c>
      <c r="J312" t="s">
        <v>5907</v>
      </c>
      <c r="K312" t="s">
        <v>74</v>
      </c>
      <c r="L312" t="s">
        <v>74</v>
      </c>
      <c r="M312" t="s">
        <v>78</v>
      </c>
      <c r="N312" t="s">
        <v>79</v>
      </c>
      <c r="O312" t="s">
        <v>74</v>
      </c>
      <c r="P312" t="s">
        <v>74</v>
      </c>
      <c r="Q312" t="s">
        <v>74</v>
      </c>
      <c r="R312" t="s">
        <v>74</v>
      </c>
      <c r="S312" t="s">
        <v>74</v>
      </c>
      <c r="T312" t="s">
        <v>5908</v>
      </c>
      <c r="U312" t="s">
        <v>5909</v>
      </c>
      <c r="V312" t="s">
        <v>5910</v>
      </c>
      <c r="W312" t="s">
        <v>5911</v>
      </c>
      <c r="X312" t="s">
        <v>2015</v>
      </c>
      <c r="Y312" t="s">
        <v>5912</v>
      </c>
      <c r="Z312" t="s">
        <v>5913</v>
      </c>
      <c r="AA312" t="s">
        <v>5914</v>
      </c>
      <c r="AB312" t="s">
        <v>5915</v>
      </c>
      <c r="AC312" t="s">
        <v>5916</v>
      </c>
      <c r="AD312" t="s">
        <v>5917</v>
      </c>
      <c r="AE312" t="s">
        <v>5918</v>
      </c>
      <c r="AF312" t="s">
        <v>74</v>
      </c>
      <c r="AG312">
        <v>120</v>
      </c>
      <c r="AH312">
        <v>8</v>
      </c>
      <c r="AI312">
        <v>10</v>
      </c>
      <c r="AJ312">
        <v>0</v>
      </c>
      <c r="AK312">
        <v>3</v>
      </c>
      <c r="AL312" t="s">
        <v>1323</v>
      </c>
      <c r="AM312" t="s">
        <v>1324</v>
      </c>
      <c r="AN312" t="s">
        <v>1325</v>
      </c>
      <c r="AO312" t="s">
        <v>5919</v>
      </c>
      <c r="AP312" t="s">
        <v>5920</v>
      </c>
      <c r="AQ312" t="s">
        <v>74</v>
      </c>
      <c r="AR312" t="s">
        <v>5907</v>
      </c>
      <c r="AS312" t="s">
        <v>5921</v>
      </c>
      <c r="AT312" t="s">
        <v>3902</v>
      </c>
      <c r="AU312">
        <v>2011</v>
      </c>
      <c r="AV312">
        <v>54</v>
      </c>
      <c r="AW312" t="s">
        <v>74</v>
      </c>
      <c r="AX312">
        <v>4</v>
      </c>
      <c r="AY312" t="s">
        <v>74</v>
      </c>
      <c r="AZ312" t="s">
        <v>74</v>
      </c>
      <c r="BA312" t="s">
        <v>74</v>
      </c>
      <c r="BB312">
        <v>935</v>
      </c>
      <c r="BC312">
        <v>952</v>
      </c>
      <c r="BD312" t="s">
        <v>74</v>
      </c>
      <c r="BE312" t="s">
        <v>5922</v>
      </c>
      <c r="BF312" t="str">
        <f>HYPERLINK("http://dx.doi.org/10.1111/j.1475-4983.2011.01061.x","http://dx.doi.org/10.1111/j.1475-4983.2011.01061.x")</f>
        <v>http://dx.doi.org/10.1111/j.1475-4983.2011.01061.x</v>
      </c>
      <c r="BG312" t="s">
        <v>74</v>
      </c>
      <c r="BH312" t="s">
        <v>74</v>
      </c>
      <c r="BI312">
        <v>18</v>
      </c>
      <c r="BJ312" t="s">
        <v>5921</v>
      </c>
      <c r="BK312" t="s">
        <v>100</v>
      </c>
      <c r="BL312" t="s">
        <v>5921</v>
      </c>
      <c r="BM312" t="s">
        <v>5923</v>
      </c>
      <c r="BN312" t="s">
        <v>74</v>
      </c>
      <c r="BO312" t="s">
        <v>152</v>
      </c>
      <c r="BP312" t="s">
        <v>74</v>
      </c>
      <c r="BQ312" t="s">
        <v>74</v>
      </c>
      <c r="BR312" t="s">
        <v>103</v>
      </c>
      <c r="BS312" t="s">
        <v>5924</v>
      </c>
      <c r="BT312" t="str">
        <f>HYPERLINK("https%3A%2F%2Fwww.webofscience.com%2Fwos%2Fwoscc%2Ffull-record%2FWOS:000292775500015","View Full Record in Web of Science")</f>
        <v>View Full Record in Web of Science</v>
      </c>
    </row>
    <row r="313" spans="1:72" x14ac:dyDescent="0.15">
      <c r="A313" t="s">
        <v>72</v>
      </c>
      <c r="B313" t="s">
        <v>5925</v>
      </c>
      <c r="C313" t="s">
        <v>74</v>
      </c>
      <c r="D313" t="s">
        <v>74</v>
      </c>
      <c r="E313" t="s">
        <v>74</v>
      </c>
      <c r="F313" t="s">
        <v>5926</v>
      </c>
      <c r="G313" t="s">
        <v>74</v>
      </c>
      <c r="H313" t="s">
        <v>74</v>
      </c>
      <c r="I313" t="s">
        <v>5927</v>
      </c>
      <c r="J313" t="s">
        <v>5928</v>
      </c>
      <c r="K313" t="s">
        <v>74</v>
      </c>
      <c r="L313" t="s">
        <v>74</v>
      </c>
      <c r="M313" t="s">
        <v>78</v>
      </c>
      <c r="N313" t="s">
        <v>79</v>
      </c>
      <c r="O313" t="s">
        <v>74</v>
      </c>
      <c r="P313" t="s">
        <v>74</v>
      </c>
      <c r="Q313" t="s">
        <v>74</v>
      </c>
      <c r="R313" t="s">
        <v>74</v>
      </c>
      <c r="S313" t="s">
        <v>74</v>
      </c>
      <c r="T313" t="s">
        <v>74</v>
      </c>
      <c r="U313" t="s">
        <v>5929</v>
      </c>
      <c r="V313" t="s">
        <v>5930</v>
      </c>
      <c r="W313" t="s">
        <v>5931</v>
      </c>
      <c r="X313" t="s">
        <v>3999</v>
      </c>
      <c r="Y313" t="s">
        <v>5932</v>
      </c>
      <c r="Z313" t="s">
        <v>5933</v>
      </c>
      <c r="AA313" t="s">
        <v>74</v>
      </c>
      <c r="AB313" t="s">
        <v>74</v>
      </c>
      <c r="AC313" t="s">
        <v>5934</v>
      </c>
      <c r="AD313" t="s">
        <v>4493</v>
      </c>
      <c r="AE313" t="s">
        <v>5935</v>
      </c>
      <c r="AF313" t="s">
        <v>74</v>
      </c>
      <c r="AG313">
        <v>49</v>
      </c>
      <c r="AH313">
        <v>86</v>
      </c>
      <c r="AI313">
        <v>102</v>
      </c>
      <c r="AJ313">
        <v>3</v>
      </c>
      <c r="AK313">
        <v>58</v>
      </c>
      <c r="AL313" t="s">
        <v>5936</v>
      </c>
      <c r="AM313" t="s">
        <v>5937</v>
      </c>
      <c r="AN313" t="s">
        <v>5938</v>
      </c>
      <c r="AO313" t="s">
        <v>5939</v>
      </c>
      <c r="AP313" t="s">
        <v>74</v>
      </c>
      <c r="AQ313" t="s">
        <v>74</v>
      </c>
      <c r="AR313" t="s">
        <v>5940</v>
      </c>
      <c r="AS313" t="s">
        <v>5941</v>
      </c>
      <c r="AT313" t="s">
        <v>4476</v>
      </c>
      <c r="AU313">
        <v>2011</v>
      </c>
      <c r="AV313">
        <v>84</v>
      </c>
      <c r="AW313">
        <v>4</v>
      </c>
      <c r="AX313" t="s">
        <v>74</v>
      </c>
      <c r="AY313" t="s">
        <v>74</v>
      </c>
      <c r="AZ313" t="s">
        <v>74</v>
      </c>
      <c r="BA313" t="s">
        <v>74</v>
      </c>
      <c r="BB313">
        <v>353</v>
      </c>
      <c r="BC313">
        <v>362</v>
      </c>
      <c r="BD313" t="s">
        <v>74</v>
      </c>
      <c r="BE313" t="s">
        <v>5942</v>
      </c>
      <c r="BF313" t="str">
        <f>HYPERLINK("http://dx.doi.org/10.1086/660191","http://dx.doi.org/10.1086/660191")</f>
        <v>http://dx.doi.org/10.1086/660191</v>
      </c>
      <c r="BG313" t="s">
        <v>74</v>
      </c>
      <c r="BH313" t="s">
        <v>74</v>
      </c>
      <c r="BI313">
        <v>10</v>
      </c>
      <c r="BJ313" t="s">
        <v>1883</v>
      </c>
      <c r="BK313" t="s">
        <v>100</v>
      </c>
      <c r="BL313" t="s">
        <v>1883</v>
      </c>
      <c r="BM313" t="s">
        <v>5943</v>
      </c>
      <c r="BN313">
        <v>21743249</v>
      </c>
      <c r="BO313" t="s">
        <v>74</v>
      </c>
      <c r="BP313" t="s">
        <v>74</v>
      </c>
      <c r="BQ313" t="s">
        <v>74</v>
      </c>
      <c r="BR313" t="s">
        <v>103</v>
      </c>
      <c r="BS313" t="s">
        <v>5944</v>
      </c>
      <c r="BT313" t="str">
        <f>HYPERLINK("https%3A%2F%2Fwww.webofscience.com%2Fwos%2Fwoscc%2Ffull-record%2FWOS:000292925900002","View Full Record in Web of Science")</f>
        <v>View Full Record in Web of Science</v>
      </c>
    </row>
    <row r="314" spans="1:72" x14ac:dyDescent="0.15">
      <c r="A314" t="s">
        <v>72</v>
      </c>
      <c r="B314" t="s">
        <v>5945</v>
      </c>
      <c r="C314" t="s">
        <v>74</v>
      </c>
      <c r="D314" t="s">
        <v>74</v>
      </c>
      <c r="E314" t="s">
        <v>74</v>
      </c>
      <c r="F314" t="s">
        <v>5946</v>
      </c>
      <c r="G314" t="s">
        <v>74</v>
      </c>
      <c r="H314" t="s">
        <v>74</v>
      </c>
      <c r="I314" t="s">
        <v>5947</v>
      </c>
      <c r="J314" t="s">
        <v>5948</v>
      </c>
      <c r="K314" t="s">
        <v>74</v>
      </c>
      <c r="L314" t="s">
        <v>74</v>
      </c>
      <c r="M314" t="s">
        <v>78</v>
      </c>
      <c r="N314" t="s">
        <v>79</v>
      </c>
      <c r="O314" t="s">
        <v>74</v>
      </c>
      <c r="P314" t="s">
        <v>74</v>
      </c>
      <c r="Q314" t="s">
        <v>74</v>
      </c>
      <c r="R314" t="s">
        <v>74</v>
      </c>
      <c r="S314" t="s">
        <v>74</v>
      </c>
      <c r="T314" t="s">
        <v>74</v>
      </c>
      <c r="U314" t="s">
        <v>5949</v>
      </c>
      <c r="V314" t="s">
        <v>5950</v>
      </c>
      <c r="W314" t="s">
        <v>5951</v>
      </c>
      <c r="X314" t="s">
        <v>5952</v>
      </c>
      <c r="Y314" t="s">
        <v>5953</v>
      </c>
      <c r="Z314" t="s">
        <v>5954</v>
      </c>
      <c r="AA314" t="s">
        <v>74</v>
      </c>
      <c r="AB314" t="s">
        <v>74</v>
      </c>
      <c r="AC314" t="s">
        <v>5955</v>
      </c>
      <c r="AD314" t="s">
        <v>5955</v>
      </c>
      <c r="AE314" t="s">
        <v>5956</v>
      </c>
      <c r="AF314" t="s">
        <v>74</v>
      </c>
      <c r="AG314">
        <v>56</v>
      </c>
      <c r="AH314">
        <v>25</v>
      </c>
      <c r="AI314">
        <v>26</v>
      </c>
      <c r="AJ314">
        <v>0</v>
      </c>
      <c r="AK314">
        <v>17</v>
      </c>
      <c r="AL314" t="s">
        <v>693</v>
      </c>
      <c r="AM314" t="s">
        <v>91</v>
      </c>
      <c r="AN314" t="s">
        <v>694</v>
      </c>
      <c r="AO314" t="s">
        <v>5957</v>
      </c>
      <c r="AP314" t="s">
        <v>5958</v>
      </c>
      <c r="AQ314" t="s">
        <v>74</v>
      </c>
      <c r="AR314" t="s">
        <v>5959</v>
      </c>
      <c r="AS314" t="s">
        <v>5960</v>
      </c>
      <c r="AT314" t="s">
        <v>3902</v>
      </c>
      <c r="AU314">
        <v>2011</v>
      </c>
      <c r="AV314">
        <v>47</v>
      </c>
      <c r="AW314">
        <v>242</v>
      </c>
      <c r="AX314" t="s">
        <v>74</v>
      </c>
      <c r="AY314" t="s">
        <v>74</v>
      </c>
      <c r="AZ314" t="s">
        <v>74</v>
      </c>
      <c r="BA314" t="s">
        <v>74</v>
      </c>
      <c r="BB314">
        <v>231</v>
      </c>
      <c r="BC314">
        <v>243</v>
      </c>
      <c r="BD314" t="s">
        <v>74</v>
      </c>
      <c r="BE314" t="s">
        <v>5961</v>
      </c>
      <c r="BF314" t="str">
        <f>HYPERLINK("http://dx.doi.org/10.1017/S0032247410000458","http://dx.doi.org/10.1017/S0032247410000458")</f>
        <v>http://dx.doi.org/10.1017/S0032247410000458</v>
      </c>
      <c r="BG314" t="s">
        <v>74</v>
      </c>
      <c r="BH314" t="s">
        <v>74</v>
      </c>
      <c r="BI314">
        <v>13</v>
      </c>
      <c r="BJ314" t="s">
        <v>5962</v>
      </c>
      <c r="BK314" t="s">
        <v>867</v>
      </c>
      <c r="BL314" t="s">
        <v>5193</v>
      </c>
      <c r="BM314" t="s">
        <v>5963</v>
      </c>
      <c r="BN314" t="s">
        <v>74</v>
      </c>
      <c r="BO314" t="s">
        <v>74</v>
      </c>
      <c r="BP314" t="s">
        <v>74</v>
      </c>
      <c r="BQ314" t="s">
        <v>74</v>
      </c>
      <c r="BR314" t="s">
        <v>103</v>
      </c>
      <c r="BS314" t="s">
        <v>5964</v>
      </c>
      <c r="BT314" t="str">
        <f>HYPERLINK("https%3A%2F%2Fwww.webofscience.com%2Fwos%2Fwoscc%2Ffull-record%2FWOS:000292194200004","View Full Record in Web of Science")</f>
        <v>View Full Record in Web of Science</v>
      </c>
    </row>
    <row r="315" spans="1:72" x14ac:dyDescent="0.15">
      <c r="A315" t="s">
        <v>72</v>
      </c>
      <c r="B315" t="s">
        <v>5965</v>
      </c>
      <c r="C315" t="s">
        <v>74</v>
      </c>
      <c r="D315" t="s">
        <v>74</v>
      </c>
      <c r="E315" t="s">
        <v>74</v>
      </c>
      <c r="F315" t="s">
        <v>5966</v>
      </c>
      <c r="G315" t="s">
        <v>74</v>
      </c>
      <c r="H315" t="s">
        <v>74</v>
      </c>
      <c r="I315" t="s">
        <v>5967</v>
      </c>
      <c r="J315" t="s">
        <v>5948</v>
      </c>
      <c r="K315" t="s">
        <v>74</v>
      </c>
      <c r="L315" t="s">
        <v>74</v>
      </c>
      <c r="M315" t="s">
        <v>78</v>
      </c>
      <c r="N315" t="s">
        <v>79</v>
      </c>
      <c r="O315" t="s">
        <v>74</v>
      </c>
      <c r="P315" t="s">
        <v>74</v>
      </c>
      <c r="Q315" t="s">
        <v>74</v>
      </c>
      <c r="R315" t="s">
        <v>74</v>
      </c>
      <c r="S315" t="s">
        <v>74</v>
      </c>
      <c r="T315" t="s">
        <v>74</v>
      </c>
      <c r="U315" t="s">
        <v>5968</v>
      </c>
      <c r="V315" t="s">
        <v>5969</v>
      </c>
      <c r="W315" t="s">
        <v>5970</v>
      </c>
      <c r="X315" t="s">
        <v>5971</v>
      </c>
      <c r="Y315" t="s">
        <v>5972</v>
      </c>
      <c r="Z315" t="s">
        <v>5973</v>
      </c>
      <c r="AA315" t="s">
        <v>5974</v>
      </c>
      <c r="AB315" t="s">
        <v>5975</v>
      </c>
      <c r="AC315" t="s">
        <v>74</v>
      </c>
      <c r="AD315" t="s">
        <v>74</v>
      </c>
      <c r="AE315" t="s">
        <v>74</v>
      </c>
      <c r="AF315" t="s">
        <v>74</v>
      </c>
      <c r="AG315">
        <v>41</v>
      </c>
      <c r="AH315">
        <v>15</v>
      </c>
      <c r="AI315">
        <v>16</v>
      </c>
      <c r="AJ315">
        <v>0</v>
      </c>
      <c r="AK315">
        <v>13</v>
      </c>
      <c r="AL315" t="s">
        <v>693</v>
      </c>
      <c r="AM315" t="s">
        <v>91</v>
      </c>
      <c r="AN315" t="s">
        <v>694</v>
      </c>
      <c r="AO315" t="s">
        <v>5957</v>
      </c>
      <c r="AP315" t="s">
        <v>5958</v>
      </c>
      <c r="AQ315" t="s">
        <v>74</v>
      </c>
      <c r="AR315" t="s">
        <v>5959</v>
      </c>
      <c r="AS315" t="s">
        <v>5960</v>
      </c>
      <c r="AT315" t="s">
        <v>3902</v>
      </c>
      <c r="AU315">
        <v>2011</v>
      </c>
      <c r="AV315">
        <v>47</v>
      </c>
      <c r="AW315">
        <v>242</v>
      </c>
      <c r="AX315" t="s">
        <v>74</v>
      </c>
      <c r="AY315" t="s">
        <v>74</v>
      </c>
      <c r="AZ315" t="s">
        <v>74</v>
      </c>
      <c r="BA315" t="s">
        <v>74</v>
      </c>
      <c r="BB315">
        <v>262</v>
      </c>
      <c r="BC315">
        <v>267</v>
      </c>
      <c r="BD315" t="s">
        <v>74</v>
      </c>
      <c r="BE315" t="s">
        <v>5976</v>
      </c>
      <c r="BF315" t="str">
        <f>HYPERLINK("http://dx.doi.org/10.1017/S0032247410000665","http://dx.doi.org/10.1017/S0032247410000665")</f>
        <v>http://dx.doi.org/10.1017/S0032247410000665</v>
      </c>
      <c r="BG315" t="s">
        <v>74</v>
      </c>
      <c r="BH315" t="s">
        <v>74</v>
      </c>
      <c r="BI315">
        <v>6</v>
      </c>
      <c r="BJ315" t="s">
        <v>5962</v>
      </c>
      <c r="BK315" t="s">
        <v>100</v>
      </c>
      <c r="BL315" t="s">
        <v>5193</v>
      </c>
      <c r="BM315" t="s">
        <v>5963</v>
      </c>
      <c r="BN315" t="s">
        <v>74</v>
      </c>
      <c r="BO315" t="s">
        <v>74</v>
      </c>
      <c r="BP315" t="s">
        <v>74</v>
      </c>
      <c r="BQ315" t="s">
        <v>74</v>
      </c>
      <c r="BR315" t="s">
        <v>103</v>
      </c>
      <c r="BS315" t="s">
        <v>5977</v>
      </c>
      <c r="BT315" t="str">
        <f>HYPERLINK("https%3A%2F%2Fwww.webofscience.com%2Fwos%2Fwoscc%2Ffull-record%2FWOS:000292194200006","View Full Record in Web of Science")</f>
        <v>View Full Record in Web of Science</v>
      </c>
    </row>
    <row r="316" spans="1:72" x14ac:dyDescent="0.15">
      <c r="A316" t="s">
        <v>72</v>
      </c>
      <c r="B316" t="s">
        <v>5978</v>
      </c>
      <c r="C316" t="s">
        <v>74</v>
      </c>
      <c r="D316" t="s">
        <v>74</v>
      </c>
      <c r="E316" t="s">
        <v>74</v>
      </c>
      <c r="F316" t="s">
        <v>5979</v>
      </c>
      <c r="G316" t="s">
        <v>74</v>
      </c>
      <c r="H316" t="s">
        <v>74</v>
      </c>
      <c r="I316" t="s">
        <v>5980</v>
      </c>
      <c r="J316" t="s">
        <v>5948</v>
      </c>
      <c r="K316" t="s">
        <v>74</v>
      </c>
      <c r="L316" t="s">
        <v>74</v>
      </c>
      <c r="M316" t="s">
        <v>78</v>
      </c>
      <c r="N316" t="s">
        <v>2002</v>
      </c>
      <c r="O316" t="s">
        <v>74</v>
      </c>
      <c r="P316" t="s">
        <v>74</v>
      </c>
      <c r="Q316" t="s">
        <v>74</v>
      </c>
      <c r="R316" t="s">
        <v>74</v>
      </c>
      <c r="S316" t="s">
        <v>74</v>
      </c>
      <c r="T316" t="s">
        <v>74</v>
      </c>
      <c r="U316" t="s">
        <v>74</v>
      </c>
      <c r="V316" t="s">
        <v>5981</v>
      </c>
      <c r="W316" t="s">
        <v>5982</v>
      </c>
      <c r="X316" t="s">
        <v>74</v>
      </c>
      <c r="Y316" t="s">
        <v>5983</v>
      </c>
      <c r="Z316" t="s">
        <v>5984</v>
      </c>
      <c r="AA316" t="s">
        <v>74</v>
      </c>
      <c r="AB316" t="s">
        <v>74</v>
      </c>
      <c r="AC316" t="s">
        <v>74</v>
      </c>
      <c r="AD316" t="s">
        <v>74</v>
      </c>
      <c r="AE316" t="s">
        <v>74</v>
      </c>
      <c r="AF316" t="s">
        <v>74</v>
      </c>
      <c r="AG316">
        <v>5</v>
      </c>
      <c r="AH316">
        <v>0</v>
      </c>
      <c r="AI316">
        <v>0</v>
      </c>
      <c r="AJ316">
        <v>0</v>
      </c>
      <c r="AK316">
        <v>0</v>
      </c>
      <c r="AL316" t="s">
        <v>693</v>
      </c>
      <c r="AM316" t="s">
        <v>91</v>
      </c>
      <c r="AN316" t="s">
        <v>694</v>
      </c>
      <c r="AO316" t="s">
        <v>5957</v>
      </c>
      <c r="AP316" t="s">
        <v>74</v>
      </c>
      <c r="AQ316" t="s">
        <v>74</v>
      </c>
      <c r="AR316" t="s">
        <v>5959</v>
      </c>
      <c r="AS316" t="s">
        <v>5960</v>
      </c>
      <c r="AT316" t="s">
        <v>3902</v>
      </c>
      <c r="AU316">
        <v>2011</v>
      </c>
      <c r="AV316">
        <v>47</v>
      </c>
      <c r="AW316">
        <v>242</v>
      </c>
      <c r="AX316" t="s">
        <v>74</v>
      </c>
      <c r="AY316" t="s">
        <v>74</v>
      </c>
      <c r="AZ316" t="s">
        <v>74</v>
      </c>
      <c r="BA316" t="s">
        <v>74</v>
      </c>
      <c r="BB316">
        <v>271</v>
      </c>
      <c r="BC316">
        <v>272</v>
      </c>
      <c r="BD316" t="s">
        <v>74</v>
      </c>
      <c r="BE316" t="s">
        <v>5985</v>
      </c>
      <c r="BF316" t="str">
        <f>HYPERLINK("http://dx.doi.org/10.1017/S0032247410000501","http://dx.doi.org/10.1017/S0032247410000501")</f>
        <v>http://dx.doi.org/10.1017/S0032247410000501</v>
      </c>
      <c r="BG316" t="s">
        <v>74</v>
      </c>
      <c r="BH316" t="s">
        <v>74</v>
      </c>
      <c r="BI316">
        <v>2</v>
      </c>
      <c r="BJ316" t="s">
        <v>5962</v>
      </c>
      <c r="BK316" t="s">
        <v>100</v>
      </c>
      <c r="BL316" t="s">
        <v>5193</v>
      </c>
      <c r="BM316" t="s">
        <v>5963</v>
      </c>
      <c r="BN316" t="s">
        <v>74</v>
      </c>
      <c r="BO316" t="s">
        <v>74</v>
      </c>
      <c r="BP316" t="s">
        <v>74</v>
      </c>
      <c r="BQ316" t="s">
        <v>74</v>
      </c>
      <c r="BR316" t="s">
        <v>103</v>
      </c>
      <c r="BS316" t="s">
        <v>5986</v>
      </c>
      <c r="BT316" t="str">
        <f>HYPERLINK("https%3A%2F%2Fwww.webofscience.com%2Fwos%2Fwoscc%2Ffull-record%2FWOS:000292194200009","View Full Record in Web of Science")</f>
        <v>View Full Record in Web of Science</v>
      </c>
    </row>
    <row r="317" spans="1:72" x14ac:dyDescent="0.15">
      <c r="A317" t="s">
        <v>72</v>
      </c>
      <c r="B317" t="s">
        <v>5987</v>
      </c>
      <c r="C317" t="s">
        <v>74</v>
      </c>
      <c r="D317" t="s">
        <v>74</v>
      </c>
      <c r="E317" t="s">
        <v>74</v>
      </c>
      <c r="F317" t="s">
        <v>5988</v>
      </c>
      <c r="G317" t="s">
        <v>74</v>
      </c>
      <c r="H317" t="s">
        <v>74</v>
      </c>
      <c r="I317" t="s">
        <v>5989</v>
      </c>
      <c r="J317" t="s">
        <v>5990</v>
      </c>
      <c r="K317" t="s">
        <v>74</v>
      </c>
      <c r="L317" t="s">
        <v>74</v>
      </c>
      <c r="M317" t="s">
        <v>78</v>
      </c>
      <c r="N317" t="s">
        <v>79</v>
      </c>
      <c r="O317" t="s">
        <v>74</v>
      </c>
      <c r="P317" t="s">
        <v>74</v>
      </c>
      <c r="Q317" t="s">
        <v>74</v>
      </c>
      <c r="R317" t="s">
        <v>74</v>
      </c>
      <c r="S317" t="s">
        <v>74</v>
      </c>
      <c r="T317" t="s">
        <v>5991</v>
      </c>
      <c r="U317" t="s">
        <v>5992</v>
      </c>
      <c r="V317" t="s">
        <v>5993</v>
      </c>
      <c r="W317" t="s">
        <v>5994</v>
      </c>
      <c r="X317" t="s">
        <v>5995</v>
      </c>
      <c r="Y317" t="s">
        <v>5996</v>
      </c>
      <c r="Z317" t="s">
        <v>5997</v>
      </c>
      <c r="AA317" t="s">
        <v>5998</v>
      </c>
      <c r="AB317" t="s">
        <v>5999</v>
      </c>
      <c r="AC317" t="s">
        <v>6000</v>
      </c>
      <c r="AD317" t="s">
        <v>6001</v>
      </c>
      <c r="AE317" t="s">
        <v>6002</v>
      </c>
      <c r="AF317" t="s">
        <v>74</v>
      </c>
      <c r="AG317">
        <v>62</v>
      </c>
      <c r="AH317">
        <v>24</v>
      </c>
      <c r="AI317">
        <v>26</v>
      </c>
      <c r="AJ317">
        <v>0</v>
      </c>
      <c r="AK317">
        <v>12</v>
      </c>
      <c r="AL317" t="s">
        <v>2968</v>
      </c>
      <c r="AM317" t="s">
        <v>508</v>
      </c>
      <c r="AN317" t="s">
        <v>2969</v>
      </c>
      <c r="AO317" t="s">
        <v>6003</v>
      </c>
      <c r="AP317" t="s">
        <v>6004</v>
      </c>
      <c r="AQ317" t="s">
        <v>74</v>
      </c>
      <c r="AR317" t="s">
        <v>6005</v>
      </c>
      <c r="AS317" t="s">
        <v>6006</v>
      </c>
      <c r="AT317" t="s">
        <v>3902</v>
      </c>
      <c r="AU317">
        <v>2011</v>
      </c>
      <c r="AV317">
        <v>24</v>
      </c>
      <c r="AW317">
        <v>7</v>
      </c>
      <c r="AX317" t="s">
        <v>74</v>
      </c>
      <c r="AY317" t="s">
        <v>74</v>
      </c>
      <c r="AZ317" t="s">
        <v>74</v>
      </c>
      <c r="BA317" t="s">
        <v>74</v>
      </c>
      <c r="BB317">
        <v>533</v>
      </c>
      <c r="BC317">
        <v>544</v>
      </c>
      <c r="BD317" t="s">
        <v>74</v>
      </c>
      <c r="BE317" t="s">
        <v>6007</v>
      </c>
      <c r="BF317" t="str">
        <f>HYPERLINK("http://dx.doi.org/10.1093/protein/gzr014","http://dx.doi.org/10.1093/protein/gzr014")</f>
        <v>http://dx.doi.org/10.1093/protein/gzr014</v>
      </c>
      <c r="BG317" t="s">
        <v>74</v>
      </c>
      <c r="BH317" t="s">
        <v>74</v>
      </c>
      <c r="BI317">
        <v>12</v>
      </c>
      <c r="BJ317" t="s">
        <v>6008</v>
      </c>
      <c r="BK317" t="s">
        <v>100</v>
      </c>
      <c r="BL317" t="s">
        <v>6008</v>
      </c>
      <c r="BM317" t="s">
        <v>6009</v>
      </c>
      <c r="BN317">
        <v>21471132</v>
      </c>
      <c r="BO317" t="s">
        <v>152</v>
      </c>
      <c r="BP317" t="s">
        <v>74</v>
      </c>
      <c r="BQ317" t="s">
        <v>74</v>
      </c>
      <c r="BR317" t="s">
        <v>103</v>
      </c>
      <c r="BS317" t="s">
        <v>6010</v>
      </c>
      <c r="BT317" t="str">
        <f>HYPERLINK("https%3A%2F%2Fwww.webofscience.com%2Fwos%2Fwoscc%2Ffull-record%2FWOS:000292567100001","View Full Record in Web of Science")</f>
        <v>View Full Record in Web of Science</v>
      </c>
    </row>
    <row r="318" spans="1:72" x14ac:dyDescent="0.15">
      <c r="A318" t="s">
        <v>72</v>
      </c>
      <c r="B318" t="s">
        <v>6011</v>
      </c>
      <c r="C318" t="s">
        <v>74</v>
      </c>
      <c r="D318" t="s">
        <v>74</v>
      </c>
      <c r="E318" t="s">
        <v>74</v>
      </c>
      <c r="F318" t="s">
        <v>6012</v>
      </c>
      <c r="G318" t="s">
        <v>74</v>
      </c>
      <c r="H318" t="s">
        <v>74</v>
      </c>
      <c r="I318" t="s">
        <v>6013</v>
      </c>
      <c r="J318" t="s">
        <v>6014</v>
      </c>
      <c r="K318" t="s">
        <v>74</v>
      </c>
      <c r="L318" t="s">
        <v>74</v>
      </c>
      <c r="M318" t="s">
        <v>78</v>
      </c>
      <c r="N318" t="s">
        <v>79</v>
      </c>
      <c r="O318" t="s">
        <v>74</v>
      </c>
      <c r="P318" t="s">
        <v>74</v>
      </c>
      <c r="Q318" t="s">
        <v>74</v>
      </c>
      <c r="R318" t="s">
        <v>74</v>
      </c>
      <c r="S318" t="s">
        <v>74</v>
      </c>
      <c r="T318" t="s">
        <v>6015</v>
      </c>
      <c r="U318" t="s">
        <v>6016</v>
      </c>
      <c r="V318" t="s">
        <v>6017</v>
      </c>
      <c r="W318" t="s">
        <v>6018</v>
      </c>
      <c r="X318" t="s">
        <v>6019</v>
      </c>
      <c r="Y318" t="s">
        <v>6020</v>
      </c>
      <c r="Z318" t="s">
        <v>6021</v>
      </c>
      <c r="AA318" t="s">
        <v>74</v>
      </c>
      <c r="AB318" t="s">
        <v>74</v>
      </c>
      <c r="AC318" t="s">
        <v>6022</v>
      </c>
      <c r="AD318" t="s">
        <v>6023</v>
      </c>
      <c r="AE318" t="s">
        <v>6024</v>
      </c>
      <c r="AF318" t="s">
        <v>74</v>
      </c>
      <c r="AG318">
        <v>40</v>
      </c>
      <c r="AH318">
        <v>21</v>
      </c>
      <c r="AI318">
        <v>23</v>
      </c>
      <c r="AJ318">
        <v>1</v>
      </c>
      <c r="AK318">
        <v>18</v>
      </c>
      <c r="AL318" t="s">
        <v>4179</v>
      </c>
      <c r="AM318" t="s">
        <v>4200</v>
      </c>
      <c r="AN318" t="s">
        <v>4201</v>
      </c>
      <c r="AO318" t="s">
        <v>6025</v>
      </c>
      <c r="AP318" t="s">
        <v>74</v>
      </c>
      <c r="AQ318" t="s">
        <v>74</v>
      </c>
      <c r="AR318" t="s">
        <v>6026</v>
      </c>
      <c r="AS318" t="s">
        <v>6027</v>
      </c>
      <c r="AT318" t="s">
        <v>3902</v>
      </c>
      <c r="AU318">
        <v>2011</v>
      </c>
      <c r="AV318">
        <v>137</v>
      </c>
      <c r="AW318">
        <v>659</v>
      </c>
      <c r="AX318" t="s">
        <v>6028</v>
      </c>
      <c r="AY318" t="s">
        <v>74</v>
      </c>
      <c r="AZ318" t="s">
        <v>74</v>
      </c>
      <c r="BA318" t="s">
        <v>74</v>
      </c>
      <c r="BB318">
        <v>1581</v>
      </c>
      <c r="BC318">
        <v>1588</v>
      </c>
      <c r="BD318" t="s">
        <v>74</v>
      </c>
      <c r="BE318" t="s">
        <v>6029</v>
      </c>
      <c r="BF318" t="str">
        <f>HYPERLINK("http://dx.doi.org/10.1002/qj.842","http://dx.doi.org/10.1002/qj.842")</f>
        <v>http://dx.doi.org/10.1002/qj.842</v>
      </c>
      <c r="BG318" t="s">
        <v>74</v>
      </c>
      <c r="BH318" t="s">
        <v>74</v>
      </c>
      <c r="BI318">
        <v>8</v>
      </c>
      <c r="BJ318" t="s">
        <v>248</v>
      </c>
      <c r="BK318" t="s">
        <v>100</v>
      </c>
      <c r="BL318" t="s">
        <v>248</v>
      </c>
      <c r="BM318" t="s">
        <v>6030</v>
      </c>
      <c r="BN318" t="s">
        <v>74</v>
      </c>
      <c r="BO318" t="s">
        <v>74</v>
      </c>
      <c r="BP318" t="s">
        <v>74</v>
      </c>
      <c r="BQ318" t="s">
        <v>74</v>
      </c>
      <c r="BR318" t="s">
        <v>103</v>
      </c>
      <c r="BS318" t="s">
        <v>6031</v>
      </c>
      <c r="BT318" t="str">
        <f>HYPERLINK("https%3A%2F%2Fwww.webofscience.com%2Fwos%2Fwoscc%2Ffull-record%2FWOS:000295139700014","View Full Record in Web of Science")</f>
        <v>View Full Record in Web of Science</v>
      </c>
    </row>
    <row r="319" spans="1:72" x14ac:dyDescent="0.15">
      <c r="A319" t="s">
        <v>72</v>
      </c>
      <c r="B319" t="s">
        <v>6032</v>
      </c>
      <c r="C319" t="s">
        <v>74</v>
      </c>
      <c r="D319" t="s">
        <v>74</v>
      </c>
      <c r="E319" t="s">
        <v>74</v>
      </c>
      <c r="F319" t="s">
        <v>6033</v>
      </c>
      <c r="G319" t="s">
        <v>74</v>
      </c>
      <c r="H319" t="s">
        <v>74</v>
      </c>
      <c r="I319" t="s">
        <v>6034</v>
      </c>
      <c r="J319" t="s">
        <v>6014</v>
      </c>
      <c r="K319" t="s">
        <v>74</v>
      </c>
      <c r="L319" t="s">
        <v>74</v>
      </c>
      <c r="M319" t="s">
        <v>78</v>
      </c>
      <c r="N319" t="s">
        <v>79</v>
      </c>
      <c r="O319" t="s">
        <v>74</v>
      </c>
      <c r="P319" t="s">
        <v>74</v>
      </c>
      <c r="Q319" t="s">
        <v>74</v>
      </c>
      <c r="R319" t="s">
        <v>74</v>
      </c>
      <c r="S319" t="s">
        <v>74</v>
      </c>
      <c r="T319" t="s">
        <v>6035</v>
      </c>
      <c r="U319" t="s">
        <v>6036</v>
      </c>
      <c r="V319" t="s">
        <v>6037</v>
      </c>
      <c r="W319" t="s">
        <v>6038</v>
      </c>
      <c r="X319" t="s">
        <v>6039</v>
      </c>
      <c r="Y319" t="s">
        <v>6040</v>
      </c>
      <c r="Z319" t="s">
        <v>6041</v>
      </c>
      <c r="AA319" t="s">
        <v>6042</v>
      </c>
      <c r="AB319" t="s">
        <v>6043</v>
      </c>
      <c r="AC319" t="s">
        <v>6044</v>
      </c>
      <c r="AD319" t="s">
        <v>6045</v>
      </c>
      <c r="AE319" t="s">
        <v>6046</v>
      </c>
      <c r="AF319" t="s">
        <v>74</v>
      </c>
      <c r="AG319">
        <v>71</v>
      </c>
      <c r="AH319">
        <v>7</v>
      </c>
      <c r="AI319">
        <v>7</v>
      </c>
      <c r="AJ319">
        <v>0</v>
      </c>
      <c r="AK319">
        <v>9</v>
      </c>
      <c r="AL319" t="s">
        <v>4179</v>
      </c>
      <c r="AM319" t="s">
        <v>1324</v>
      </c>
      <c r="AN319" t="s">
        <v>1325</v>
      </c>
      <c r="AO319" t="s">
        <v>6025</v>
      </c>
      <c r="AP319" t="s">
        <v>74</v>
      </c>
      <c r="AQ319" t="s">
        <v>74</v>
      </c>
      <c r="AR319" t="s">
        <v>6026</v>
      </c>
      <c r="AS319" t="s">
        <v>6027</v>
      </c>
      <c r="AT319" t="s">
        <v>3902</v>
      </c>
      <c r="AU319">
        <v>2011</v>
      </c>
      <c r="AV319">
        <v>137</v>
      </c>
      <c r="AW319">
        <v>659</v>
      </c>
      <c r="AX319" t="s">
        <v>6028</v>
      </c>
      <c r="AY319" t="s">
        <v>74</v>
      </c>
      <c r="AZ319" t="s">
        <v>74</v>
      </c>
      <c r="BA319" t="s">
        <v>74</v>
      </c>
      <c r="BB319">
        <v>1641</v>
      </c>
      <c r="BC319">
        <v>1656</v>
      </c>
      <c r="BD319" t="s">
        <v>74</v>
      </c>
      <c r="BE319" t="s">
        <v>6047</v>
      </c>
      <c r="BF319" t="str">
        <f>HYPERLINK("http://dx.doi.org/10.1002/qj.852","http://dx.doi.org/10.1002/qj.852")</f>
        <v>http://dx.doi.org/10.1002/qj.852</v>
      </c>
      <c r="BG319" t="s">
        <v>74</v>
      </c>
      <c r="BH319" t="s">
        <v>74</v>
      </c>
      <c r="BI319">
        <v>16</v>
      </c>
      <c r="BJ319" t="s">
        <v>248</v>
      </c>
      <c r="BK319" t="s">
        <v>100</v>
      </c>
      <c r="BL319" t="s">
        <v>248</v>
      </c>
      <c r="BM319" t="s">
        <v>6030</v>
      </c>
      <c r="BN319" t="s">
        <v>74</v>
      </c>
      <c r="BO319" t="s">
        <v>273</v>
      </c>
      <c r="BP319" t="s">
        <v>74</v>
      </c>
      <c r="BQ319" t="s">
        <v>74</v>
      </c>
      <c r="BR319" t="s">
        <v>103</v>
      </c>
      <c r="BS319" t="s">
        <v>6048</v>
      </c>
      <c r="BT319" t="str">
        <f>HYPERLINK("https%3A%2F%2Fwww.webofscience.com%2Fwos%2Fwoscc%2Ffull-record%2FWOS:000295139700019","View Full Record in Web of Science")</f>
        <v>View Full Record in Web of Science</v>
      </c>
    </row>
    <row r="320" spans="1:72" x14ac:dyDescent="0.15">
      <c r="A320" t="s">
        <v>72</v>
      </c>
      <c r="B320" t="s">
        <v>6049</v>
      </c>
      <c r="C320" t="s">
        <v>74</v>
      </c>
      <c r="D320" t="s">
        <v>74</v>
      </c>
      <c r="E320" t="s">
        <v>74</v>
      </c>
      <c r="F320" t="s">
        <v>6050</v>
      </c>
      <c r="G320" t="s">
        <v>74</v>
      </c>
      <c r="H320" t="s">
        <v>74</v>
      </c>
      <c r="I320" t="s">
        <v>6051</v>
      </c>
      <c r="J320" t="s">
        <v>3994</v>
      </c>
      <c r="K320" t="s">
        <v>74</v>
      </c>
      <c r="L320" t="s">
        <v>74</v>
      </c>
      <c r="M320" t="s">
        <v>78</v>
      </c>
      <c r="N320" t="s">
        <v>79</v>
      </c>
      <c r="O320" t="s">
        <v>74</v>
      </c>
      <c r="P320" t="s">
        <v>74</v>
      </c>
      <c r="Q320" t="s">
        <v>74</v>
      </c>
      <c r="R320" t="s">
        <v>74</v>
      </c>
      <c r="S320" t="s">
        <v>74</v>
      </c>
      <c r="T320" t="s">
        <v>6052</v>
      </c>
      <c r="U320" t="s">
        <v>6053</v>
      </c>
      <c r="V320" t="s">
        <v>6054</v>
      </c>
      <c r="W320" t="s">
        <v>6055</v>
      </c>
      <c r="X320" t="s">
        <v>6056</v>
      </c>
      <c r="Y320" t="s">
        <v>6057</v>
      </c>
      <c r="Z320" t="s">
        <v>6058</v>
      </c>
      <c r="AA320" t="s">
        <v>74</v>
      </c>
      <c r="AB320" t="s">
        <v>6059</v>
      </c>
      <c r="AC320" t="s">
        <v>74</v>
      </c>
      <c r="AD320" t="s">
        <v>74</v>
      </c>
      <c r="AE320" t="s">
        <v>74</v>
      </c>
      <c r="AF320" t="s">
        <v>74</v>
      </c>
      <c r="AG320">
        <v>173</v>
      </c>
      <c r="AH320">
        <v>184</v>
      </c>
      <c r="AI320">
        <v>202</v>
      </c>
      <c r="AJ320">
        <v>1</v>
      </c>
      <c r="AK320">
        <v>134</v>
      </c>
      <c r="AL320" t="s">
        <v>926</v>
      </c>
      <c r="AM320" t="s">
        <v>508</v>
      </c>
      <c r="AN320" t="s">
        <v>927</v>
      </c>
      <c r="AO320" t="s">
        <v>4005</v>
      </c>
      <c r="AP320" t="s">
        <v>6060</v>
      </c>
      <c r="AQ320" t="s">
        <v>74</v>
      </c>
      <c r="AR320" t="s">
        <v>4006</v>
      </c>
      <c r="AS320" t="s">
        <v>4007</v>
      </c>
      <c r="AT320" t="s">
        <v>3902</v>
      </c>
      <c r="AU320">
        <v>2011</v>
      </c>
      <c r="AV320">
        <v>30</v>
      </c>
      <c r="AW320" t="s">
        <v>4008</v>
      </c>
      <c r="AX320" t="s">
        <v>74</v>
      </c>
      <c r="AY320" t="s">
        <v>74</v>
      </c>
      <c r="AZ320" t="s">
        <v>74</v>
      </c>
      <c r="BA320" t="s">
        <v>74</v>
      </c>
      <c r="BB320">
        <v>1846</v>
      </c>
      <c r="BC320">
        <v>1860</v>
      </c>
      <c r="BD320" t="s">
        <v>74</v>
      </c>
      <c r="BE320" t="s">
        <v>6061</v>
      </c>
      <c r="BF320" t="str">
        <f>HYPERLINK("http://dx.doi.org/10.1016/j.quascirev.2011.04.019","http://dx.doi.org/10.1016/j.quascirev.2011.04.019")</f>
        <v>http://dx.doi.org/10.1016/j.quascirev.2011.04.019</v>
      </c>
      <c r="BG320" t="s">
        <v>74</v>
      </c>
      <c r="BH320" t="s">
        <v>74</v>
      </c>
      <c r="BI320">
        <v>15</v>
      </c>
      <c r="BJ320" t="s">
        <v>1496</v>
      </c>
      <c r="BK320" t="s">
        <v>100</v>
      </c>
      <c r="BL320" t="s">
        <v>1497</v>
      </c>
      <c r="BM320" t="s">
        <v>4010</v>
      </c>
      <c r="BN320" t="s">
        <v>74</v>
      </c>
      <c r="BO320" t="s">
        <v>74</v>
      </c>
      <c r="BP320" t="s">
        <v>74</v>
      </c>
      <c r="BQ320" t="s">
        <v>74</v>
      </c>
      <c r="BR320" t="s">
        <v>103</v>
      </c>
      <c r="BS320" t="s">
        <v>6062</v>
      </c>
      <c r="BT320" t="str">
        <f>HYPERLINK("https%3A%2F%2Fwww.webofscience.com%2Fwos%2Fwoscc%2Ffull-record%2FWOS:000293436700005","View Full Record in Web of Science")</f>
        <v>View Full Record in Web of Science</v>
      </c>
    </row>
    <row r="321" spans="1:72" x14ac:dyDescent="0.15">
      <c r="A321" t="s">
        <v>72</v>
      </c>
      <c r="B321" t="s">
        <v>6063</v>
      </c>
      <c r="C321" t="s">
        <v>74</v>
      </c>
      <c r="D321" t="s">
        <v>74</v>
      </c>
      <c r="E321" t="s">
        <v>74</v>
      </c>
      <c r="F321" t="s">
        <v>6064</v>
      </c>
      <c r="G321" t="s">
        <v>74</v>
      </c>
      <c r="H321" t="s">
        <v>74</v>
      </c>
      <c r="I321" t="s">
        <v>6065</v>
      </c>
      <c r="J321" t="s">
        <v>3994</v>
      </c>
      <c r="K321" t="s">
        <v>74</v>
      </c>
      <c r="L321" t="s">
        <v>74</v>
      </c>
      <c r="M321" t="s">
        <v>78</v>
      </c>
      <c r="N321" t="s">
        <v>79</v>
      </c>
      <c r="O321" t="s">
        <v>74</v>
      </c>
      <c r="P321" t="s">
        <v>74</v>
      </c>
      <c r="Q321" t="s">
        <v>74</v>
      </c>
      <c r="R321" t="s">
        <v>74</v>
      </c>
      <c r="S321" t="s">
        <v>74</v>
      </c>
      <c r="T321" t="s">
        <v>6066</v>
      </c>
      <c r="U321" t="s">
        <v>6067</v>
      </c>
      <c r="V321" t="s">
        <v>6068</v>
      </c>
      <c r="W321" t="s">
        <v>6069</v>
      </c>
      <c r="X321" t="s">
        <v>6070</v>
      </c>
      <c r="Y321" t="s">
        <v>6071</v>
      </c>
      <c r="Z321" t="s">
        <v>6072</v>
      </c>
      <c r="AA321" t="s">
        <v>6073</v>
      </c>
      <c r="AB321" t="s">
        <v>6074</v>
      </c>
      <c r="AC321" t="s">
        <v>6075</v>
      </c>
      <c r="AD321" t="s">
        <v>6076</v>
      </c>
      <c r="AE321" t="s">
        <v>6077</v>
      </c>
      <c r="AF321" t="s">
        <v>74</v>
      </c>
      <c r="AG321">
        <v>61</v>
      </c>
      <c r="AH321">
        <v>28</v>
      </c>
      <c r="AI321">
        <v>33</v>
      </c>
      <c r="AJ321">
        <v>1</v>
      </c>
      <c r="AK321">
        <v>19</v>
      </c>
      <c r="AL321" t="s">
        <v>926</v>
      </c>
      <c r="AM321" t="s">
        <v>508</v>
      </c>
      <c r="AN321" t="s">
        <v>927</v>
      </c>
      <c r="AO321" t="s">
        <v>4005</v>
      </c>
      <c r="AP321" t="s">
        <v>74</v>
      </c>
      <c r="AQ321" t="s">
        <v>74</v>
      </c>
      <c r="AR321" t="s">
        <v>4006</v>
      </c>
      <c r="AS321" t="s">
        <v>4007</v>
      </c>
      <c r="AT321" t="s">
        <v>3902</v>
      </c>
      <c r="AU321">
        <v>2011</v>
      </c>
      <c r="AV321">
        <v>30</v>
      </c>
      <c r="AW321" t="s">
        <v>4008</v>
      </c>
      <c r="AX321" t="s">
        <v>74</v>
      </c>
      <c r="AY321" t="s">
        <v>74</v>
      </c>
      <c r="AZ321" t="s">
        <v>74</v>
      </c>
      <c r="BA321" t="s">
        <v>74</v>
      </c>
      <c r="BB321">
        <v>1875</v>
      </c>
      <c r="BC321">
        <v>1882</v>
      </c>
      <c r="BD321" t="s">
        <v>74</v>
      </c>
      <c r="BE321" t="s">
        <v>6078</v>
      </c>
      <c r="BF321" t="str">
        <f>HYPERLINK("http://dx.doi.org/10.1016/j.quascirev.2011.04.015","http://dx.doi.org/10.1016/j.quascirev.2011.04.015")</f>
        <v>http://dx.doi.org/10.1016/j.quascirev.2011.04.015</v>
      </c>
      <c r="BG321" t="s">
        <v>74</v>
      </c>
      <c r="BH321" t="s">
        <v>74</v>
      </c>
      <c r="BI321">
        <v>8</v>
      </c>
      <c r="BJ321" t="s">
        <v>1496</v>
      </c>
      <c r="BK321" t="s">
        <v>100</v>
      </c>
      <c r="BL321" t="s">
        <v>1497</v>
      </c>
      <c r="BM321" t="s">
        <v>4010</v>
      </c>
      <c r="BN321" t="s">
        <v>74</v>
      </c>
      <c r="BO321" t="s">
        <v>1025</v>
      </c>
      <c r="BP321" t="s">
        <v>74</v>
      </c>
      <c r="BQ321" t="s">
        <v>74</v>
      </c>
      <c r="BR321" t="s">
        <v>103</v>
      </c>
      <c r="BS321" t="s">
        <v>6079</v>
      </c>
      <c r="BT321" t="str">
        <f>HYPERLINK("https%3A%2F%2Fwww.webofscience.com%2Fwos%2Fwoscc%2Ffull-record%2FWOS:000293436700007","View Full Record in Web of Science")</f>
        <v>View Full Record in Web of Science</v>
      </c>
    </row>
    <row r="322" spans="1:72" x14ac:dyDescent="0.15">
      <c r="A322" t="s">
        <v>72</v>
      </c>
      <c r="B322" t="s">
        <v>6080</v>
      </c>
      <c r="C322" t="s">
        <v>74</v>
      </c>
      <c r="D322" t="s">
        <v>74</v>
      </c>
      <c r="E322" t="s">
        <v>74</v>
      </c>
      <c r="F322" t="s">
        <v>6081</v>
      </c>
      <c r="G322" t="s">
        <v>74</v>
      </c>
      <c r="H322" t="s">
        <v>74</v>
      </c>
      <c r="I322" t="s">
        <v>6082</v>
      </c>
      <c r="J322" t="s">
        <v>6083</v>
      </c>
      <c r="K322" t="s">
        <v>74</v>
      </c>
      <c r="L322" t="s">
        <v>74</v>
      </c>
      <c r="M322" t="s">
        <v>78</v>
      </c>
      <c r="N322" t="s">
        <v>79</v>
      </c>
      <c r="O322" t="s">
        <v>74</v>
      </c>
      <c r="P322" t="s">
        <v>74</v>
      </c>
      <c r="Q322" t="s">
        <v>74</v>
      </c>
      <c r="R322" t="s">
        <v>74</v>
      </c>
      <c r="S322" t="s">
        <v>74</v>
      </c>
      <c r="T322" t="s">
        <v>74</v>
      </c>
      <c r="U322" t="s">
        <v>6084</v>
      </c>
      <c r="V322" t="s">
        <v>6085</v>
      </c>
      <c r="W322" t="s">
        <v>6086</v>
      </c>
      <c r="X322" t="s">
        <v>6087</v>
      </c>
      <c r="Y322" t="s">
        <v>6088</v>
      </c>
      <c r="Z322" t="s">
        <v>6089</v>
      </c>
      <c r="AA322" t="s">
        <v>6090</v>
      </c>
      <c r="AB322" t="s">
        <v>6091</v>
      </c>
      <c r="AC322" t="s">
        <v>6092</v>
      </c>
      <c r="AD322" t="s">
        <v>6093</v>
      </c>
      <c r="AE322" t="s">
        <v>6094</v>
      </c>
      <c r="AF322" t="s">
        <v>74</v>
      </c>
      <c r="AG322">
        <v>23</v>
      </c>
      <c r="AH322">
        <v>4</v>
      </c>
      <c r="AI322">
        <v>5</v>
      </c>
      <c r="AJ322">
        <v>0</v>
      </c>
      <c r="AK322">
        <v>6</v>
      </c>
      <c r="AL322" t="s">
        <v>1441</v>
      </c>
      <c r="AM322" t="s">
        <v>91</v>
      </c>
      <c r="AN322" t="s">
        <v>1595</v>
      </c>
      <c r="AO322" t="s">
        <v>6095</v>
      </c>
      <c r="AP322" t="s">
        <v>6096</v>
      </c>
      <c r="AQ322" t="s">
        <v>74</v>
      </c>
      <c r="AR322" t="s">
        <v>6097</v>
      </c>
      <c r="AS322" t="s">
        <v>6098</v>
      </c>
      <c r="AT322" t="s">
        <v>3902</v>
      </c>
      <c r="AU322">
        <v>2011</v>
      </c>
      <c r="AV322">
        <v>54</v>
      </c>
      <c r="AW322">
        <v>2</v>
      </c>
      <c r="AX322" t="s">
        <v>74</v>
      </c>
      <c r="AY322" t="s">
        <v>74</v>
      </c>
      <c r="AZ322" t="s">
        <v>74</v>
      </c>
      <c r="BA322" t="s">
        <v>74</v>
      </c>
      <c r="BB322">
        <v>89</v>
      </c>
      <c r="BC322">
        <v>101</v>
      </c>
      <c r="BD322" t="s">
        <v>74</v>
      </c>
      <c r="BE322" t="s">
        <v>6099</v>
      </c>
      <c r="BF322" t="str">
        <f>HYPERLINK("http://dx.doi.org/10.1007/s11141-011-9273-9","http://dx.doi.org/10.1007/s11141-011-9273-9")</f>
        <v>http://dx.doi.org/10.1007/s11141-011-9273-9</v>
      </c>
      <c r="BG322" t="s">
        <v>74</v>
      </c>
      <c r="BH322" t="s">
        <v>74</v>
      </c>
      <c r="BI322">
        <v>13</v>
      </c>
      <c r="BJ322" t="s">
        <v>6100</v>
      </c>
      <c r="BK322" t="s">
        <v>100</v>
      </c>
      <c r="BL322" t="s">
        <v>6101</v>
      </c>
      <c r="BM322" t="s">
        <v>6102</v>
      </c>
      <c r="BN322" t="s">
        <v>74</v>
      </c>
      <c r="BO322" t="s">
        <v>74</v>
      </c>
      <c r="BP322" t="s">
        <v>74</v>
      </c>
      <c r="BQ322" t="s">
        <v>74</v>
      </c>
      <c r="BR322" t="s">
        <v>103</v>
      </c>
      <c r="BS322" t="s">
        <v>6103</v>
      </c>
      <c r="BT322" t="str">
        <f>HYPERLINK("https%3A%2F%2Fwww.webofscience.com%2Fwos%2Fwoscc%2Ffull-record%2FWOS:000293467600002","View Full Record in Web of Science")</f>
        <v>View Full Record in Web of Science</v>
      </c>
    </row>
    <row r="323" spans="1:72" x14ac:dyDescent="0.15">
      <c r="A323" t="s">
        <v>72</v>
      </c>
      <c r="B323" t="s">
        <v>6104</v>
      </c>
      <c r="C323" t="s">
        <v>74</v>
      </c>
      <c r="D323" t="s">
        <v>74</v>
      </c>
      <c r="E323" t="s">
        <v>74</v>
      </c>
      <c r="F323" t="s">
        <v>6105</v>
      </c>
      <c r="G323" t="s">
        <v>74</v>
      </c>
      <c r="H323" t="s">
        <v>74</v>
      </c>
      <c r="I323" t="s">
        <v>6106</v>
      </c>
      <c r="J323" t="s">
        <v>6107</v>
      </c>
      <c r="K323" t="s">
        <v>74</v>
      </c>
      <c r="L323" t="s">
        <v>74</v>
      </c>
      <c r="M323" t="s">
        <v>4016</v>
      </c>
      <c r="N323" t="s">
        <v>79</v>
      </c>
      <c r="O323" t="s">
        <v>74</v>
      </c>
      <c r="P323" t="s">
        <v>74</v>
      </c>
      <c r="Q323" t="s">
        <v>74</v>
      </c>
      <c r="R323" t="s">
        <v>74</v>
      </c>
      <c r="S323" t="s">
        <v>74</v>
      </c>
      <c r="T323" t="s">
        <v>6108</v>
      </c>
      <c r="U323" t="s">
        <v>74</v>
      </c>
      <c r="V323" t="s">
        <v>6109</v>
      </c>
      <c r="W323" t="s">
        <v>6110</v>
      </c>
      <c r="X323" t="s">
        <v>6111</v>
      </c>
      <c r="Y323" t="s">
        <v>6112</v>
      </c>
      <c r="Z323" t="s">
        <v>6113</v>
      </c>
      <c r="AA323" t="s">
        <v>74</v>
      </c>
      <c r="AB323" t="s">
        <v>74</v>
      </c>
      <c r="AC323" t="s">
        <v>74</v>
      </c>
      <c r="AD323" t="s">
        <v>74</v>
      </c>
      <c r="AE323" t="s">
        <v>74</v>
      </c>
      <c r="AF323" t="s">
        <v>74</v>
      </c>
      <c r="AG323">
        <v>59</v>
      </c>
      <c r="AH323">
        <v>0</v>
      </c>
      <c r="AI323">
        <v>0</v>
      </c>
      <c r="AJ323">
        <v>0</v>
      </c>
      <c r="AK323">
        <v>0</v>
      </c>
      <c r="AL323" t="s">
        <v>6114</v>
      </c>
      <c r="AM323" t="s">
        <v>6115</v>
      </c>
      <c r="AN323" t="s">
        <v>6116</v>
      </c>
      <c r="AO323" t="s">
        <v>6117</v>
      </c>
      <c r="AP323" t="s">
        <v>74</v>
      </c>
      <c r="AQ323" t="s">
        <v>74</v>
      </c>
      <c r="AR323" t="s">
        <v>6118</v>
      </c>
      <c r="AS323" t="s">
        <v>6119</v>
      </c>
      <c r="AT323" t="s">
        <v>3879</v>
      </c>
      <c r="AU323">
        <v>2011</v>
      </c>
      <c r="AV323">
        <v>2</v>
      </c>
      <c r="AW323">
        <v>3</v>
      </c>
      <c r="AX323" t="s">
        <v>74</v>
      </c>
      <c r="AY323" t="s">
        <v>74</v>
      </c>
      <c r="AZ323" t="s">
        <v>74</v>
      </c>
      <c r="BA323" t="s">
        <v>74</v>
      </c>
      <c r="BB323">
        <v>115</v>
      </c>
      <c r="BC323">
        <v>128</v>
      </c>
      <c r="BD323" t="s">
        <v>74</v>
      </c>
      <c r="BE323" t="s">
        <v>74</v>
      </c>
      <c r="BF323" t="s">
        <v>74</v>
      </c>
      <c r="BG323" t="s">
        <v>74</v>
      </c>
      <c r="BH323" t="s">
        <v>74</v>
      </c>
      <c r="BI323">
        <v>14</v>
      </c>
      <c r="BJ323" t="s">
        <v>6120</v>
      </c>
      <c r="BK323" t="s">
        <v>2132</v>
      </c>
      <c r="BL323" t="s">
        <v>6120</v>
      </c>
      <c r="BM323" t="s">
        <v>6121</v>
      </c>
      <c r="BN323" t="s">
        <v>74</v>
      </c>
      <c r="BO323" t="s">
        <v>74</v>
      </c>
      <c r="BP323" t="s">
        <v>74</v>
      </c>
      <c r="BQ323" t="s">
        <v>74</v>
      </c>
      <c r="BR323" t="s">
        <v>103</v>
      </c>
      <c r="BS323" t="s">
        <v>6122</v>
      </c>
      <c r="BT323" t="str">
        <f>HYPERLINK("https%3A%2F%2Fwww.webofscience.com%2Fwos%2Fwoscc%2Ffull-record%2FWOS:000215956100002","View Full Record in Web of Science")</f>
        <v>View Full Record in Web of Science</v>
      </c>
    </row>
    <row r="324" spans="1:72" x14ac:dyDescent="0.15">
      <c r="A324" t="s">
        <v>72</v>
      </c>
      <c r="B324" t="s">
        <v>6123</v>
      </c>
      <c r="C324" t="s">
        <v>74</v>
      </c>
      <c r="D324" t="s">
        <v>74</v>
      </c>
      <c r="E324" t="s">
        <v>74</v>
      </c>
      <c r="F324" t="s">
        <v>6124</v>
      </c>
      <c r="G324" t="s">
        <v>74</v>
      </c>
      <c r="H324" t="s">
        <v>74</v>
      </c>
      <c r="I324" t="s">
        <v>6125</v>
      </c>
      <c r="J324" t="s">
        <v>6126</v>
      </c>
      <c r="K324" t="s">
        <v>74</v>
      </c>
      <c r="L324" t="s">
        <v>74</v>
      </c>
      <c r="M324" t="s">
        <v>78</v>
      </c>
      <c r="N324" t="s">
        <v>79</v>
      </c>
      <c r="O324" t="s">
        <v>74</v>
      </c>
      <c r="P324" t="s">
        <v>74</v>
      </c>
      <c r="Q324" t="s">
        <v>74</v>
      </c>
      <c r="R324" t="s">
        <v>74</v>
      </c>
      <c r="S324" t="s">
        <v>74</v>
      </c>
      <c r="T324" t="s">
        <v>6127</v>
      </c>
      <c r="U324" t="s">
        <v>6128</v>
      </c>
      <c r="V324" t="s">
        <v>6129</v>
      </c>
      <c r="W324" t="s">
        <v>6130</v>
      </c>
      <c r="X324" t="s">
        <v>6131</v>
      </c>
      <c r="Y324" t="s">
        <v>6132</v>
      </c>
      <c r="Z324" t="s">
        <v>6133</v>
      </c>
      <c r="AA324" t="s">
        <v>6134</v>
      </c>
      <c r="AB324" t="s">
        <v>6135</v>
      </c>
      <c r="AC324" t="s">
        <v>6136</v>
      </c>
      <c r="AD324" t="s">
        <v>6136</v>
      </c>
      <c r="AE324" t="s">
        <v>6137</v>
      </c>
      <c r="AF324" t="s">
        <v>74</v>
      </c>
      <c r="AG324">
        <v>71</v>
      </c>
      <c r="AH324">
        <v>11</v>
      </c>
      <c r="AI324">
        <v>11</v>
      </c>
      <c r="AJ324">
        <v>0</v>
      </c>
      <c r="AK324">
        <v>16</v>
      </c>
      <c r="AL324" t="s">
        <v>2968</v>
      </c>
      <c r="AM324" t="s">
        <v>508</v>
      </c>
      <c r="AN324" t="s">
        <v>2969</v>
      </c>
      <c r="AO324" t="s">
        <v>6138</v>
      </c>
      <c r="AP324" t="s">
        <v>6139</v>
      </c>
      <c r="AQ324" t="s">
        <v>74</v>
      </c>
      <c r="AR324" t="s">
        <v>6140</v>
      </c>
      <c r="AS324" t="s">
        <v>6141</v>
      </c>
      <c r="AT324" t="s">
        <v>3902</v>
      </c>
      <c r="AU324">
        <v>2011</v>
      </c>
      <c r="AV324">
        <v>162</v>
      </c>
      <c r="AW324">
        <v>3</v>
      </c>
      <c r="AX324" t="s">
        <v>74</v>
      </c>
      <c r="AY324" t="s">
        <v>74</v>
      </c>
      <c r="AZ324" t="s">
        <v>74</v>
      </c>
      <c r="BA324" t="s">
        <v>74</v>
      </c>
      <c r="BB324">
        <v>631</v>
      </c>
      <c r="BC324">
        <v>645</v>
      </c>
      <c r="BD324" t="s">
        <v>74</v>
      </c>
      <c r="BE324" t="s">
        <v>6142</v>
      </c>
      <c r="BF324" t="str">
        <f>HYPERLINK("http://dx.doi.org/10.1111/j.1096-3642.2010.00682.x","http://dx.doi.org/10.1111/j.1096-3642.2010.00682.x")</f>
        <v>http://dx.doi.org/10.1111/j.1096-3642.2010.00682.x</v>
      </c>
      <c r="BG324" t="s">
        <v>74</v>
      </c>
      <c r="BH324" t="s">
        <v>74</v>
      </c>
      <c r="BI324">
        <v>15</v>
      </c>
      <c r="BJ324" t="s">
        <v>3232</v>
      </c>
      <c r="BK324" t="s">
        <v>100</v>
      </c>
      <c r="BL324" t="s">
        <v>3232</v>
      </c>
      <c r="BM324" t="s">
        <v>6143</v>
      </c>
      <c r="BN324" t="s">
        <v>74</v>
      </c>
      <c r="BO324" t="s">
        <v>152</v>
      </c>
      <c r="BP324" t="s">
        <v>74</v>
      </c>
      <c r="BQ324" t="s">
        <v>74</v>
      </c>
      <c r="BR324" t="s">
        <v>103</v>
      </c>
      <c r="BS324" t="s">
        <v>6144</v>
      </c>
      <c r="BT324" t="str">
        <f>HYPERLINK("https%3A%2F%2Fwww.webofscience.com%2Fwos%2Fwoscc%2Ffull-record%2FWOS:000292107600006","View Full Record in Web of Science")</f>
        <v>View Full Record in Web of Science</v>
      </c>
    </row>
    <row r="325" spans="1:72" x14ac:dyDescent="0.15">
      <c r="A325" t="s">
        <v>72</v>
      </c>
      <c r="B325" t="s">
        <v>6145</v>
      </c>
      <c r="C325" t="s">
        <v>74</v>
      </c>
      <c r="D325" t="s">
        <v>74</v>
      </c>
      <c r="E325" t="s">
        <v>74</v>
      </c>
      <c r="F325" t="s">
        <v>6146</v>
      </c>
      <c r="G325" t="s">
        <v>74</v>
      </c>
      <c r="H325" t="s">
        <v>74</v>
      </c>
      <c r="I325" t="s">
        <v>6147</v>
      </c>
      <c r="J325" t="s">
        <v>6126</v>
      </c>
      <c r="K325" t="s">
        <v>74</v>
      </c>
      <c r="L325" t="s">
        <v>74</v>
      </c>
      <c r="M325" t="s">
        <v>78</v>
      </c>
      <c r="N325" t="s">
        <v>79</v>
      </c>
      <c r="O325" t="s">
        <v>74</v>
      </c>
      <c r="P325" t="s">
        <v>74</v>
      </c>
      <c r="Q325" t="s">
        <v>74</v>
      </c>
      <c r="R325" t="s">
        <v>74</v>
      </c>
      <c r="S325" t="s">
        <v>74</v>
      </c>
      <c r="T325" t="s">
        <v>6148</v>
      </c>
      <c r="U325" t="s">
        <v>6149</v>
      </c>
      <c r="V325" t="s">
        <v>6150</v>
      </c>
      <c r="W325" t="s">
        <v>6151</v>
      </c>
      <c r="X325" t="s">
        <v>6152</v>
      </c>
      <c r="Y325" t="s">
        <v>6153</v>
      </c>
      <c r="Z325" t="s">
        <v>6154</v>
      </c>
      <c r="AA325" t="s">
        <v>74</v>
      </c>
      <c r="AB325" t="s">
        <v>74</v>
      </c>
      <c r="AC325" t="s">
        <v>6155</v>
      </c>
      <c r="AD325" t="s">
        <v>6156</v>
      </c>
      <c r="AE325" t="s">
        <v>6157</v>
      </c>
      <c r="AF325" t="s">
        <v>74</v>
      </c>
      <c r="AG325">
        <v>56</v>
      </c>
      <c r="AH325">
        <v>50</v>
      </c>
      <c r="AI325">
        <v>54</v>
      </c>
      <c r="AJ325">
        <v>1</v>
      </c>
      <c r="AK325">
        <v>26</v>
      </c>
      <c r="AL325" t="s">
        <v>2968</v>
      </c>
      <c r="AM325" t="s">
        <v>508</v>
      </c>
      <c r="AN325" t="s">
        <v>2969</v>
      </c>
      <c r="AO325" t="s">
        <v>6138</v>
      </c>
      <c r="AP325" t="s">
        <v>6139</v>
      </c>
      <c r="AQ325" t="s">
        <v>74</v>
      </c>
      <c r="AR325" t="s">
        <v>6140</v>
      </c>
      <c r="AS325" t="s">
        <v>6141</v>
      </c>
      <c r="AT325" t="s">
        <v>3902</v>
      </c>
      <c r="AU325">
        <v>2011</v>
      </c>
      <c r="AV325">
        <v>162</v>
      </c>
      <c r="AW325">
        <v>3</v>
      </c>
      <c r="AX325" t="s">
        <v>74</v>
      </c>
      <c r="AY325" t="s">
        <v>74</v>
      </c>
      <c r="AZ325" t="s">
        <v>74</v>
      </c>
      <c r="BA325" t="s">
        <v>74</v>
      </c>
      <c r="BB325">
        <v>646</v>
      </c>
      <c r="BC325">
        <v>660</v>
      </c>
      <c r="BD325" t="s">
        <v>74</v>
      </c>
      <c r="BE325" t="s">
        <v>6158</v>
      </c>
      <c r="BF325" t="str">
        <f>HYPERLINK("http://dx.doi.org/10.1111/j.1096-3642.2010.00688.x","http://dx.doi.org/10.1111/j.1096-3642.2010.00688.x")</f>
        <v>http://dx.doi.org/10.1111/j.1096-3642.2010.00688.x</v>
      </c>
      <c r="BG325" t="s">
        <v>74</v>
      </c>
      <c r="BH325" t="s">
        <v>74</v>
      </c>
      <c r="BI325">
        <v>15</v>
      </c>
      <c r="BJ325" t="s">
        <v>3232</v>
      </c>
      <c r="BK325" t="s">
        <v>100</v>
      </c>
      <c r="BL325" t="s">
        <v>3232</v>
      </c>
      <c r="BM325" t="s">
        <v>6143</v>
      </c>
      <c r="BN325" t="s">
        <v>74</v>
      </c>
      <c r="BO325" t="s">
        <v>152</v>
      </c>
      <c r="BP325" t="s">
        <v>74</v>
      </c>
      <c r="BQ325" t="s">
        <v>74</v>
      </c>
      <c r="BR325" t="s">
        <v>103</v>
      </c>
      <c r="BS325" t="s">
        <v>6159</v>
      </c>
      <c r="BT325" t="str">
        <f>HYPERLINK("https%3A%2F%2Fwww.webofscience.com%2Fwos%2Fwoscc%2Ffull-record%2FWOS:000292107600007","View Full Record in Web of Science")</f>
        <v>View Full Record in Web of Science</v>
      </c>
    </row>
    <row r="326" spans="1:72" x14ac:dyDescent="0.15">
      <c r="A326" t="s">
        <v>72</v>
      </c>
      <c r="B326" t="s">
        <v>6160</v>
      </c>
      <c r="C326" t="s">
        <v>74</v>
      </c>
      <c r="D326" t="s">
        <v>74</v>
      </c>
      <c r="E326" t="s">
        <v>74</v>
      </c>
      <c r="F326" t="s">
        <v>6161</v>
      </c>
      <c r="G326" t="s">
        <v>74</v>
      </c>
      <c r="H326" t="s">
        <v>74</v>
      </c>
      <c r="I326" t="s">
        <v>6162</v>
      </c>
      <c r="J326" t="s">
        <v>6163</v>
      </c>
      <c r="K326" t="s">
        <v>74</v>
      </c>
      <c r="L326" t="s">
        <v>74</v>
      </c>
      <c r="M326" t="s">
        <v>78</v>
      </c>
      <c r="N326" t="s">
        <v>6164</v>
      </c>
      <c r="O326" t="s">
        <v>6165</v>
      </c>
      <c r="P326" t="s">
        <v>6166</v>
      </c>
      <c r="Q326" t="s">
        <v>6167</v>
      </c>
      <c r="R326" t="s">
        <v>74</v>
      </c>
      <c r="S326" t="s">
        <v>74</v>
      </c>
      <c r="T326" t="s">
        <v>6168</v>
      </c>
      <c r="U326" t="s">
        <v>6169</v>
      </c>
      <c r="V326" t="s">
        <v>6170</v>
      </c>
      <c r="W326" t="s">
        <v>6171</v>
      </c>
      <c r="X326" t="s">
        <v>6172</v>
      </c>
      <c r="Y326" t="s">
        <v>6173</v>
      </c>
      <c r="Z326" t="s">
        <v>74</v>
      </c>
      <c r="AA326" t="s">
        <v>6174</v>
      </c>
      <c r="AB326" t="s">
        <v>6175</v>
      </c>
      <c r="AC326" t="s">
        <v>74</v>
      </c>
      <c r="AD326" t="s">
        <v>74</v>
      </c>
      <c r="AE326" t="s">
        <v>74</v>
      </c>
      <c r="AF326" t="s">
        <v>74</v>
      </c>
      <c r="AG326">
        <v>38</v>
      </c>
      <c r="AH326">
        <v>69</v>
      </c>
      <c r="AI326">
        <v>75</v>
      </c>
      <c r="AJ326">
        <v>0</v>
      </c>
      <c r="AK326">
        <v>23</v>
      </c>
      <c r="AL326" t="s">
        <v>6176</v>
      </c>
      <c r="AM326" t="s">
        <v>6177</v>
      </c>
      <c r="AN326" t="s">
        <v>6178</v>
      </c>
      <c r="AO326" t="s">
        <v>6179</v>
      </c>
      <c r="AP326" t="s">
        <v>74</v>
      </c>
      <c r="AQ326" t="s">
        <v>74</v>
      </c>
      <c r="AR326" t="s">
        <v>6163</v>
      </c>
      <c r="AS326" t="s">
        <v>6180</v>
      </c>
      <c r="AT326" t="s">
        <v>3902</v>
      </c>
      <c r="AU326">
        <v>2011</v>
      </c>
      <c r="AV326">
        <v>11</v>
      </c>
      <c r="AW326">
        <v>1</v>
      </c>
      <c r="AX326" t="s">
        <v>74</v>
      </c>
      <c r="AY326" t="s">
        <v>74</v>
      </c>
      <c r="AZ326" t="s">
        <v>74</v>
      </c>
      <c r="BA326" t="s">
        <v>74</v>
      </c>
      <c r="BB326">
        <v>57</v>
      </c>
      <c r="BC326">
        <v>71</v>
      </c>
      <c r="BD326" t="s">
        <v>74</v>
      </c>
      <c r="BE326" t="s">
        <v>6181</v>
      </c>
      <c r="BF326" t="str">
        <f>HYPERLINK("http://dx.doi.org/10.5507/fot.2011.007","http://dx.doi.org/10.5507/fot.2011.007")</f>
        <v>http://dx.doi.org/10.5507/fot.2011.007</v>
      </c>
      <c r="BG326" t="s">
        <v>74</v>
      </c>
      <c r="BH326" t="s">
        <v>74</v>
      </c>
      <c r="BI326">
        <v>15</v>
      </c>
      <c r="BJ326" t="s">
        <v>4032</v>
      </c>
      <c r="BK326" t="s">
        <v>4181</v>
      </c>
      <c r="BL326" t="s">
        <v>4032</v>
      </c>
      <c r="BM326" t="s">
        <v>6182</v>
      </c>
      <c r="BN326" t="s">
        <v>74</v>
      </c>
      <c r="BO326" t="s">
        <v>152</v>
      </c>
      <c r="BP326" t="s">
        <v>74</v>
      </c>
      <c r="BQ326" t="s">
        <v>74</v>
      </c>
      <c r="BR326" t="s">
        <v>103</v>
      </c>
      <c r="BS326" t="s">
        <v>6183</v>
      </c>
      <c r="BT326" t="str">
        <f>HYPERLINK("https%3A%2F%2Fwww.webofscience.com%2Fwos%2Fwoscc%2Ffull-record%2FWOS:000291511200007","View Full Record in Web of Science")</f>
        <v>View Full Record in Web of Science</v>
      </c>
    </row>
    <row r="327" spans="1:72" x14ac:dyDescent="0.15">
      <c r="A327" t="s">
        <v>72</v>
      </c>
      <c r="B327" t="s">
        <v>6184</v>
      </c>
      <c r="C327" t="s">
        <v>74</v>
      </c>
      <c r="D327" t="s">
        <v>74</v>
      </c>
      <c r="E327" t="s">
        <v>74</v>
      </c>
      <c r="F327" t="s">
        <v>6185</v>
      </c>
      <c r="G327" t="s">
        <v>74</v>
      </c>
      <c r="H327" t="s">
        <v>74</v>
      </c>
      <c r="I327" t="s">
        <v>6186</v>
      </c>
      <c r="J327" t="s">
        <v>6187</v>
      </c>
      <c r="K327" t="s">
        <v>74</v>
      </c>
      <c r="L327" t="s">
        <v>74</v>
      </c>
      <c r="M327" t="s">
        <v>78</v>
      </c>
      <c r="N327" t="s">
        <v>79</v>
      </c>
      <c r="O327" t="s">
        <v>74</v>
      </c>
      <c r="P327" t="s">
        <v>74</v>
      </c>
      <c r="Q327" t="s">
        <v>74</v>
      </c>
      <c r="R327" t="s">
        <v>74</v>
      </c>
      <c r="S327" t="s">
        <v>74</v>
      </c>
      <c r="T327" t="s">
        <v>74</v>
      </c>
      <c r="U327" t="s">
        <v>6188</v>
      </c>
      <c r="V327" t="s">
        <v>6189</v>
      </c>
      <c r="W327" t="s">
        <v>6190</v>
      </c>
      <c r="X327" t="s">
        <v>6191</v>
      </c>
      <c r="Y327" t="s">
        <v>6192</v>
      </c>
      <c r="Z327" t="s">
        <v>6193</v>
      </c>
      <c r="AA327" t="s">
        <v>74</v>
      </c>
      <c r="AB327" t="s">
        <v>74</v>
      </c>
      <c r="AC327" t="s">
        <v>6194</v>
      </c>
      <c r="AD327" t="s">
        <v>6195</v>
      </c>
      <c r="AE327" t="s">
        <v>6196</v>
      </c>
      <c r="AF327" t="s">
        <v>74</v>
      </c>
      <c r="AG327">
        <v>148</v>
      </c>
      <c r="AH327">
        <v>49</v>
      </c>
      <c r="AI327">
        <v>55</v>
      </c>
      <c r="AJ327">
        <v>0</v>
      </c>
      <c r="AK327">
        <v>28</v>
      </c>
      <c r="AL327" t="s">
        <v>1712</v>
      </c>
      <c r="AM327" t="s">
        <v>1036</v>
      </c>
      <c r="AN327" t="s">
        <v>1713</v>
      </c>
      <c r="AO327" t="s">
        <v>6197</v>
      </c>
      <c r="AP327" t="s">
        <v>6198</v>
      </c>
      <c r="AQ327" t="s">
        <v>74</v>
      </c>
      <c r="AR327" t="s">
        <v>6199</v>
      </c>
      <c r="AS327" t="s">
        <v>6200</v>
      </c>
      <c r="AT327" t="s">
        <v>4476</v>
      </c>
      <c r="AU327">
        <v>2011</v>
      </c>
      <c r="AV327">
        <v>123</v>
      </c>
      <c r="AW327" t="s">
        <v>5648</v>
      </c>
      <c r="AX327" t="s">
        <v>74</v>
      </c>
      <c r="AY327" t="s">
        <v>74</v>
      </c>
      <c r="AZ327" t="s">
        <v>74</v>
      </c>
      <c r="BA327" t="s">
        <v>74</v>
      </c>
      <c r="BB327">
        <v>1448</v>
      </c>
      <c r="BC327">
        <v>1477</v>
      </c>
      <c r="BD327" t="s">
        <v>74</v>
      </c>
      <c r="BE327" t="s">
        <v>6201</v>
      </c>
      <c r="BF327" t="str">
        <f>HYPERLINK("http://dx.doi.org/10.1130/B30217.1","http://dx.doi.org/10.1130/B30217.1")</f>
        <v>http://dx.doi.org/10.1130/B30217.1</v>
      </c>
      <c r="BG327" t="s">
        <v>74</v>
      </c>
      <c r="BH327" t="s">
        <v>74</v>
      </c>
      <c r="BI327">
        <v>30</v>
      </c>
      <c r="BJ327" t="s">
        <v>130</v>
      </c>
      <c r="BK327" t="s">
        <v>100</v>
      </c>
      <c r="BL327" t="s">
        <v>131</v>
      </c>
      <c r="BM327" t="s">
        <v>6202</v>
      </c>
      <c r="BN327" t="s">
        <v>74</v>
      </c>
      <c r="BO327" t="s">
        <v>74</v>
      </c>
      <c r="BP327" t="s">
        <v>74</v>
      </c>
      <c r="BQ327" t="s">
        <v>74</v>
      </c>
      <c r="BR327" t="s">
        <v>103</v>
      </c>
      <c r="BS327" t="s">
        <v>6203</v>
      </c>
      <c r="BT327" t="str">
        <f>HYPERLINK("https%3A%2F%2Fwww.webofscience.com%2Fwos%2Fwoscc%2Ffull-record%2FWOS:000291248800013","View Full Record in Web of Science")</f>
        <v>View Full Record in Web of Science</v>
      </c>
    </row>
    <row r="328" spans="1:72" x14ac:dyDescent="0.15">
      <c r="A328" t="s">
        <v>72</v>
      </c>
      <c r="B328" t="s">
        <v>6204</v>
      </c>
      <c r="C328" t="s">
        <v>74</v>
      </c>
      <c r="D328" t="s">
        <v>74</v>
      </c>
      <c r="E328" t="s">
        <v>74</v>
      </c>
      <c r="F328" t="s">
        <v>6205</v>
      </c>
      <c r="G328" t="s">
        <v>74</v>
      </c>
      <c r="H328" t="s">
        <v>74</v>
      </c>
      <c r="I328" t="s">
        <v>6206</v>
      </c>
      <c r="J328" t="s">
        <v>1765</v>
      </c>
      <c r="K328" t="s">
        <v>74</v>
      </c>
      <c r="L328" t="s">
        <v>74</v>
      </c>
      <c r="M328" t="s">
        <v>78</v>
      </c>
      <c r="N328" t="s">
        <v>4724</v>
      </c>
      <c r="O328" t="s">
        <v>74</v>
      </c>
      <c r="P328" t="s">
        <v>74</v>
      </c>
      <c r="Q328" t="s">
        <v>74</v>
      </c>
      <c r="R328" t="s">
        <v>74</v>
      </c>
      <c r="S328" t="s">
        <v>74</v>
      </c>
      <c r="T328" t="s">
        <v>74</v>
      </c>
      <c r="U328" t="s">
        <v>74</v>
      </c>
      <c r="V328" t="s">
        <v>74</v>
      </c>
      <c r="W328" t="s">
        <v>74</v>
      </c>
      <c r="X328" t="s">
        <v>74</v>
      </c>
      <c r="Y328" t="s">
        <v>74</v>
      </c>
      <c r="Z328" t="s">
        <v>74</v>
      </c>
      <c r="AA328" t="s">
        <v>6207</v>
      </c>
      <c r="AB328" t="s">
        <v>6208</v>
      </c>
      <c r="AC328" t="s">
        <v>74</v>
      </c>
      <c r="AD328" t="s">
        <v>74</v>
      </c>
      <c r="AE328" t="s">
        <v>74</v>
      </c>
      <c r="AF328" t="s">
        <v>74</v>
      </c>
      <c r="AG328">
        <v>1</v>
      </c>
      <c r="AH328">
        <v>1</v>
      </c>
      <c r="AI328">
        <v>1</v>
      </c>
      <c r="AJ328">
        <v>0</v>
      </c>
      <c r="AK328">
        <v>10</v>
      </c>
      <c r="AL328" t="s">
        <v>1777</v>
      </c>
      <c r="AM328" t="s">
        <v>1778</v>
      </c>
      <c r="AN328" t="s">
        <v>1779</v>
      </c>
      <c r="AO328" t="s">
        <v>1780</v>
      </c>
      <c r="AP328" t="s">
        <v>74</v>
      </c>
      <c r="AQ328" t="s">
        <v>74</v>
      </c>
      <c r="AR328" t="s">
        <v>1781</v>
      </c>
      <c r="AS328" t="s">
        <v>1782</v>
      </c>
      <c r="AT328" t="s">
        <v>3902</v>
      </c>
      <c r="AU328">
        <v>2011</v>
      </c>
      <c r="AV328">
        <v>214</v>
      </c>
      <c r="AW328">
        <v>13</v>
      </c>
      <c r="AX328" t="s">
        <v>74</v>
      </c>
      <c r="AY328" t="s">
        <v>74</v>
      </c>
      <c r="AZ328" t="s">
        <v>74</v>
      </c>
      <c r="BA328" t="s">
        <v>74</v>
      </c>
      <c r="BB328">
        <v>2292</v>
      </c>
      <c r="BC328">
        <v>2293</v>
      </c>
      <c r="BD328" t="s">
        <v>74</v>
      </c>
      <c r="BE328" t="s">
        <v>6209</v>
      </c>
      <c r="BF328" t="str">
        <f>HYPERLINK("http://dx.doi.org/10.1242/jeb.060624","http://dx.doi.org/10.1242/jeb.060624")</f>
        <v>http://dx.doi.org/10.1242/jeb.060624</v>
      </c>
      <c r="BG328" t="s">
        <v>74</v>
      </c>
      <c r="BH328" t="s">
        <v>74</v>
      </c>
      <c r="BI328">
        <v>2</v>
      </c>
      <c r="BJ328" t="s">
        <v>1784</v>
      </c>
      <c r="BK328" t="s">
        <v>100</v>
      </c>
      <c r="BL328" t="s">
        <v>1785</v>
      </c>
      <c r="BM328" t="s">
        <v>5480</v>
      </c>
      <c r="BN328" t="s">
        <v>74</v>
      </c>
      <c r="BO328" t="s">
        <v>152</v>
      </c>
      <c r="BP328" t="s">
        <v>74</v>
      </c>
      <c r="BQ328" t="s">
        <v>74</v>
      </c>
      <c r="BR328" t="s">
        <v>103</v>
      </c>
      <c r="BS328" t="s">
        <v>6210</v>
      </c>
      <c r="BT328" t="str">
        <f>HYPERLINK("https%3A%2F%2Fwww.webofscience.com%2Fwos%2Fwoscc%2Ffull-record%2FWOS:000291386300025","View Full Record in Web of Science")</f>
        <v>View Full Record in Web of Science</v>
      </c>
    </row>
    <row r="329" spans="1:72" x14ac:dyDescent="0.15">
      <c r="A329" t="s">
        <v>72</v>
      </c>
      <c r="B329" t="s">
        <v>6211</v>
      </c>
      <c r="C329" t="s">
        <v>74</v>
      </c>
      <c r="D329" t="s">
        <v>74</v>
      </c>
      <c r="E329" t="s">
        <v>74</v>
      </c>
      <c r="F329" t="s">
        <v>6212</v>
      </c>
      <c r="G329" t="s">
        <v>74</v>
      </c>
      <c r="H329" t="s">
        <v>74</v>
      </c>
      <c r="I329" t="s">
        <v>6213</v>
      </c>
      <c r="J329" t="s">
        <v>1889</v>
      </c>
      <c r="K329" t="s">
        <v>74</v>
      </c>
      <c r="L329" t="s">
        <v>74</v>
      </c>
      <c r="M329" t="s">
        <v>78</v>
      </c>
      <c r="N329" t="s">
        <v>79</v>
      </c>
      <c r="O329" t="s">
        <v>74</v>
      </c>
      <c r="P329" t="s">
        <v>74</v>
      </c>
      <c r="Q329" t="s">
        <v>74</v>
      </c>
      <c r="R329" t="s">
        <v>74</v>
      </c>
      <c r="S329" t="s">
        <v>74</v>
      </c>
      <c r="T329" t="s">
        <v>6214</v>
      </c>
      <c r="U329" t="s">
        <v>6215</v>
      </c>
      <c r="V329" t="s">
        <v>6216</v>
      </c>
      <c r="W329" t="s">
        <v>6217</v>
      </c>
      <c r="X329" t="s">
        <v>6218</v>
      </c>
      <c r="Y329" t="s">
        <v>6219</v>
      </c>
      <c r="Z329" t="s">
        <v>6220</v>
      </c>
      <c r="AA329" t="s">
        <v>6221</v>
      </c>
      <c r="AB329" t="s">
        <v>6222</v>
      </c>
      <c r="AC329" t="s">
        <v>6223</v>
      </c>
      <c r="AD329" t="s">
        <v>6223</v>
      </c>
      <c r="AE329" t="s">
        <v>6224</v>
      </c>
      <c r="AF329" t="s">
        <v>74</v>
      </c>
      <c r="AG329">
        <v>42</v>
      </c>
      <c r="AH329">
        <v>12</v>
      </c>
      <c r="AI329">
        <v>12</v>
      </c>
      <c r="AJ329">
        <v>0</v>
      </c>
      <c r="AK329">
        <v>22</v>
      </c>
      <c r="AL329" t="s">
        <v>1441</v>
      </c>
      <c r="AM329" t="s">
        <v>91</v>
      </c>
      <c r="AN329" t="s">
        <v>1595</v>
      </c>
      <c r="AO329" t="s">
        <v>1903</v>
      </c>
      <c r="AP329" t="s">
        <v>1904</v>
      </c>
      <c r="AQ329" t="s">
        <v>74</v>
      </c>
      <c r="AR329" t="s">
        <v>1905</v>
      </c>
      <c r="AS329" t="s">
        <v>1906</v>
      </c>
      <c r="AT329" t="s">
        <v>3902</v>
      </c>
      <c r="AU329">
        <v>2011</v>
      </c>
      <c r="AV329">
        <v>34</v>
      </c>
      <c r="AW329">
        <v>7</v>
      </c>
      <c r="AX329" t="s">
        <v>74</v>
      </c>
      <c r="AY329" t="s">
        <v>74</v>
      </c>
      <c r="AZ329" t="s">
        <v>74</v>
      </c>
      <c r="BA329" t="s">
        <v>74</v>
      </c>
      <c r="BB329">
        <v>945</v>
      </c>
      <c r="BC329">
        <v>954</v>
      </c>
      <c r="BD329" t="s">
        <v>74</v>
      </c>
      <c r="BE329" t="s">
        <v>6225</v>
      </c>
      <c r="BF329" t="str">
        <f>HYPERLINK("http://dx.doi.org/10.1007/s00300-010-0950-5","http://dx.doi.org/10.1007/s00300-010-0950-5")</f>
        <v>http://dx.doi.org/10.1007/s00300-010-0950-5</v>
      </c>
      <c r="BG329" t="s">
        <v>74</v>
      </c>
      <c r="BH329" t="s">
        <v>74</v>
      </c>
      <c r="BI329">
        <v>10</v>
      </c>
      <c r="BJ329" t="s">
        <v>1908</v>
      </c>
      <c r="BK329" t="s">
        <v>100</v>
      </c>
      <c r="BL329" t="s">
        <v>1909</v>
      </c>
      <c r="BM329" t="s">
        <v>6226</v>
      </c>
      <c r="BN329" t="s">
        <v>74</v>
      </c>
      <c r="BO329" t="s">
        <v>74</v>
      </c>
      <c r="BP329" t="s">
        <v>74</v>
      </c>
      <c r="BQ329" t="s">
        <v>74</v>
      </c>
      <c r="BR329" t="s">
        <v>103</v>
      </c>
      <c r="BS329" t="s">
        <v>6227</v>
      </c>
      <c r="BT329" t="str">
        <f>HYPERLINK("https%3A%2F%2Fwww.webofscience.com%2Fwos%2Fwoscc%2Ffull-record%2FWOS:000291046900001","View Full Record in Web of Science")</f>
        <v>View Full Record in Web of Science</v>
      </c>
    </row>
    <row r="330" spans="1:72" x14ac:dyDescent="0.15">
      <c r="A330" t="s">
        <v>72</v>
      </c>
      <c r="B330" t="s">
        <v>6228</v>
      </c>
      <c r="C330" t="s">
        <v>74</v>
      </c>
      <c r="D330" t="s">
        <v>74</v>
      </c>
      <c r="E330" t="s">
        <v>74</v>
      </c>
      <c r="F330" t="s">
        <v>6229</v>
      </c>
      <c r="G330" t="s">
        <v>74</v>
      </c>
      <c r="H330" t="s">
        <v>74</v>
      </c>
      <c r="I330" t="s">
        <v>6230</v>
      </c>
      <c r="J330" t="s">
        <v>1889</v>
      </c>
      <c r="K330" t="s">
        <v>74</v>
      </c>
      <c r="L330" t="s">
        <v>74</v>
      </c>
      <c r="M330" t="s">
        <v>78</v>
      </c>
      <c r="N330" t="s">
        <v>79</v>
      </c>
      <c r="O330" t="s">
        <v>74</v>
      </c>
      <c r="P330" t="s">
        <v>74</v>
      </c>
      <c r="Q330" t="s">
        <v>74</v>
      </c>
      <c r="R330" t="s">
        <v>74</v>
      </c>
      <c r="S330" t="s">
        <v>74</v>
      </c>
      <c r="T330" t="s">
        <v>6231</v>
      </c>
      <c r="U330" t="s">
        <v>6232</v>
      </c>
      <c r="V330" t="s">
        <v>6233</v>
      </c>
      <c r="W330" t="s">
        <v>6234</v>
      </c>
      <c r="X330" t="s">
        <v>4349</v>
      </c>
      <c r="Y330" t="s">
        <v>6235</v>
      </c>
      <c r="Z330" t="s">
        <v>6236</v>
      </c>
      <c r="AA330" t="s">
        <v>6237</v>
      </c>
      <c r="AB330" t="s">
        <v>6238</v>
      </c>
      <c r="AC330" t="s">
        <v>6239</v>
      </c>
      <c r="AD330" t="s">
        <v>6240</v>
      </c>
      <c r="AE330" t="s">
        <v>6241</v>
      </c>
      <c r="AF330" t="s">
        <v>74</v>
      </c>
      <c r="AG330">
        <v>66</v>
      </c>
      <c r="AH330">
        <v>38</v>
      </c>
      <c r="AI330">
        <v>40</v>
      </c>
      <c r="AJ330">
        <v>3</v>
      </c>
      <c r="AK330">
        <v>52</v>
      </c>
      <c r="AL330" t="s">
        <v>1441</v>
      </c>
      <c r="AM330" t="s">
        <v>91</v>
      </c>
      <c r="AN330" t="s">
        <v>1902</v>
      </c>
      <c r="AO330" t="s">
        <v>1903</v>
      </c>
      <c r="AP330" t="s">
        <v>1904</v>
      </c>
      <c r="AQ330" t="s">
        <v>74</v>
      </c>
      <c r="AR330" t="s">
        <v>1905</v>
      </c>
      <c r="AS330" t="s">
        <v>1906</v>
      </c>
      <c r="AT330" t="s">
        <v>3902</v>
      </c>
      <c r="AU330">
        <v>2011</v>
      </c>
      <c r="AV330">
        <v>34</v>
      </c>
      <c r="AW330">
        <v>7</v>
      </c>
      <c r="AX330" t="s">
        <v>74</v>
      </c>
      <c r="AY330" t="s">
        <v>74</v>
      </c>
      <c r="AZ330" t="s">
        <v>74</v>
      </c>
      <c r="BA330" t="s">
        <v>74</v>
      </c>
      <c r="BB330">
        <v>1019</v>
      </c>
      <c r="BC330">
        <v>1032</v>
      </c>
      <c r="BD330" t="s">
        <v>74</v>
      </c>
      <c r="BE330" t="s">
        <v>6242</v>
      </c>
      <c r="BF330" t="str">
        <f>HYPERLINK("http://dx.doi.org/10.1007/s00300-011-0961-x","http://dx.doi.org/10.1007/s00300-011-0961-x")</f>
        <v>http://dx.doi.org/10.1007/s00300-011-0961-x</v>
      </c>
      <c r="BG330" t="s">
        <v>74</v>
      </c>
      <c r="BH330" t="s">
        <v>74</v>
      </c>
      <c r="BI330">
        <v>14</v>
      </c>
      <c r="BJ330" t="s">
        <v>1908</v>
      </c>
      <c r="BK330" t="s">
        <v>100</v>
      </c>
      <c r="BL330" t="s">
        <v>1909</v>
      </c>
      <c r="BM330" t="s">
        <v>6226</v>
      </c>
      <c r="BN330" t="s">
        <v>74</v>
      </c>
      <c r="BO330" t="s">
        <v>1025</v>
      </c>
      <c r="BP330" t="s">
        <v>74</v>
      </c>
      <c r="BQ330" t="s">
        <v>74</v>
      </c>
      <c r="BR330" t="s">
        <v>103</v>
      </c>
      <c r="BS330" t="s">
        <v>6243</v>
      </c>
      <c r="BT330" t="str">
        <f>HYPERLINK("https%3A%2F%2Fwww.webofscience.com%2Fwos%2Fwoscc%2Ffull-record%2FWOS:000291046900007","View Full Record in Web of Science")</f>
        <v>View Full Record in Web of Science</v>
      </c>
    </row>
    <row r="331" spans="1:72" x14ac:dyDescent="0.15">
      <c r="A331" t="s">
        <v>72</v>
      </c>
      <c r="B331" t="s">
        <v>6244</v>
      </c>
      <c r="C331" t="s">
        <v>74</v>
      </c>
      <c r="D331" t="s">
        <v>74</v>
      </c>
      <c r="E331" t="s">
        <v>74</v>
      </c>
      <c r="F331" t="s">
        <v>6245</v>
      </c>
      <c r="G331" t="s">
        <v>74</v>
      </c>
      <c r="H331" t="s">
        <v>74</v>
      </c>
      <c r="I331" t="s">
        <v>6246</v>
      </c>
      <c r="J331" t="s">
        <v>1889</v>
      </c>
      <c r="K331" t="s">
        <v>74</v>
      </c>
      <c r="L331" t="s">
        <v>74</v>
      </c>
      <c r="M331" t="s">
        <v>78</v>
      </c>
      <c r="N331" t="s">
        <v>79</v>
      </c>
      <c r="O331" t="s">
        <v>74</v>
      </c>
      <c r="P331" t="s">
        <v>74</v>
      </c>
      <c r="Q331" t="s">
        <v>74</v>
      </c>
      <c r="R331" t="s">
        <v>74</v>
      </c>
      <c r="S331" t="s">
        <v>74</v>
      </c>
      <c r="T331" t="s">
        <v>6247</v>
      </c>
      <c r="U331" t="s">
        <v>6248</v>
      </c>
      <c r="V331" t="s">
        <v>6249</v>
      </c>
      <c r="W331" t="s">
        <v>6250</v>
      </c>
      <c r="X331" t="s">
        <v>6251</v>
      </c>
      <c r="Y331" t="s">
        <v>6252</v>
      </c>
      <c r="Z331" t="s">
        <v>6253</v>
      </c>
      <c r="AA331" t="s">
        <v>6254</v>
      </c>
      <c r="AB331" t="s">
        <v>6255</v>
      </c>
      <c r="AC331" t="s">
        <v>6256</v>
      </c>
      <c r="AD331" t="s">
        <v>6257</v>
      </c>
      <c r="AE331" t="s">
        <v>6258</v>
      </c>
      <c r="AF331" t="s">
        <v>74</v>
      </c>
      <c r="AG331">
        <v>48</v>
      </c>
      <c r="AH331">
        <v>33</v>
      </c>
      <c r="AI331">
        <v>35</v>
      </c>
      <c r="AJ331">
        <v>1</v>
      </c>
      <c r="AK331">
        <v>54</v>
      </c>
      <c r="AL331" t="s">
        <v>1441</v>
      </c>
      <c r="AM331" t="s">
        <v>91</v>
      </c>
      <c r="AN331" t="s">
        <v>1595</v>
      </c>
      <c r="AO331" t="s">
        <v>1903</v>
      </c>
      <c r="AP331" t="s">
        <v>1904</v>
      </c>
      <c r="AQ331" t="s">
        <v>74</v>
      </c>
      <c r="AR331" t="s">
        <v>1905</v>
      </c>
      <c r="AS331" t="s">
        <v>1906</v>
      </c>
      <c r="AT331" t="s">
        <v>3902</v>
      </c>
      <c r="AU331">
        <v>2011</v>
      </c>
      <c r="AV331">
        <v>34</v>
      </c>
      <c r="AW331">
        <v>7</v>
      </c>
      <c r="AX331" t="s">
        <v>74</v>
      </c>
      <c r="AY331" t="s">
        <v>74</v>
      </c>
      <c r="AZ331" t="s">
        <v>74</v>
      </c>
      <c r="BA331" t="s">
        <v>74</v>
      </c>
      <c r="BB331">
        <v>1045</v>
      </c>
      <c r="BC331">
        <v>1055</v>
      </c>
      <c r="BD331" t="s">
        <v>74</v>
      </c>
      <c r="BE331" t="s">
        <v>6259</v>
      </c>
      <c r="BF331" t="str">
        <f>HYPERLINK("http://dx.doi.org/10.1007/s00300-011-0964-7","http://dx.doi.org/10.1007/s00300-011-0964-7")</f>
        <v>http://dx.doi.org/10.1007/s00300-011-0964-7</v>
      </c>
      <c r="BG331" t="s">
        <v>74</v>
      </c>
      <c r="BH331" t="s">
        <v>74</v>
      </c>
      <c r="BI331">
        <v>11</v>
      </c>
      <c r="BJ331" t="s">
        <v>1908</v>
      </c>
      <c r="BK331" t="s">
        <v>100</v>
      </c>
      <c r="BL331" t="s">
        <v>1909</v>
      </c>
      <c r="BM331" t="s">
        <v>6226</v>
      </c>
      <c r="BN331" t="s">
        <v>74</v>
      </c>
      <c r="BO331" t="s">
        <v>74</v>
      </c>
      <c r="BP331" t="s">
        <v>74</v>
      </c>
      <c r="BQ331" t="s">
        <v>74</v>
      </c>
      <c r="BR331" t="s">
        <v>103</v>
      </c>
      <c r="BS331" t="s">
        <v>6260</v>
      </c>
      <c r="BT331" t="str">
        <f>HYPERLINK("https%3A%2F%2Fwww.webofscience.com%2Fwos%2Fwoscc%2Ffull-record%2FWOS:000291046900009","View Full Record in Web of Science")</f>
        <v>View Full Record in Web of Science</v>
      </c>
    </row>
    <row r="332" spans="1:72" x14ac:dyDescent="0.15">
      <c r="A332" t="s">
        <v>72</v>
      </c>
      <c r="B332" t="s">
        <v>6261</v>
      </c>
      <c r="C332" t="s">
        <v>74</v>
      </c>
      <c r="D332" t="s">
        <v>74</v>
      </c>
      <c r="E332" t="s">
        <v>74</v>
      </c>
      <c r="F332" t="s">
        <v>6262</v>
      </c>
      <c r="G332" t="s">
        <v>74</v>
      </c>
      <c r="H332" t="s">
        <v>74</v>
      </c>
      <c r="I332" t="s">
        <v>6263</v>
      </c>
      <c r="J332" t="s">
        <v>1889</v>
      </c>
      <c r="K332" t="s">
        <v>74</v>
      </c>
      <c r="L332" t="s">
        <v>74</v>
      </c>
      <c r="M332" t="s">
        <v>78</v>
      </c>
      <c r="N332" t="s">
        <v>79</v>
      </c>
      <c r="O332" t="s">
        <v>74</v>
      </c>
      <c r="P332" t="s">
        <v>74</v>
      </c>
      <c r="Q332" t="s">
        <v>74</v>
      </c>
      <c r="R332" t="s">
        <v>74</v>
      </c>
      <c r="S332" t="s">
        <v>74</v>
      </c>
      <c r="T332" t="s">
        <v>6264</v>
      </c>
      <c r="U332" t="s">
        <v>6265</v>
      </c>
      <c r="V332" t="s">
        <v>6266</v>
      </c>
      <c r="W332" t="s">
        <v>6267</v>
      </c>
      <c r="X332" t="s">
        <v>6268</v>
      </c>
      <c r="Y332" t="s">
        <v>6269</v>
      </c>
      <c r="Z332" t="s">
        <v>6270</v>
      </c>
      <c r="AA332" t="s">
        <v>6271</v>
      </c>
      <c r="AB332" t="s">
        <v>74</v>
      </c>
      <c r="AC332" t="s">
        <v>6272</v>
      </c>
      <c r="AD332" t="s">
        <v>6272</v>
      </c>
      <c r="AE332" t="s">
        <v>6273</v>
      </c>
      <c r="AF332" t="s">
        <v>74</v>
      </c>
      <c r="AG332">
        <v>26</v>
      </c>
      <c r="AH332">
        <v>8</v>
      </c>
      <c r="AI332">
        <v>8</v>
      </c>
      <c r="AJ332">
        <v>0</v>
      </c>
      <c r="AK332">
        <v>22</v>
      </c>
      <c r="AL332" t="s">
        <v>1441</v>
      </c>
      <c r="AM332" t="s">
        <v>91</v>
      </c>
      <c r="AN332" t="s">
        <v>1902</v>
      </c>
      <c r="AO332" t="s">
        <v>1903</v>
      </c>
      <c r="AP332" t="s">
        <v>1904</v>
      </c>
      <c r="AQ332" t="s">
        <v>74</v>
      </c>
      <c r="AR332" t="s">
        <v>1905</v>
      </c>
      <c r="AS332" t="s">
        <v>1906</v>
      </c>
      <c r="AT332" t="s">
        <v>3902</v>
      </c>
      <c r="AU332">
        <v>2011</v>
      </c>
      <c r="AV332">
        <v>34</v>
      </c>
      <c r="AW332">
        <v>7</v>
      </c>
      <c r="AX332" t="s">
        <v>74</v>
      </c>
      <c r="AY332" t="s">
        <v>74</v>
      </c>
      <c r="AZ332" t="s">
        <v>74</v>
      </c>
      <c r="BA332" t="s">
        <v>74</v>
      </c>
      <c r="BB332">
        <v>1097</v>
      </c>
      <c r="BC332">
        <v>1103</v>
      </c>
      <c r="BD332" t="s">
        <v>74</v>
      </c>
      <c r="BE332" t="s">
        <v>6274</v>
      </c>
      <c r="BF332" t="str">
        <f>HYPERLINK("http://dx.doi.org/10.1007/s00300-011-0965-6","http://dx.doi.org/10.1007/s00300-011-0965-6")</f>
        <v>http://dx.doi.org/10.1007/s00300-011-0965-6</v>
      </c>
      <c r="BG332" t="s">
        <v>74</v>
      </c>
      <c r="BH332" t="s">
        <v>74</v>
      </c>
      <c r="BI332">
        <v>7</v>
      </c>
      <c r="BJ332" t="s">
        <v>1908</v>
      </c>
      <c r="BK332" t="s">
        <v>100</v>
      </c>
      <c r="BL332" t="s">
        <v>1909</v>
      </c>
      <c r="BM332" t="s">
        <v>6226</v>
      </c>
      <c r="BN332" t="s">
        <v>74</v>
      </c>
      <c r="BO332" t="s">
        <v>74</v>
      </c>
      <c r="BP332" t="s">
        <v>74</v>
      </c>
      <c r="BQ332" t="s">
        <v>74</v>
      </c>
      <c r="BR332" t="s">
        <v>103</v>
      </c>
      <c r="BS332" t="s">
        <v>6275</v>
      </c>
      <c r="BT332" t="str">
        <f>HYPERLINK("https%3A%2F%2Fwww.webofscience.com%2Fwos%2Fwoscc%2Ffull-record%2FWOS:000291046900014","View Full Record in Web of Science")</f>
        <v>View Full Record in Web of Science</v>
      </c>
    </row>
    <row r="333" spans="1:72" x14ac:dyDescent="0.15">
      <c r="A333" t="s">
        <v>72</v>
      </c>
      <c r="B333" t="s">
        <v>6276</v>
      </c>
      <c r="C333" t="s">
        <v>74</v>
      </c>
      <c r="D333" t="s">
        <v>74</v>
      </c>
      <c r="E333" t="s">
        <v>74</v>
      </c>
      <c r="F333" t="s">
        <v>6277</v>
      </c>
      <c r="G333" t="s">
        <v>74</v>
      </c>
      <c r="H333" t="s">
        <v>74</v>
      </c>
      <c r="I333" t="s">
        <v>6278</v>
      </c>
      <c r="J333" t="s">
        <v>6279</v>
      </c>
      <c r="K333" t="s">
        <v>74</v>
      </c>
      <c r="L333" t="s">
        <v>74</v>
      </c>
      <c r="M333" t="s">
        <v>78</v>
      </c>
      <c r="N333" t="s">
        <v>79</v>
      </c>
      <c r="O333" t="s">
        <v>74</v>
      </c>
      <c r="P333" t="s">
        <v>74</v>
      </c>
      <c r="Q333" t="s">
        <v>74</v>
      </c>
      <c r="R333" t="s">
        <v>74</v>
      </c>
      <c r="S333" t="s">
        <v>74</v>
      </c>
      <c r="T333" t="s">
        <v>6280</v>
      </c>
      <c r="U333" t="s">
        <v>6281</v>
      </c>
      <c r="V333" t="s">
        <v>6282</v>
      </c>
      <c r="W333" t="s">
        <v>6283</v>
      </c>
      <c r="X333" t="s">
        <v>6284</v>
      </c>
      <c r="Y333" t="s">
        <v>6285</v>
      </c>
      <c r="Z333" t="s">
        <v>6286</v>
      </c>
      <c r="AA333" t="s">
        <v>6287</v>
      </c>
      <c r="AB333" t="s">
        <v>6288</v>
      </c>
      <c r="AC333" t="s">
        <v>6289</v>
      </c>
      <c r="AD333" t="s">
        <v>6290</v>
      </c>
      <c r="AE333" t="s">
        <v>6291</v>
      </c>
      <c r="AF333" t="s">
        <v>74</v>
      </c>
      <c r="AG333">
        <v>80</v>
      </c>
      <c r="AH333">
        <v>77</v>
      </c>
      <c r="AI333">
        <v>94</v>
      </c>
      <c r="AJ333">
        <v>5</v>
      </c>
      <c r="AK333">
        <v>104</v>
      </c>
      <c r="AL333" t="s">
        <v>4399</v>
      </c>
      <c r="AM333" t="s">
        <v>4400</v>
      </c>
      <c r="AN333" t="s">
        <v>4401</v>
      </c>
      <c r="AO333" t="s">
        <v>6292</v>
      </c>
      <c r="AP333" t="s">
        <v>6293</v>
      </c>
      <c r="AQ333" t="s">
        <v>74</v>
      </c>
      <c r="AR333" t="s">
        <v>6294</v>
      </c>
      <c r="AS333" t="s">
        <v>6295</v>
      </c>
      <c r="AT333" t="s">
        <v>3902</v>
      </c>
      <c r="AU333">
        <v>2011</v>
      </c>
      <c r="AV333">
        <v>19</v>
      </c>
      <c r="AW333">
        <v>3</v>
      </c>
      <c r="AX333" t="s">
        <v>74</v>
      </c>
      <c r="AY333" t="s">
        <v>74</v>
      </c>
      <c r="AZ333" t="s">
        <v>74</v>
      </c>
      <c r="BA333" t="s">
        <v>74</v>
      </c>
      <c r="BB333">
        <v>175</v>
      </c>
      <c r="BC333">
        <v>184</v>
      </c>
      <c r="BD333" t="s">
        <v>74</v>
      </c>
      <c r="BE333" t="s">
        <v>6296</v>
      </c>
      <c r="BF333" t="str">
        <f>HYPERLINK("http://dx.doi.org/10.1016/j.jnc.2010.12.001","http://dx.doi.org/10.1016/j.jnc.2010.12.001")</f>
        <v>http://dx.doi.org/10.1016/j.jnc.2010.12.001</v>
      </c>
      <c r="BG333" t="s">
        <v>74</v>
      </c>
      <c r="BH333" t="s">
        <v>74</v>
      </c>
      <c r="BI333">
        <v>10</v>
      </c>
      <c r="BJ333" t="s">
        <v>1908</v>
      </c>
      <c r="BK333" t="s">
        <v>867</v>
      </c>
      <c r="BL333" t="s">
        <v>1909</v>
      </c>
      <c r="BM333" t="s">
        <v>6297</v>
      </c>
      <c r="BN333" t="s">
        <v>74</v>
      </c>
      <c r="BO333" t="s">
        <v>74</v>
      </c>
      <c r="BP333" t="s">
        <v>74</v>
      </c>
      <c r="BQ333" t="s">
        <v>74</v>
      </c>
      <c r="BR333" t="s">
        <v>103</v>
      </c>
      <c r="BS333" t="s">
        <v>6298</v>
      </c>
      <c r="BT333" t="str">
        <f>HYPERLINK("https%3A%2F%2Fwww.webofscience.com%2Fwos%2Fwoscc%2Ffull-record%2FWOS:000290298900008","View Full Record in Web of Science")</f>
        <v>View Full Record in Web of Science</v>
      </c>
    </row>
    <row r="334" spans="1:72" x14ac:dyDescent="0.15">
      <c r="A334" t="s">
        <v>72</v>
      </c>
      <c r="B334" t="s">
        <v>6299</v>
      </c>
      <c r="C334" t="s">
        <v>74</v>
      </c>
      <c r="D334" t="s">
        <v>74</v>
      </c>
      <c r="E334" t="s">
        <v>74</v>
      </c>
      <c r="F334" t="s">
        <v>6300</v>
      </c>
      <c r="G334" t="s">
        <v>74</v>
      </c>
      <c r="H334" t="s">
        <v>74</v>
      </c>
      <c r="I334" t="s">
        <v>6301</v>
      </c>
      <c r="J334" t="s">
        <v>6302</v>
      </c>
      <c r="K334" t="s">
        <v>74</v>
      </c>
      <c r="L334" t="s">
        <v>74</v>
      </c>
      <c r="M334" t="s">
        <v>78</v>
      </c>
      <c r="N334" t="s">
        <v>79</v>
      </c>
      <c r="O334" t="s">
        <v>74</v>
      </c>
      <c r="P334" t="s">
        <v>74</v>
      </c>
      <c r="Q334" t="s">
        <v>74</v>
      </c>
      <c r="R334" t="s">
        <v>74</v>
      </c>
      <c r="S334" t="s">
        <v>74</v>
      </c>
      <c r="T334" t="s">
        <v>6303</v>
      </c>
      <c r="U334" t="s">
        <v>6304</v>
      </c>
      <c r="V334" t="s">
        <v>6305</v>
      </c>
      <c r="W334" t="s">
        <v>6306</v>
      </c>
      <c r="X334" t="s">
        <v>6307</v>
      </c>
      <c r="Y334" t="s">
        <v>1937</v>
      </c>
      <c r="Z334" t="s">
        <v>6308</v>
      </c>
      <c r="AA334" t="s">
        <v>1939</v>
      </c>
      <c r="AB334" t="s">
        <v>6309</v>
      </c>
      <c r="AC334" t="s">
        <v>6310</v>
      </c>
      <c r="AD334" t="s">
        <v>6311</v>
      </c>
      <c r="AE334" t="s">
        <v>6312</v>
      </c>
      <c r="AF334" t="s">
        <v>74</v>
      </c>
      <c r="AG334">
        <v>22</v>
      </c>
      <c r="AH334">
        <v>2</v>
      </c>
      <c r="AI334">
        <v>2</v>
      </c>
      <c r="AJ334">
        <v>1</v>
      </c>
      <c r="AK334">
        <v>8</v>
      </c>
      <c r="AL334" t="s">
        <v>6313</v>
      </c>
      <c r="AM334" t="s">
        <v>6314</v>
      </c>
      <c r="AN334" t="s">
        <v>6315</v>
      </c>
      <c r="AO334" t="s">
        <v>6316</v>
      </c>
      <c r="AP334" t="s">
        <v>6317</v>
      </c>
      <c r="AQ334" t="s">
        <v>74</v>
      </c>
      <c r="AR334" t="s">
        <v>6302</v>
      </c>
      <c r="AS334" t="s">
        <v>6318</v>
      </c>
      <c r="AT334" t="s">
        <v>6319</v>
      </c>
      <c r="AU334">
        <v>2011</v>
      </c>
      <c r="AV334">
        <v>35</v>
      </c>
      <c r="AW334">
        <v>2</v>
      </c>
      <c r="AX334" t="s">
        <v>74</v>
      </c>
      <c r="AY334" t="s">
        <v>74</v>
      </c>
      <c r="AZ334" t="s">
        <v>74</v>
      </c>
      <c r="BA334" t="s">
        <v>74</v>
      </c>
      <c r="BB334">
        <v>111</v>
      </c>
      <c r="BC334">
        <v>119</v>
      </c>
      <c r="BD334" t="s">
        <v>74</v>
      </c>
      <c r="BE334" t="s">
        <v>74</v>
      </c>
      <c r="BF334" t="s">
        <v>74</v>
      </c>
      <c r="BG334" t="s">
        <v>74</v>
      </c>
      <c r="BH334" t="s">
        <v>74</v>
      </c>
      <c r="BI334">
        <v>9</v>
      </c>
      <c r="BJ334" t="s">
        <v>3232</v>
      </c>
      <c r="BK334" t="s">
        <v>100</v>
      </c>
      <c r="BL334" t="s">
        <v>3232</v>
      </c>
      <c r="BM334" t="s">
        <v>6320</v>
      </c>
      <c r="BN334" t="s">
        <v>74</v>
      </c>
      <c r="BO334" t="s">
        <v>74</v>
      </c>
      <c r="BP334" t="s">
        <v>74</v>
      </c>
      <c r="BQ334" t="s">
        <v>74</v>
      </c>
      <c r="BR334" t="s">
        <v>103</v>
      </c>
      <c r="BS334" t="s">
        <v>6321</v>
      </c>
      <c r="BT334" t="str">
        <f>HYPERLINK("https%3A%2F%2Fwww.webofscience.com%2Fwos%2Fwoscc%2Ffull-record%2FWOS:000296266200005","View Full Record in Web of Science")</f>
        <v>View Full Record in Web of Science</v>
      </c>
    </row>
    <row r="335" spans="1:72" x14ac:dyDescent="0.15">
      <c r="A335" t="s">
        <v>72</v>
      </c>
      <c r="B335" t="s">
        <v>6322</v>
      </c>
      <c r="C335" t="s">
        <v>74</v>
      </c>
      <c r="D335" t="s">
        <v>74</v>
      </c>
      <c r="E335" t="s">
        <v>74</v>
      </c>
      <c r="F335" t="s">
        <v>6323</v>
      </c>
      <c r="G335" t="s">
        <v>74</v>
      </c>
      <c r="H335" t="s">
        <v>74</v>
      </c>
      <c r="I335" t="s">
        <v>6324</v>
      </c>
      <c r="J335" t="s">
        <v>373</v>
      </c>
      <c r="K335" t="s">
        <v>74</v>
      </c>
      <c r="L335" t="s">
        <v>74</v>
      </c>
      <c r="M335" t="s">
        <v>78</v>
      </c>
      <c r="N335" t="s">
        <v>79</v>
      </c>
      <c r="O335" t="s">
        <v>74</v>
      </c>
      <c r="P335" t="s">
        <v>74</v>
      </c>
      <c r="Q335" t="s">
        <v>74</v>
      </c>
      <c r="R335" t="s">
        <v>74</v>
      </c>
      <c r="S335" t="s">
        <v>74</v>
      </c>
      <c r="T335" t="s">
        <v>74</v>
      </c>
      <c r="U335" t="s">
        <v>6325</v>
      </c>
      <c r="V335" t="s">
        <v>6326</v>
      </c>
      <c r="W335" t="s">
        <v>6327</v>
      </c>
      <c r="X335" t="s">
        <v>6328</v>
      </c>
      <c r="Y335" t="s">
        <v>6329</v>
      </c>
      <c r="Z335" t="s">
        <v>6330</v>
      </c>
      <c r="AA335" t="s">
        <v>74</v>
      </c>
      <c r="AB335" t="s">
        <v>6331</v>
      </c>
      <c r="AC335" t="s">
        <v>6332</v>
      </c>
      <c r="AD335" t="s">
        <v>6333</v>
      </c>
      <c r="AE335" t="s">
        <v>6334</v>
      </c>
      <c r="AF335" t="s">
        <v>74</v>
      </c>
      <c r="AG335">
        <v>39</v>
      </c>
      <c r="AH335">
        <v>19</v>
      </c>
      <c r="AI335">
        <v>24</v>
      </c>
      <c r="AJ335">
        <v>0</v>
      </c>
      <c r="AK335">
        <v>5</v>
      </c>
      <c r="AL335" t="s">
        <v>120</v>
      </c>
      <c r="AM335" t="s">
        <v>121</v>
      </c>
      <c r="AN335" t="s">
        <v>122</v>
      </c>
      <c r="AO335" t="s">
        <v>385</v>
      </c>
      <c r="AP335" t="s">
        <v>386</v>
      </c>
      <c r="AQ335" t="s">
        <v>74</v>
      </c>
      <c r="AR335" t="s">
        <v>387</v>
      </c>
      <c r="AS335" t="s">
        <v>388</v>
      </c>
      <c r="AT335" t="s">
        <v>6319</v>
      </c>
      <c r="AU335">
        <v>2011</v>
      </c>
      <c r="AV335">
        <v>116</v>
      </c>
      <c r="AW335" t="s">
        <v>74</v>
      </c>
      <c r="AX335" t="s">
        <v>74</v>
      </c>
      <c r="AY335" t="s">
        <v>74</v>
      </c>
      <c r="AZ335" t="s">
        <v>74</v>
      </c>
      <c r="BA335" t="s">
        <v>74</v>
      </c>
      <c r="BB335" t="s">
        <v>74</v>
      </c>
      <c r="BC335" t="s">
        <v>74</v>
      </c>
      <c r="BD335" t="s">
        <v>6335</v>
      </c>
      <c r="BE335" t="s">
        <v>6336</v>
      </c>
      <c r="BF335" t="str">
        <f>HYPERLINK("http://dx.doi.org/10.1029/2011JA016485","http://dx.doi.org/10.1029/2011JA016485")</f>
        <v>http://dx.doi.org/10.1029/2011JA016485</v>
      </c>
      <c r="BG335" t="s">
        <v>74</v>
      </c>
      <c r="BH335" t="s">
        <v>74</v>
      </c>
      <c r="BI335">
        <v>14</v>
      </c>
      <c r="BJ335" t="s">
        <v>391</v>
      </c>
      <c r="BK335" t="s">
        <v>100</v>
      </c>
      <c r="BL335" t="s">
        <v>391</v>
      </c>
      <c r="BM335" t="s">
        <v>6337</v>
      </c>
      <c r="BN335" t="s">
        <v>74</v>
      </c>
      <c r="BO335" t="s">
        <v>393</v>
      </c>
      <c r="BP335" t="s">
        <v>74</v>
      </c>
      <c r="BQ335" t="s">
        <v>74</v>
      </c>
      <c r="BR335" t="s">
        <v>103</v>
      </c>
      <c r="BS335" t="s">
        <v>6338</v>
      </c>
      <c r="BT335" t="str">
        <f>HYPERLINK("https%3A%2F%2Fwww.webofscience.com%2Fwos%2Fwoscc%2Ffull-record%2FWOS:000292395000004","View Full Record in Web of Science")</f>
        <v>View Full Record in Web of Science</v>
      </c>
    </row>
    <row r="336" spans="1:72" x14ac:dyDescent="0.15">
      <c r="A336" t="s">
        <v>72</v>
      </c>
      <c r="B336" t="s">
        <v>6339</v>
      </c>
      <c r="C336" t="s">
        <v>74</v>
      </c>
      <c r="D336" t="s">
        <v>74</v>
      </c>
      <c r="E336" t="s">
        <v>74</v>
      </c>
      <c r="F336" t="s">
        <v>6340</v>
      </c>
      <c r="G336" t="s">
        <v>74</v>
      </c>
      <c r="H336" t="s">
        <v>74</v>
      </c>
      <c r="I336" t="s">
        <v>6341</v>
      </c>
      <c r="J336" t="s">
        <v>6342</v>
      </c>
      <c r="K336" t="s">
        <v>74</v>
      </c>
      <c r="L336" t="s">
        <v>74</v>
      </c>
      <c r="M336" t="s">
        <v>78</v>
      </c>
      <c r="N336" t="s">
        <v>278</v>
      </c>
      <c r="O336" t="s">
        <v>74</v>
      </c>
      <c r="P336" t="s">
        <v>74</v>
      </c>
      <c r="Q336" t="s">
        <v>74</v>
      </c>
      <c r="R336" t="s">
        <v>74</v>
      </c>
      <c r="S336" t="s">
        <v>74</v>
      </c>
      <c r="T336" t="s">
        <v>6343</v>
      </c>
      <c r="U336" t="s">
        <v>6344</v>
      </c>
      <c r="V336" t="s">
        <v>6345</v>
      </c>
      <c r="W336" t="s">
        <v>6346</v>
      </c>
      <c r="X336" t="s">
        <v>6347</v>
      </c>
      <c r="Y336" t="s">
        <v>6348</v>
      </c>
      <c r="Z336" t="s">
        <v>6349</v>
      </c>
      <c r="AA336" t="s">
        <v>6350</v>
      </c>
      <c r="AB336" t="s">
        <v>6351</v>
      </c>
      <c r="AC336" t="s">
        <v>6352</v>
      </c>
      <c r="AD336" t="s">
        <v>6353</v>
      </c>
      <c r="AE336" t="s">
        <v>6354</v>
      </c>
      <c r="AF336" t="s">
        <v>74</v>
      </c>
      <c r="AG336">
        <v>95</v>
      </c>
      <c r="AH336">
        <v>33</v>
      </c>
      <c r="AI336">
        <v>34</v>
      </c>
      <c r="AJ336">
        <v>0</v>
      </c>
      <c r="AK336">
        <v>17</v>
      </c>
      <c r="AL336" t="s">
        <v>1851</v>
      </c>
      <c r="AM336" t="s">
        <v>1852</v>
      </c>
      <c r="AN336" t="s">
        <v>1853</v>
      </c>
      <c r="AO336" t="s">
        <v>6355</v>
      </c>
      <c r="AP336" t="s">
        <v>6356</v>
      </c>
      <c r="AQ336" t="s">
        <v>74</v>
      </c>
      <c r="AR336" t="s">
        <v>6357</v>
      </c>
      <c r="AS336" t="s">
        <v>6358</v>
      </c>
      <c r="AT336" t="s">
        <v>6319</v>
      </c>
      <c r="AU336">
        <v>2011</v>
      </c>
      <c r="AV336">
        <v>25</v>
      </c>
      <c r="AW336">
        <v>1</v>
      </c>
      <c r="AX336" t="s">
        <v>74</v>
      </c>
      <c r="AY336" t="s">
        <v>74</v>
      </c>
      <c r="AZ336" t="s">
        <v>74</v>
      </c>
      <c r="BA336" t="s">
        <v>74</v>
      </c>
      <c r="BB336">
        <v>1</v>
      </c>
      <c r="BC336">
        <v>10</v>
      </c>
      <c r="BD336" t="s">
        <v>74</v>
      </c>
      <c r="BE336" t="s">
        <v>6359</v>
      </c>
      <c r="BF336" t="str">
        <f>HYPERLINK("http://dx.doi.org/10.1016/j.niox.2011.05.001","http://dx.doi.org/10.1016/j.niox.2011.05.001")</f>
        <v>http://dx.doi.org/10.1016/j.niox.2011.05.001</v>
      </c>
      <c r="BG336" t="s">
        <v>74</v>
      </c>
      <c r="BH336" t="s">
        <v>74</v>
      </c>
      <c r="BI336">
        <v>10</v>
      </c>
      <c r="BJ336" t="s">
        <v>4384</v>
      </c>
      <c r="BK336" t="s">
        <v>100</v>
      </c>
      <c r="BL336" t="s">
        <v>4384</v>
      </c>
      <c r="BM336" t="s">
        <v>6360</v>
      </c>
      <c r="BN336">
        <v>21575737</v>
      </c>
      <c r="BO336" t="s">
        <v>74</v>
      </c>
      <c r="BP336" t="s">
        <v>74</v>
      </c>
      <c r="BQ336" t="s">
        <v>74</v>
      </c>
      <c r="BR336" t="s">
        <v>103</v>
      </c>
      <c r="BS336" t="s">
        <v>6361</v>
      </c>
      <c r="BT336" t="str">
        <f>HYPERLINK("https%3A%2F%2Fwww.webofscience.com%2Fwos%2Fwoscc%2Ffull-record%2FWOS:000292411900001","View Full Record in Web of Science")</f>
        <v>View Full Record in Web of Science</v>
      </c>
    </row>
    <row r="337" spans="1:72" x14ac:dyDescent="0.15">
      <c r="A337" t="s">
        <v>72</v>
      </c>
      <c r="B337" t="s">
        <v>6362</v>
      </c>
      <c r="C337" t="s">
        <v>74</v>
      </c>
      <c r="D337" t="s">
        <v>74</v>
      </c>
      <c r="E337" t="s">
        <v>74</v>
      </c>
      <c r="F337" t="s">
        <v>6363</v>
      </c>
      <c r="G337" t="s">
        <v>74</v>
      </c>
      <c r="H337" t="s">
        <v>74</v>
      </c>
      <c r="I337" t="s">
        <v>6364</v>
      </c>
      <c r="J337" t="s">
        <v>230</v>
      </c>
      <c r="K337" t="s">
        <v>74</v>
      </c>
      <c r="L337" t="s">
        <v>74</v>
      </c>
      <c r="M337" t="s">
        <v>78</v>
      </c>
      <c r="N337" t="s">
        <v>79</v>
      </c>
      <c r="O337" t="s">
        <v>74</v>
      </c>
      <c r="P337" t="s">
        <v>74</v>
      </c>
      <c r="Q337" t="s">
        <v>74</v>
      </c>
      <c r="R337" t="s">
        <v>74</v>
      </c>
      <c r="S337" t="s">
        <v>74</v>
      </c>
      <c r="T337" t="s">
        <v>74</v>
      </c>
      <c r="U337" t="s">
        <v>6365</v>
      </c>
      <c r="V337" t="s">
        <v>6366</v>
      </c>
      <c r="W337" t="s">
        <v>6367</v>
      </c>
      <c r="X337" t="s">
        <v>6368</v>
      </c>
      <c r="Y337" t="s">
        <v>6369</v>
      </c>
      <c r="Z337" t="s">
        <v>6370</v>
      </c>
      <c r="AA337" t="s">
        <v>6371</v>
      </c>
      <c r="AB337" t="s">
        <v>74</v>
      </c>
      <c r="AC337" t="s">
        <v>6372</v>
      </c>
      <c r="AD337" t="s">
        <v>6373</v>
      </c>
      <c r="AE337" t="s">
        <v>6374</v>
      </c>
      <c r="AF337" t="s">
        <v>74</v>
      </c>
      <c r="AG337">
        <v>48</v>
      </c>
      <c r="AH337">
        <v>46</v>
      </c>
      <c r="AI337">
        <v>50</v>
      </c>
      <c r="AJ337">
        <v>1</v>
      </c>
      <c r="AK337">
        <v>67</v>
      </c>
      <c r="AL337" t="s">
        <v>120</v>
      </c>
      <c r="AM337" t="s">
        <v>121</v>
      </c>
      <c r="AN337" t="s">
        <v>122</v>
      </c>
      <c r="AO337" t="s">
        <v>242</v>
      </c>
      <c r="AP337" t="s">
        <v>243</v>
      </c>
      <c r="AQ337" t="s">
        <v>74</v>
      </c>
      <c r="AR337" t="s">
        <v>244</v>
      </c>
      <c r="AS337" t="s">
        <v>245</v>
      </c>
      <c r="AT337" t="s">
        <v>6319</v>
      </c>
      <c r="AU337">
        <v>2011</v>
      </c>
      <c r="AV337">
        <v>116</v>
      </c>
      <c r="AW337" t="s">
        <v>74</v>
      </c>
      <c r="AX337" t="s">
        <v>74</v>
      </c>
      <c r="AY337" t="s">
        <v>74</v>
      </c>
      <c r="AZ337" t="s">
        <v>74</v>
      </c>
      <c r="BA337" t="s">
        <v>74</v>
      </c>
      <c r="BB337" t="s">
        <v>74</v>
      </c>
      <c r="BC337" t="s">
        <v>74</v>
      </c>
      <c r="BD337" t="s">
        <v>6375</v>
      </c>
      <c r="BE337" t="s">
        <v>6376</v>
      </c>
      <c r="BF337" t="str">
        <f>HYPERLINK("http://dx.doi.org/10.1029/2010JD015191","http://dx.doi.org/10.1029/2010JD015191")</f>
        <v>http://dx.doi.org/10.1029/2010JD015191</v>
      </c>
      <c r="BG337" t="s">
        <v>74</v>
      </c>
      <c r="BH337" t="s">
        <v>74</v>
      </c>
      <c r="BI337">
        <v>14</v>
      </c>
      <c r="BJ337" t="s">
        <v>248</v>
      </c>
      <c r="BK337" t="s">
        <v>100</v>
      </c>
      <c r="BL337" t="s">
        <v>248</v>
      </c>
      <c r="BM337" t="s">
        <v>6377</v>
      </c>
      <c r="BN337" t="s">
        <v>74</v>
      </c>
      <c r="BO337" t="s">
        <v>152</v>
      </c>
      <c r="BP337" t="s">
        <v>74</v>
      </c>
      <c r="BQ337" t="s">
        <v>74</v>
      </c>
      <c r="BR337" t="s">
        <v>103</v>
      </c>
      <c r="BS337" t="s">
        <v>6378</v>
      </c>
      <c r="BT337" t="str">
        <f>HYPERLINK("https%3A%2F%2Fwww.webofscience.com%2Fwos%2Fwoscc%2Ffull-record%2FWOS:000292380700001","View Full Record in Web of Science")</f>
        <v>View Full Record in Web of Science</v>
      </c>
    </row>
    <row r="338" spans="1:72" x14ac:dyDescent="0.15">
      <c r="A338" t="s">
        <v>72</v>
      </c>
      <c r="B338" t="s">
        <v>6379</v>
      </c>
      <c r="C338" t="s">
        <v>74</v>
      </c>
      <c r="D338" t="s">
        <v>74</v>
      </c>
      <c r="E338" t="s">
        <v>74</v>
      </c>
      <c r="F338" t="s">
        <v>6380</v>
      </c>
      <c r="G338" t="s">
        <v>74</v>
      </c>
      <c r="H338" t="s">
        <v>74</v>
      </c>
      <c r="I338" t="s">
        <v>6381</v>
      </c>
      <c r="J338" t="s">
        <v>349</v>
      </c>
      <c r="K338" t="s">
        <v>74</v>
      </c>
      <c r="L338" t="s">
        <v>74</v>
      </c>
      <c r="M338" t="s">
        <v>78</v>
      </c>
      <c r="N338" t="s">
        <v>79</v>
      </c>
      <c r="O338" t="s">
        <v>74</v>
      </c>
      <c r="P338" t="s">
        <v>74</v>
      </c>
      <c r="Q338" t="s">
        <v>74</v>
      </c>
      <c r="R338" t="s">
        <v>74</v>
      </c>
      <c r="S338" t="s">
        <v>74</v>
      </c>
      <c r="T338" t="s">
        <v>74</v>
      </c>
      <c r="U338" t="s">
        <v>6382</v>
      </c>
      <c r="V338" t="s">
        <v>6383</v>
      </c>
      <c r="W338" t="s">
        <v>6384</v>
      </c>
      <c r="X338" t="s">
        <v>2015</v>
      </c>
      <c r="Y338" t="s">
        <v>6385</v>
      </c>
      <c r="Z338" t="s">
        <v>6386</v>
      </c>
      <c r="AA338" t="s">
        <v>6387</v>
      </c>
      <c r="AB338" t="s">
        <v>6388</v>
      </c>
      <c r="AC338" t="s">
        <v>6389</v>
      </c>
      <c r="AD338" t="s">
        <v>6390</v>
      </c>
      <c r="AE338" t="s">
        <v>6391</v>
      </c>
      <c r="AF338" t="s">
        <v>74</v>
      </c>
      <c r="AG338">
        <v>53</v>
      </c>
      <c r="AH338">
        <v>12</v>
      </c>
      <c r="AI338">
        <v>12</v>
      </c>
      <c r="AJ338">
        <v>2</v>
      </c>
      <c r="AK338">
        <v>14</v>
      </c>
      <c r="AL338" t="s">
        <v>120</v>
      </c>
      <c r="AM338" t="s">
        <v>121</v>
      </c>
      <c r="AN338" t="s">
        <v>122</v>
      </c>
      <c r="AO338" t="s">
        <v>361</v>
      </c>
      <c r="AP338" t="s">
        <v>362</v>
      </c>
      <c r="AQ338" t="s">
        <v>74</v>
      </c>
      <c r="AR338" t="s">
        <v>363</v>
      </c>
      <c r="AS338" t="s">
        <v>364</v>
      </c>
      <c r="AT338" t="s">
        <v>6319</v>
      </c>
      <c r="AU338">
        <v>2011</v>
      </c>
      <c r="AV338">
        <v>116</v>
      </c>
      <c r="AW338" t="s">
        <v>74</v>
      </c>
      <c r="AX338" t="s">
        <v>74</v>
      </c>
      <c r="AY338" t="s">
        <v>74</v>
      </c>
      <c r="AZ338" t="s">
        <v>74</v>
      </c>
      <c r="BA338" t="s">
        <v>74</v>
      </c>
      <c r="BB338" t="s">
        <v>74</v>
      </c>
      <c r="BC338" t="s">
        <v>74</v>
      </c>
      <c r="BD338" t="s">
        <v>6392</v>
      </c>
      <c r="BE338" t="s">
        <v>6393</v>
      </c>
      <c r="BF338" t="str">
        <f>HYPERLINK("http://dx.doi.org/10.1029/2009JF001611","http://dx.doi.org/10.1029/2009JF001611")</f>
        <v>http://dx.doi.org/10.1029/2009JF001611</v>
      </c>
      <c r="BG338" t="s">
        <v>74</v>
      </c>
      <c r="BH338" t="s">
        <v>74</v>
      </c>
      <c r="BI338">
        <v>15</v>
      </c>
      <c r="BJ338" t="s">
        <v>130</v>
      </c>
      <c r="BK338" t="s">
        <v>100</v>
      </c>
      <c r="BL338" t="s">
        <v>131</v>
      </c>
      <c r="BM338" t="s">
        <v>6394</v>
      </c>
      <c r="BN338" t="s">
        <v>74</v>
      </c>
      <c r="BO338" t="s">
        <v>594</v>
      </c>
      <c r="BP338" t="s">
        <v>74</v>
      </c>
      <c r="BQ338" t="s">
        <v>74</v>
      </c>
      <c r="BR338" t="s">
        <v>103</v>
      </c>
      <c r="BS338" t="s">
        <v>6395</v>
      </c>
      <c r="BT338" t="str">
        <f>HYPERLINK("https%3A%2F%2Fwww.webofscience.com%2Fwos%2Fwoscc%2Ffull-record%2FWOS:000292383100001","View Full Record in Web of Science")</f>
        <v>View Full Record in Web of Science</v>
      </c>
    </row>
    <row r="339" spans="1:72" x14ac:dyDescent="0.15">
      <c r="A339" t="s">
        <v>72</v>
      </c>
      <c r="B339" t="s">
        <v>6396</v>
      </c>
      <c r="C339" t="s">
        <v>74</v>
      </c>
      <c r="D339" t="s">
        <v>74</v>
      </c>
      <c r="E339" t="s">
        <v>74</v>
      </c>
      <c r="F339" t="s">
        <v>6397</v>
      </c>
      <c r="G339" t="s">
        <v>74</v>
      </c>
      <c r="H339" t="s">
        <v>74</v>
      </c>
      <c r="I339" t="s">
        <v>6398</v>
      </c>
      <c r="J339" t="s">
        <v>349</v>
      </c>
      <c r="K339" t="s">
        <v>74</v>
      </c>
      <c r="L339" t="s">
        <v>74</v>
      </c>
      <c r="M339" t="s">
        <v>78</v>
      </c>
      <c r="N339" t="s">
        <v>79</v>
      </c>
      <c r="O339" t="s">
        <v>74</v>
      </c>
      <c r="P339" t="s">
        <v>74</v>
      </c>
      <c r="Q339" t="s">
        <v>74</v>
      </c>
      <c r="R339" t="s">
        <v>74</v>
      </c>
      <c r="S339" t="s">
        <v>74</v>
      </c>
      <c r="T339" t="s">
        <v>74</v>
      </c>
      <c r="U339" t="s">
        <v>6399</v>
      </c>
      <c r="V339" t="s">
        <v>6400</v>
      </c>
      <c r="W339" t="s">
        <v>6401</v>
      </c>
      <c r="X339" t="s">
        <v>2015</v>
      </c>
      <c r="Y339" t="s">
        <v>6402</v>
      </c>
      <c r="Z339" t="s">
        <v>6403</v>
      </c>
      <c r="AA339" t="s">
        <v>6404</v>
      </c>
      <c r="AB339" t="s">
        <v>6405</v>
      </c>
      <c r="AC339" t="s">
        <v>6406</v>
      </c>
      <c r="AD339" t="s">
        <v>6390</v>
      </c>
      <c r="AE339" t="s">
        <v>6407</v>
      </c>
      <c r="AF339" t="s">
        <v>74</v>
      </c>
      <c r="AG339">
        <v>37</v>
      </c>
      <c r="AH339">
        <v>19</v>
      </c>
      <c r="AI339">
        <v>20</v>
      </c>
      <c r="AJ339">
        <v>0</v>
      </c>
      <c r="AK339">
        <v>14</v>
      </c>
      <c r="AL339" t="s">
        <v>120</v>
      </c>
      <c r="AM339" t="s">
        <v>121</v>
      </c>
      <c r="AN339" t="s">
        <v>122</v>
      </c>
      <c r="AO339" t="s">
        <v>361</v>
      </c>
      <c r="AP339" t="s">
        <v>362</v>
      </c>
      <c r="AQ339" t="s">
        <v>74</v>
      </c>
      <c r="AR339" t="s">
        <v>363</v>
      </c>
      <c r="AS339" t="s">
        <v>364</v>
      </c>
      <c r="AT339" t="s">
        <v>6319</v>
      </c>
      <c r="AU339">
        <v>2011</v>
      </c>
      <c r="AV339">
        <v>116</v>
      </c>
      <c r="AW339" t="s">
        <v>74</v>
      </c>
      <c r="AX339" t="s">
        <v>74</v>
      </c>
      <c r="AY339" t="s">
        <v>74</v>
      </c>
      <c r="AZ339" t="s">
        <v>74</v>
      </c>
      <c r="BA339" t="s">
        <v>74</v>
      </c>
      <c r="BB339" t="s">
        <v>74</v>
      </c>
      <c r="BC339" t="s">
        <v>74</v>
      </c>
      <c r="BD339" t="s">
        <v>6408</v>
      </c>
      <c r="BE339" t="s">
        <v>6409</v>
      </c>
      <c r="BF339" t="str">
        <f>HYPERLINK("http://dx.doi.org/10.1029/2009JF001622","http://dx.doi.org/10.1029/2009JF001622")</f>
        <v>http://dx.doi.org/10.1029/2009JF001622</v>
      </c>
      <c r="BG339" t="s">
        <v>74</v>
      </c>
      <c r="BH339" t="s">
        <v>74</v>
      </c>
      <c r="BI339">
        <v>14</v>
      </c>
      <c r="BJ339" t="s">
        <v>130</v>
      </c>
      <c r="BK339" t="s">
        <v>100</v>
      </c>
      <c r="BL339" t="s">
        <v>131</v>
      </c>
      <c r="BM339" t="s">
        <v>6394</v>
      </c>
      <c r="BN339" t="s">
        <v>74</v>
      </c>
      <c r="BO339" t="s">
        <v>594</v>
      </c>
      <c r="BP339" t="s">
        <v>74</v>
      </c>
      <c r="BQ339" t="s">
        <v>74</v>
      </c>
      <c r="BR339" t="s">
        <v>103</v>
      </c>
      <c r="BS339" t="s">
        <v>6410</v>
      </c>
      <c r="BT339" t="str">
        <f>HYPERLINK("https%3A%2F%2Fwww.webofscience.com%2Fwos%2Fwoscc%2Ffull-record%2FWOS:000292383100002","View Full Record in Web of Science")</f>
        <v>View Full Record in Web of Science</v>
      </c>
    </row>
    <row r="340" spans="1:72" x14ac:dyDescent="0.15">
      <c r="A340" t="s">
        <v>72</v>
      </c>
      <c r="B340" t="s">
        <v>6411</v>
      </c>
      <c r="C340" t="s">
        <v>74</v>
      </c>
      <c r="D340" t="s">
        <v>74</v>
      </c>
      <c r="E340" t="s">
        <v>74</v>
      </c>
      <c r="F340" t="s">
        <v>6412</v>
      </c>
      <c r="G340" t="s">
        <v>74</v>
      </c>
      <c r="H340" t="s">
        <v>74</v>
      </c>
      <c r="I340" t="s">
        <v>6413</v>
      </c>
      <c r="J340" t="s">
        <v>6414</v>
      </c>
      <c r="K340" t="s">
        <v>74</v>
      </c>
      <c r="L340" t="s">
        <v>74</v>
      </c>
      <c r="M340" t="s">
        <v>78</v>
      </c>
      <c r="N340" t="s">
        <v>79</v>
      </c>
      <c r="O340" t="s">
        <v>74</v>
      </c>
      <c r="P340" t="s">
        <v>74</v>
      </c>
      <c r="Q340" t="s">
        <v>74</v>
      </c>
      <c r="R340" t="s">
        <v>74</v>
      </c>
      <c r="S340" t="s">
        <v>74</v>
      </c>
      <c r="T340" t="s">
        <v>74</v>
      </c>
      <c r="U340" t="s">
        <v>6415</v>
      </c>
      <c r="V340" t="s">
        <v>6416</v>
      </c>
      <c r="W340" t="s">
        <v>6417</v>
      </c>
      <c r="X340" t="s">
        <v>4642</v>
      </c>
      <c r="Y340" t="s">
        <v>6418</v>
      </c>
      <c r="Z340" t="s">
        <v>6419</v>
      </c>
      <c r="AA340" t="s">
        <v>6420</v>
      </c>
      <c r="AB340" t="s">
        <v>6421</v>
      </c>
      <c r="AC340" t="s">
        <v>6422</v>
      </c>
      <c r="AD340" t="s">
        <v>6423</v>
      </c>
      <c r="AE340" t="s">
        <v>6424</v>
      </c>
      <c r="AF340" t="s">
        <v>74</v>
      </c>
      <c r="AG340">
        <v>45</v>
      </c>
      <c r="AH340">
        <v>20</v>
      </c>
      <c r="AI340">
        <v>24</v>
      </c>
      <c r="AJ340">
        <v>0</v>
      </c>
      <c r="AK340">
        <v>15</v>
      </c>
      <c r="AL340" t="s">
        <v>120</v>
      </c>
      <c r="AM340" t="s">
        <v>121</v>
      </c>
      <c r="AN340" t="s">
        <v>122</v>
      </c>
      <c r="AO340" t="s">
        <v>6425</v>
      </c>
      <c r="AP340" t="s">
        <v>6426</v>
      </c>
      <c r="AQ340" t="s">
        <v>74</v>
      </c>
      <c r="AR340" t="s">
        <v>6427</v>
      </c>
      <c r="AS340" t="s">
        <v>6428</v>
      </c>
      <c r="AT340" t="s">
        <v>6319</v>
      </c>
      <c r="AU340">
        <v>2011</v>
      </c>
      <c r="AV340">
        <v>116</v>
      </c>
      <c r="AW340" t="s">
        <v>74</v>
      </c>
      <c r="AX340" t="s">
        <v>74</v>
      </c>
      <c r="AY340" t="s">
        <v>74</v>
      </c>
      <c r="AZ340" t="s">
        <v>74</v>
      </c>
      <c r="BA340" t="s">
        <v>74</v>
      </c>
      <c r="BB340" t="s">
        <v>74</v>
      </c>
      <c r="BC340" t="s">
        <v>74</v>
      </c>
      <c r="BD340" t="s">
        <v>6429</v>
      </c>
      <c r="BE340" t="s">
        <v>6430</v>
      </c>
      <c r="BF340" t="str">
        <f>HYPERLINK("http://dx.doi.org/10.1029/2011JB008262","http://dx.doi.org/10.1029/2011JB008262")</f>
        <v>http://dx.doi.org/10.1029/2011JB008262</v>
      </c>
      <c r="BG340" t="s">
        <v>74</v>
      </c>
      <c r="BH340" t="s">
        <v>74</v>
      </c>
      <c r="BI340">
        <v>16</v>
      </c>
      <c r="BJ340" t="s">
        <v>488</v>
      </c>
      <c r="BK340" t="s">
        <v>100</v>
      </c>
      <c r="BL340" t="s">
        <v>488</v>
      </c>
      <c r="BM340" t="s">
        <v>6431</v>
      </c>
      <c r="BN340" t="s">
        <v>74</v>
      </c>
      <c r="BO340" t="s">
        <v>152</v>
      </c>
      <c r="BP340" t="s">
        <v>74</v>
      </c>
      <c r="BQ340" t="s">
        <v>74</v>
      </c>
      <c r="BR340" t="s">
        <v>103</v>
      </c>
      <c r="BS340" t="s">
        <v>6432</v>
      </c>
      <c r="BT340" t="str">
        <f>HYPERLINK("https%3A%2F%2Fwww.webofscience.com%2Fwos%2Fwoscc%2Ffull-record%2FWOS:000292383800002","View Full Record in Web of Science")</f>
        <v>View Full Record in Web of Science</v>
      </c>
    </row>
    <row r="341" spans="1:72" x14ac:dyDescent="0.15">
      <c r="A341" t="s">
        <v>72</v>
      </c>
      <c r="B341" t="s">
        <v>6433</v>
      </c>
      <c r="C341" t="s">
        <v>74</v>
      </c>
      <c r="D341" t="s">
        <v>74</v>
      </c>
      <c r="E341" t="s">
        <v>74</v>
      </c>
      <c r="F341" t="s">
        <v>6434</v>
      </c>
      <c r="G341" t="s">
        <v>74</v>
      </c>
      <c r="H341" t="s">
        <v>74</v>
      </c>
      <c r="I341" t="s">
        <v>6435</v>
      </c>
      <c r="J341" t="s">
        <v>373</v>
      </c>
      <c r="K341" t="s">
        <v>74</v>
      </c>
      <c r="L341" t="s">
        <v>74</v>
      </c>
      <c r="M341" t="s">
        <v>78</v>
      </c>
      <c r="N341" t="s">
        <v>79</v>
      </c>
      <c r="O341" t="s">
        <v>74</v>
      </c>
      <c r="P341" t="s">
        <v>74</v>
      </c>
      <c r="Q341" t="s">
        <v>74</v>
      </c>
      <c r="R341" t="s">
        <v>74</v>
      </c>
      <c r="S341" t="s">
        <v>74</v>
      </c>
      <c r="T341" t="s">
        <v>74</v>
      </c>
      <c r="U341" t="s">
        <v>6436</v>
      </c>
      <c r="V341" t="s">
        <v>6437</v>
      </c>
      <c r="W341" t="s">
        <v>6438</v>
      </c>
      <c r="X341" t="s">
        <v>6439</v>
      </c>
      <c r="Y341" t="s">
        <v>6440</v>
      </c>
      <c r="Z341" t="s">
        <v>6441</v>
      </c>
      <c r="AA341" t="s">
        <v>6442</v>
      </c>
      <c r="AB341" t="s">
        <v>6443</v>
      </c>
      <c r="AC341" t="s">
        <v>6444</v>
      </c>
      <c r="AD341" t="s">
        <v>6445</v>
      </c>
      <c r="AE341" t="s">
        <v>6446</v>
      </c>
      <c r="AF341" t="s">
        <v>74</v>
      </c>
      <c r="AG341">
        <v>74</v>
      </c>
      <c r="AH341">
        <v>54</v>
      </c>
      <c r="AI341">
        <v>55</v>
      </c>
      <c r="AJ341">
        <v>0</v>
      </c>
      <c r="AK341">
        <v>8</v>
      </c>
      <c r="AL341" t="s">
        <v>120</v>
      </c>
      <c r="AM341" t="s">
        <v>121</v>
      </c>
      <c r="AN341" t="s">
        <v>122</v>
      </c>
      <c r="AO341" t="s">
        <v>385</v>
      </c>
      <c r="AP341" t="s">
        <v>386</v>
      </c>
      <c r="AQ341" t="s">
        <v>74</v>
      </c>
      <c r="AR341" t="s">
        <v>387</v>
      </c>
      <c r="AS341" t="s">
        <v>388</v>
      </c>
      <c r="AT341" t="s">
        <v>6319</v>
      </c>
      <c r="AU341">
        <v>2011</v>
      </c>
      <c r="AV341">
        <v>116</v>
      </c>
      <c r="AW341" t="s">
        <v>74</v>
      </c>
      <c r="AX341" t="s">
        <v>74</v>
      </c>
      <c r="AY341" t="s">
        <v>74</v>
      </c>
      <c r="AZ341" t="s">
        <v>74</v>
      </c>
      <c r="BA341" t="s">
        <v>74</v>
      </c>
      <c r="BB341" t="s">
        <v>74</v>
      </c>
      <c r="BC341" t="s">
        <v>74</v>
      </c>
      <c r="BD341" t="s">
        <v>6447</v>
      </c>
      <c r="BE341" t="s">
        <v>6448</v>
      </c>
      <c r="BF341" t="str">
        <f>HYPERLINK("http://dx.doi.org/10.1029/2011JA016453","http://dx.doi.org/10.1029/2011JA016453")</f>
        <v>http://dx.doi.org/10.1029/2011JA016453</v>
      </c>
      <c r="BG341" t="s">
        <v>74</v>
      </c>
      <c r="BH341" t="s">
        <v>74</v>
      </c>
      <c r="BI341">
        <v>12</v>
      </c>
      <c r="BJ341" t="s">
        <v>391</v>
      </c>
      <c r="BK341" t="s">
        <v>100</v>
      </c>
      <c r="BL341" t="s">
        <v>391</v>
      </c>
      <c r="BM341" t="s">
        <v>6337</v>
      </c>
      <c r="BN341" t="s">
        <v>74</v>
      </c>
      <c r="BO341" t="s">
        <v>594</v>
      </c>
      <c r="BP341" t="s">
        <v>74</v>
      </c>
      <c r="BQ341" t="s">
        <v>74</v>
      </c>
      <c r="BR341" t="s">
        <v>103</v>
      </c>
      <c r="BS341" t="s">
        <v>6449</v>
      </c>
      <c r="BT341" t="str">
        <f>HYPERLINK("https%3A%2F%2Fwww.webofscience.com%2Fwos%2Fwoscc%2Ffull-record%2FWOS:000292395000003","View Full Record in Web of Science")</f>
        <v>View Full Record in Web of Science</v>
      </c>
    </row>
    <row r="342" spans="1:72" x14ac:dyDescent="0.15">
      <c r="A342" t="s">
        <v>72</v>
      </c>
      <c r="B342" t="s">
        <v>6450</v>
      </c>
      <c r="C342" t="s">
        <v>74</v>
      </c>
      <c r="D342" t="s">
        <v>74</v>
      </c>
      <c r="E342" t="s">
        <v>74</v>
      </c>
      <c r="F342" t="s">
        <v>6451</v>
      </c>
      <c r="G342" t="s">
        <v>74</v>
      </c>
      <c r="H342" t="s">
        <v>74</v>
      </c>
      <c r="I342" t="s">
        <v>6452</v>
      </c>
      <c r="J342" t="s">
        <v>521</v>
      </c>
      <c r="K342" t="s">
        <v>74</v>
      </c>
      <c r="L342" t="s">
        <v>74</v>
      </c>
      <c r="M342" t="s">
        <v>78</v>
      </c>
      <c r="N342" t="s">
        <v>79</v>
      </c>
      <c r="O342" t="s">
        <v>74</v>
      </c>
      <c r="P342" t="s">
        <v>74</v>
      </c>
      <c r="Q342" t="s">
        <v>74</v>
      </c>
      <c r="R342" t="s">
        <v>74</v>
      </c>
      <c r="S342" t="s">
        <v>74</v>
      </c>
      <c r="T342" t="s">
        <v>74</v>
      </c>
      <c r="U342" t="s">
        <v>6453</v>
      </c>
      <c r="V342" t="s">
        <v>6454</v>
      </c>
      <c r="W342" t="s">
        <v>6455</v>
      </c>
      <c r="X342" t="s">
        <v>6456</v>
      </c>
      <c r="Y342" t="s">
        <v>6457</v>
      </c>
      <c r="Z342" t="s">
        <v>6458</v>
      </c>
      <c r="AA342" t="s">
        <v>6459</v>
      </c>
      <c r="AB342" t="s">
        <v>6460</v>
      </c>
      <c r="AC342" t="s">
        <v>6461</v>
      </c>
      <c r="AD342" t="s">
        <v>6462</v>
      </c>
      <c r="AE342" t="s">
        <v>6463</v>
      </c>
      <c r="AF342" t="s">
        <v>74</v>
      </c>
      <c r="AG342">
        <v>104</v>
      </c>
      <c r="AH342">
        <v>22</v>
      </c>
      <c r="AI342">
        <v>23</v>
      </c>
      <c r="AJ342">
        <v>0</v>
      </c>
      <c r="AK342">
        <v>23</v>
      </c>
      <c r="AL342" t="s">
        <v>120</v>
      </c>
      <c r="AM342" t="s">
        <v>121</v>
      </c>
      <c r="AN342" t="s">
        <v>122</v>
      </c>
      <c r="AO342" t="s">
        <v>531</v>
      </c>
      <c r="AP342" t="s">
        <v>571</v>
      </c>
      <c r="AQ342" t="s">
        <v>74</v>
      </c>
      <c r="AR342" t="s">
        <v>521</v>
      </c>
      <c r="AS342" t="s">
        <v>532</v>
      </c>
      <c r="AT342" t="s">
        <v>6319</v>
      </c>
      <c r="AU342">
        <v>2011</v>
      </c>
      <c r="AV342">
        <v>26</v>
      </c>
      <c r="AW342" t="s">
        <v>74</v>
      </c>
      <c r="AX342" t="s">
        <v>74</v>
      </c>
      <c r="AY342" t="s">
        <v>74</v>
      </c>
      <c r="AZ342" t="s">
        <v>74</v>
      </c>
      <c r="BA342" t="s">
        <v>74</v>
      </c>
      <c r="BB342" t="s">
        <v>74</v>
      </c>
      <c r="BC342" t="s">
        <v>74</v>
      </c>
      <c r="BD342" t="s">
        <v>6464</v>
      </c>
      <c r="BE342" t="s">
        <v>6465</v>
      </c>
      <c r="BF342" t="str">
        <f>HYPERLINK("http://dx.doi.org/10.1029/2010PA002084","http://dx.doi.org/10.1029/2010PA002084")</f>
        <v>http://dx.doi.org/10.1029/2010PA002084</v>
      </c>
      <c r="BG342" t="s">
        <v>74</v>
      </c>
      <c r="BH342" t="s">
        <v>74</v>
      </c>
      <c r="BI342">
        <v>18</v>
      </c>
      <c r="BJ342" t="s">
        <v>535</v>
      </c>
      <c r="BK342" t="s">
        <v>100</v>
      </c>
      <c r="BL342" t="s">
        <v>536</v>
      </c>
      <c r="BM342" t="s">
        <v>6466</v>
      </c>
      <c r="BN342" t="s">
        <v>74</v>
      </c>
      <c r="BO342" t="s">
        <v>6467</v>
      </c>
      <c r="BP342" t="s">
        <v>74</v>
      </c>
      <c r="BQ342" t="s">
        <v>74</v>
      </c>
      <c r="BR342" t="s">
        <v>103</v>
      </c>
      <c r="BS342" t="s">
        <v>6468</v>
      </c>
      <c r="BT342" t="str">
        <f>HYPERLINK("https%3A%2F%2Fwww.webofscience.com%2Fwos%2Fwoscc%2Ffull-record%2FWOS:000292396500002","View Full Record in Web of Science")</f>
        <v>View Full Record in Web of Science</v>
      </c>
    </row>
    <row r="343" spans="1:72" x14ac:dyDescent="0.15">
      <c r="A343" t="s">
        <v>72</v>
      </c>
      <c r="B343" t="s">
        <v>6469</v>
      </c>
      <c r="C343" t="s">
        <v>74</v>
      </c>
      <c r="D343" t="s">
        <v>74</v>
      </c>
      <c r="E343" t="s">
        <v>74</v>
      </c>
      <c r="F343" t="s">
        <v>6470</v>
      </c>
      <c r="G343" t="s">
        <v>74</v>
      </c>
      <c r="H343" t="s">
        <v>74</v>
      </c>
      <c r="I343" t="s">
        <v>6471</v>
      </c>
      <c r="J343" t="s">
        <v>3380</v>
      </c>
      <c r="K343" t="s">
        <v>74</v>
      </c>
      <c r="L343" t="s">
        <v>74</v>
      </c>
      <c r="M343" t="s">
        <v>78</v>
      </c>
      <c r="N343" t="s">
        <v>79</v>
      </c>
      <c r="O343" t="s">
        <v>74</v>
      </c>
      <c r="P343" t="s">
        <v>74</v>
      </c>
      <c r="Q343" t="s">
        <v>74</v>
      </c>
      <c r="R343" t="s">
        <v>74</v>
      </c>
      <c r="S343" t="s">
        <v>74</v>
      </c>
      <c r="T343" t="s">
        <v>74</v>
      </c>
      <c r="U343" t="s">
        <v>6472</v>
      </c>
      <c r="V343" t="s">
        <v>6473</v>
      </c>
      <c r="W343" t="s">
        <v>6474</v>
      </c>
      <c r="X343" t="s">
        <v>6475</v>
      </c>
      <c r="Y343" t="s">
        <v>6476</v>
      </c>
      <c r="Z343" t="s">
        <v>6477</v>
      </c>
      <c r="AA343" t="s">
        <v>6478</v>
      </c>
      <c r="AB343" t="s">
        <v>6479</v>
      </c>
      <c r="AC343" t="s">
        <v>6480</v>
      </c>
      <c r="AD343" t="s">
        <v>6481</v>
      </c>
      <c r="AE343" t="s">
        <v>6482</v>
      </c>
      <c r="AF343" t="s">
        <v>74</v>
      </c>
      <c r="AG343">
        <v>93</v>
      </c>
      <c r="AH343">
        <v>56</v>
      </c>
      <c r="AI343">
        <v>61</v>
      </c>
      <c r="AJ343">
        <v>0</v>
      </c>
      <c r="AK343">
        <v>17</v>
      </c>
      <c r="AL343" t="s">
        <v>120</v>
      </c>
      <c r="AM343" t="s">
        <v>121</v>
      </c>
      <c r="AN343" t="s">
        <v>122</v>
      </c>
      <c r="AO343" t="s">
        <v>3392</v>
      </c>
      <c r="AP343" t="s">
        <v>3393</v>
      </c>
      <c r="AQ343" t="s">
        <v>74</v>
      </c>
      <c r="AR343" t="s">
        <v>3394</v>
      </c>
      <c r="AS343" t="s">
        <v>3395</v>
      </c>
      <c r="AT343" t="s">
        <v>6319</v>
      </c>
      <c r="AU343">
        <v>2011</v>
      </c>
      <c r="AV343">
        <v>47</v>
      </c>
      <c r="AW343" t="s">
        <v>74</v>
      </c>
      <c r="AX343" t="s">
        <v>74</v>
      </c>
      <c r="AY343" t="s">
        <v>74</v>
      </c>
      <c r="AZ343" t="s">
        <v>74</v>
      </c>
      <c r="BA343" t="s">
        <v>74</v>
      </c>
      <c r="BB343" t="s">
        <v>74</v>
      </c>
      <c r="BC343" t="s">
        <v>74</v>
      </c>
      <c r="BD343" t="s">
        <v>6483</v>
      </c>
      <c r="BE343" t="s">
        <v>6484</v>
      </c>
      <c r="BF343" t="str">
        <f>HYPERLINK("http://dx.doi.org/10.1029/2010WR009562","http://dx.doi.org/10.1029/2010WR009562")</f>
        <v>http://dx.doi.org/10.1029/2010WR009562</v>
      </c>
      <c r="BG343" t="s">
        <v>74</v>
      </c>
      <c r="BH343" t="s">
        <v>74</v>
      </c>
      <c r="BI343">
        <v>15</v>
      </c>
      <c r="BJ343" t="s">
        <v>3398</v>
      </c>
      <c r="BK343" t="s">
        <v>100</v>
      </c>
      <c r="BL343" t="s">
        <v>3399</v>
      </c>
      <c r="BM343" t="s">
        <v>6485</v>
      </c>
      <c r="BN343" t="s">
        <v>74</v>
      </c>
      <c r="BO343" t="s">
        <v>152</v>
      </c>
      <c r="BP343" t="s">
        <v>74</v>
      </c>
      <c r="BQ343" t="s">
        <v>74</v>
      </c>
      <c r="BR343" t="s">
        <v>103</v>
      </c>
      <c r="BS343" t="s">
        <v>6486</v>
      </c>
      <c r="BT343" t="str">
        <f>HYPERLINK("https%3A%2F%2Fwww.webofscience.com%2Fwos%2Fwoscc%2Ffull-record%2FWOS:000292397700001","View Full Record in Web of Science")</f>
        <v>View Full Record in Web of Science</v>
      </c>
    </row>
    <row r="344" spans="1:72" x14ac:dyDescent="0.15">
      <c r="A344" t="s">
        <v>72</v>
      </c>
      <c r="B344" t="s">
        <v>6487</v>
      </c>
      <c r="C344" t="s">
        <v>74</v>
      </c>
      <c r="D344" t="s">
        <v>74</v>
      </c>
      <c r="E344" t="s">
        <v>74</v>
      </c>
      <c r="F344" t="s">
        <v>6488</v>
      </c>
      <c r="G344" t="s">
        <v>74</v>
      </c>
      <c r="H344" t="s">
        <v>74</v>
      </c>
      <c r="I344" t="s">
        <v>6489</v>
      </c>
      <c r="J344" t="s">
        <v>3339</v>
      </c>
      <c r="K344" t="s">
        <v>74</v>
      </c>
      <c r="L344" t="s">
        <v>74</v>
      </c>
      <c r="M344" t="s">
        <v>78</v>
      </c>
      <c r="N344" t="s">
        <v>79</v>
      </c>
      <c r="O344" t="s">
        <v>74</v>
      </c>
      <c r="P344" t="s">
        <v>74</v>
      </c>
      <c r="Q344" t="s">
        <v>74</v>
      </c>
      <c r="R344" t="s">
        <v>74</v>
      </c>
      <c r="S344" t="s">
        <v>74</v>
      </c>
      <c r="T344" t="s">
        <v>6490</v>
      </c>
      <c r="U344" t="s">
        <v>6491</v>
      </c>
      <c r="V344" t="s">
        <v>6492</v>
      </c>
      <c r="W344" t="s">
        <v>6493</v>
      </c>
      <c r="X344" t="s">
        <v>6494</v>
      </c>
      <c r="Y344" t="s">
        <v>6495</v>
      </c>
      <c r="Z344" t="s">
        <v>6496</v>
      </c>
      <c r="AA344" t="s">
        <v>6497</v>
      </c>
      <c r="AB344" t="s">
        <v>74</v>
      </c>
      <c r="AC344" t="s">
        <v>6498</v>
      </c>
      <c r="AD344" t="s">
        <v>6499</v>
      </c>
      <c r="AE344" t="s">
        <v>6500</v>
      </c>
      <c r="AF344" t="s">
        <v>74</v>
      </c>
      <c r="AG344">
        <v>21</v>
      </c>
      <c r="AH344">
        <v>55</v>
      </c>
      <c r="AI344">
        <v>56</v>
      </c>
      <c r="AJ344">
        <v>0</v>
      </c>
      <c r="AK344">
        <v>20</v>
      </c>
      <c r="AL344" t="s">
        <v>308</v>
      </c>
      <c r="AM344" t="s">
        <v>309</v>
      </c>
      <c r="AN344" t="s">
        <v>310</v>
      </c>
      <c r="AO344" t="s">
        <v>3350</v>
      </c>
      <c r="AP344" t="s">
        <v>3351</v>
      </c>
      <c r="AQ344" t="s">
        <v>74</v>
      </c>
      <c r="AR344" t="s">
        <v>3352</v>
      </c>
      <c r="AS344" t="s">
        <v>3353</v>
      </c>
      <c r="AT344" t="s">
        <v>6501</v>
      </c>
      <c r="AU344">
        <v>2011</v>
      </c>
      <c r="AV344">
        <v>404</v>
      </c>
      <c r="AW344" t="s">
        <v>2154</v>
      </c>
      <c r="AX344" t="s">
        <v>74</v>
      </c>
      <c r="AY344" t="s">
        <v>74</v>
      </c>
      <c r="AZ344" t="s">
        <v>74</v>
      </c>
      <c r="BA344" t="s">
        <v>74</v>
      </c>
      <c r="BB344">
        <v>99</v>
      </c>
      <c r="BC344">
        <v>108</v>
      </c>
      <c r="BD344" t="s">
        <v>74</v>
      </c>
      <c r="BE344" t="s">
        <v>6502</v>
      </c>
      <c r="BF344" t="str">
        <f>HYPERLINK("http://dx.doi.org/10.1016/j.jhydrol.2011.04.021","http://dx.doi.org/10.1016/j.jhydrol.2011.04.021")</f>
        <v>http://dx.doi.org/10.1016/j.jhydrol.2011.04.021</v>
      </c>
      <c r="BG344" t="s">
        <v>74</v>
      </c>
      <c r="BH344" t="s">
        <v>74</v>
      </c>
      <c r="BI344">
        <v>10</v>
      </c>
      <c r="BJ344" t="s">
        <v>3356</v>
      </c>
      <c r="BK344" t="s">
        <v>100</v>
      </c>
      <c r="BL344" t="s">
        <v>3357</v>
      </c>
      <c r="BM344" t="s">
        <v>6503</v>
      </c>
      <c r="BN344" t="s">
        <v>74</v>
      </c>
      <c r="BO344" t="s">
        <v>74</v>
      </c>
      <c r="BP344" t="s">
        <v>74</v>
      </c>
      <c r="BQ344" t="s">
        <v>74</v>
      </c>
      <c r="BR344" t="s">
        <v>103</v>
      </c>
      <c r="BS344" t="s">
        <v>6504</v>
      </c>
      <c r="BT344" t="str">
        <f>HYPERLINK("https%3A%2F%2Fwww.webofscience.com%2Fwos%2Fwoscc%2Ffull-record%2FWOS:000292367700008","View Full Record in Web of Science")</f>
        <v>View Full Record in Web of Science</v>
      </c>
    </row>
    <row r="345" spans="1:72" x14ac:dyDescent="0.15">
      <c r="A345" t="s">
        <v>72</v>
      </c>
      <c r="B345" t="s">
        <v>6505</v>
      </c>
      <c r="C345" t="s">
        <v>74</v>
      </c>
      <c r="D345" t="s">
        <v>74</v>
      </c>
      <c r="E345" t="s">
        <v>74</v>
      </c>
      <c r="F345" t="s">
        <v>6506</v>
      </c>
      <c r="G345" t="s">
        <v>74</v>
      </c>
      <c r="H345" t="s">
        <v>74</v>
      </c>
      <c r="I345" t="s">
        <v>6507</v>
      </c>
      <c r="J345" t="s">
        <v>521</v>
      </c>
      <c r="K345" t="s">
        <v>74</v>
      </c>
      <c r="L345" t="s">
        <v>74</v>
      </c>
      <c r="M345" t="s">
        <v>78</v>
      </c>
      <c r="N345" t="s">
        <v>79</v>
      </c>
      <c r="O345" t="s">
        <v>74</v>
      </c>
      <c r="P345" t="s">
        <v>74</v>
      </c>
      <c r="Q345" t="s">
        <v>74</v>
      </c>
      <c r="R345" t="s">
        <v>74</v>
      </c>
      <c r="S345" t="s">
        <v>74</v>
      </c>
      <c r="T345" t="s">
        <v>74</v>
      </c>
      <c r="U345" t="s">
        <v>6508</v>
      </c>
      <c r="V345" t="s">
        <v>6509</v>
      </c>
      <c r="W345" t="s">
        <v>6510</v>
      </c>
      <c r="X345" t="s">
        <v>6511</v>
      </c>
      <c r="Y345" t="s">
        <v>6512</v>
      </c>
      <c r="Z345" t="s">
        <v>6513</v>
      </c>
      <c r="AA345" t="s">
        <v>74</v>
      </c>
      <c r="AB345" t="s">
        <v>6514</v>
      </c>
      <c r="AC345" t="s">
        <v>6515</v>
      </c>
      <c r="AD345" t="s">
        <v>6516</v>
      </c>
      <c r="AE345" t="s">
        <v>6517</v>
      </c>
      <c r="AF345" t="s">
        <v>74</v>
      </c>
      <c r="AG345">
        <v>133</v>
      </c>
      <c r="AH345">
        <v>92</v>
      </c>
      <c r="AI345">
        <v>107</v>
      </c>
      <c r="AJ345">
        <v>1</v>
      </c>
      <c r="AK345">
        <v>57</v>
      </c>
      <c r="AL345" t="s">
        <v>120</v>
      </c>
      <c r="AM345" t="s">
        <v>121</v>
      </c>
      <c r="AN345" t="s">
        <v>122</v>
      </c>
      <c r="AO345" t="s">
        <v>531</v>
      </c>
      <c r="AP345" t="s">
        <v>571</v>
      </c>
      <c r="AQ345" t="s">
        <v>74</v>
      </c>
      <c r="AR345" t="s">
        <v>521</v>
      </c>
      <c r="AS345" t="s">
        <v>532</v>
      </c>
      <c r="AT345" t="s">
        <v>6501</v>
      </c>
      <c r="AU345">
        <v>2011</v>
      </c>
      <c r="AV345">
        <v>26</v>
      </c>
      <c r="AW345" t="s">
        <v>74</v>
      </c>
      <c r="AX345" t="s">
        <v>74</v>
      </c>
      <c r="AY345" t="s">
        <v>74</v>
      </c>
      <c r="AZ345" t="s">
        <v>74</v>
      </c>
      <c r="BA345" t="s">
        <v>74</v>
      </c>
      <c r="BB345" t="s">
        <v>74</v>
      </c>
      <c r="BC345" t="s">
        <v>74</v>
      </c>
      <c r="BD345" t="s">
        <v>6518</v>
      </c>
      <c r="BE345" t="s">
        <v>6519</v>
      </c>
      <c r="BF345" t="str">
        <f>HYPERLINK("http://dx.doi.org/10.1029/2010PA002051","http://dx.doi.org/10.1029/2010PA002051")</f>
        <v>http://dx.doi.org/10.1029/2010PA002051</v>
      </c>
      <c r="BG345" t="s">
        <v>74</v>
      </c>
      <c r="BH345" t="s">
        <v>74</v>
      </c>
      <c r="BI345">
        <v>18</v>
      </c>
      <c r="BJ345" t="s">
        <v>535</v>
      </c>
      <c r="BK345" t="s">
        <v>100</v>
      </c>
      <c r="BL345" t="s">
        <v>536</v>
      </c>
      <c r="BM345" t="s">
        <v>6520</v>
      </c>
      <c r="BN345" t="s">
        <v>74</v>
      </c>
      <c r="BO345" t="s">
        <v>74</v>
      </c>
      <c r="BP345" t="s">
        <v>74</v>
      </c>
      <c r="BQ345" t="s">
        <v>74</v>
      </c>
      <c r="BR345" t="s">
        <v>103</v>
      </c>
      <c r="BS345" t="s">
        <v>6521</v>
      </c>
      <c r="BT345" t="str">
        <f>HYPERLINK("https%3A%2F%2Fwww.webofscience.com%2Fwos%2Fwoscc%2Ffull-record%2FWOS:000292395900001","View Full Record in Web of Science")</f>
        <v>View Full Record in Web of Science</v>
      </c>
    </row>
    <row r="346" spans="1:72" x14ac:dyDescent="0.15">
      <c r="A346" t="s">
        <v>72</v>
      </c>
      <c r="B346" t="s">
        <v>6522</v>
      </c>
      <c r="C346" t="s">
        <v>74</v>
      </c>
      <c r="D346" t="s">
        <v>74</v>
      </c>
      <c r="E346" t="s">
        <v>74</v>
      </c>
      <c r="F346" t="s">
        <v>6523</v>
      </c>
      <c r="G346" t="s">
        <v>74</v>
      </c>
      <c r="H346" t="s">
        <v>74</v>
      </c>
      <c r="I346" t="s">
        <v>6524</v>
      </c>
      <c r="J346" t="s">
        <v>108</v>
      </c>
      <c r="K346" t="s">
        <v>74</v>
      </c>
      <c r="L346" t="s">
        <v>74</v>
      </c>
      <c r="M346" t="s">
        <v>78</v>
      </c>
      <c r="N346" t="s">
        <v>79</v>
      </c>
      <c r="O346" t="s">
        <v>74</v>
      </c>
      <c r="P346" t="s">
        <v>74</v>
      </c>
      <c r="Q346" t="s">
        <v>74</v>
      </c>
      <c r="R346" t="s">
        <v>74</v>
      </c>
      <c r="S346" t="s">
        <v>74</v>
      </c>
      <c r="T346" t="s">
        <v>74</v>
      </c>
      <c r="U346" t="s">
        <v>6525</v>
      </c>
      <c r="V346" t="s">
        <v>6526</v>
      </c>
      <c r="W346" t="s">
        <v>6527</v>
      </c>
      <c r="X346" t="s">
        <v>6528</v>
      </c>
      <c r="Y346" t="s">
        <v>6529</v>
      </c>
      <c r="Z346" t="s">
        <v>6530</v>
      </c>
      <c r="AA346" t="s">
        <v>74</v>
      </c>
      <c r="AB346" t="s">
        <v>74</v>
      </c>
      <c r="AC346" t="s">
        <v>6531</v>
      </c>
      <c r="AD346" t="s">
        <v>6532</v>
      </c>
      <c r="AE346" t="s">
        <v>6533</v>
      </c>
      <c r="AF346" t="s">
        <v>74</v>
      </c>
      <c r="AG346">
        <v>15</v>
      </c>
      <c r="AH346">
        <v>15</v>
      </c>
      <c r="AI346">
        <v>17</v>
      </c>
      <c r="AJ346">
        <v>0</v>
      </c>
      <c r="AK346">
        <v>8</v>
      </c>
      <c r="AL346" t="s">
        <v>120</v>
      </c>
      <c r="AM346" t="s">
        <v>121</v>
      </c>
      <c r="AN346" t="s">
        <v>122</v>
      </c>
      <c r="AO346" t="s">
        <v>123</v>
      </c>
      <c r="AP346" t="s">
        <v>74</v>
      </c>
      <c r="AQ346" t="s">
        <v>74</v>
      </c>
      <c r="AR346" t="s">
        <v>125</v>
      </c>
      <c r="AS346" t="s">
        <v>126</v>
      </c>
      <c r="AT346" t="s">
        <v>6534</v>
      </c>
      <c r="AU346">
        <v>2011</v>
      </c>
      <c r="AV346">
        <v>38</v>
      </c>
      <c r="AW346" t="s">
        <v>74</v>
      </c>
      <c r="AX346" t="s">
        <v>74</v>
      </c>
      <c r="AY346" t="s">
        <v>74</v>
      </c>
      <c r="AZ346" t="s">
        <v>74</v>
      </c>
      <c r="BA346" t="s">
        <v>74</v>
      </c>
      <c r="BB346" t="s">
        <v>74</v>
      </c>
      <c r="BC346" t="s">
        <v>74</v>
      </c>
      <c r="BD346" t="s">
        <v>6535</v>
      </c>
      <c r="BE346" t="s">
        <v>6536</v>
      </c>
      <c r="BF346" t="str">
        <f>HYPERLINK("http://dx.doi.org/10.1029/2011GL047794","http://dx.doi.org/10.1029/2011GL047794")</f>
        <v>http://dx.doi.org/10.1029/2011GL047794</v>
      </c>
      <c r="BG346" t="s">
        <v>74</v>
      </c>
      <c r="BH346" t="s">
        <v>74</v>
      </c>
      <c r="BI346">
        <v>5</v>
      </c>
      <c r="BJ346" t="s">
        <v>130</v>
      </c>
      <c r="BK346" t="s">
        <v>100</v>
      </c>
      <c r="BL346" t="s">
        <v>131</v>
      </c>
      <c r="BM346" t="s">
        <v>6537</v>
      </c>
      <c r="BN346" t="s">
        <v>74</v>
      </c>
      <c r="BO346" t="s">
        <v>152</v>
      </c>
      <c r="BP346" t="s">
        <v>74</v>
      </c>
      <c r="BQ346" t="s">
        <v>74</v>
      </c>
      <c r="BR346" t="s">
        <v>103</v>
      </c>
      <c r="BS346" t="s">
        <v>6538</v>
      </c>
      <c r="BT346" t="str">
        <f>HYPERLINK("https%3A%2F%2Fwww.webofscience.com%2Fwos%2Fwoscc%2Ffull-record%2FWOS:000292107300002","View Full Record in Web of Science")</f>
        <v>View Full Record in Web of Science</v>
      </c>
    </row>
    <row r="347" spans="1:72" x14ac:dyDescent="0.15">
      <c r="A347" t="s">
        <v>72</v>
      </c>
      <c r="B347" t="s">
        <v>6539</v>
      </c>
      <c r="C347" t="s">
        <v>74</v>
      </c>
      <c r="D347" t="s">
        <v>74</v>
      </c>
      <c r="E347" t="s">
        <v>74</v>
      </c>
      <c r="F347" t="s">
        <v>6540</v>
      </c>
      <c r="G347" t="s">
        <v>74</v>
      </c>
      <c r="H347" t="s">
        <v>74</v>
      </c>
      <c r="I347" t="s">
        <v>6541</v>
      </c>
      <c r="J347" t="s">
        <v>6542</v>
      </c>
      <c r="K347" t="s">
        <v>74</v>
      </c>
      <c r="L347" t="s">
        <v>74</v>
      </c>
      <c r="M347" t="s">
        <v>78</v>
      </c>
      <c r="N347" t="s">
        <v>79</v>
      </c>
      <c r="O347" t="s">
        <v>74</v>
      </c>
      <c r="P347" t="s">
        <v>74</v>
      </c>
      <c r="Q347" t="s">
        <v>74</v>
      </c>
      <c r="R347" t="s">
        <v>74</v>
      </c>
      <c r="S347" t="s">
        <v>74</v>
      </c>
      <c r="T347" t="s">
        <v>6543</v>
      </c>
      <c r="U347" t="s">
        <v>6544</v>
      </c>
      <c r="V347" t="s">
        <v>6545</v>
      </c>
      <c r="W347" t="s">
        <v>6546</v>
      </c>
      <c r="X347" t="s">
        <v>6547</v>
      </c>
      <c r="Y347" t="s">
        <v>6548</v>
      </c>
      <c r="Z347" t="s">
        <v>6549</v>
      </c>
      <c r="AA347" t="s">
        <v>6550</v>
      </c>
      <c r="AB347" t="s">
        <v>6551</v>
      </c>
      <c r="AC347" t="s">
        <v>6552</v>
      </c>
      <c r="AD347" t="s">
        <v>6553</v>
      </c>
      <c r="AE347" t="s">
        <v>6554</v>
      </c>
      <c r="AF347" t="s">
        <v>74</v>
      </c>
      <c r="AG347">
        <v>22</v>
      </c>
      <c r="AH347">
        <v>17</v>
      </c>
      <c r="AI347">
        <v>17</v>
      </c>
      <c r="AJ347">
        <v>5</v>
      </c>
      <c r="AK347">
        <v>85</v>
      </c>
      <c r="AL347" t="s">
        <v>6555</v>
      </c>
      <c r="AM347" t="s">
        <v>1490</v>
      </c>
      <c r="AN347" t="s">
        <v>6556</v>
      </c>
      <c r="AO347" t="s">
        <v>6557</v>
      </c>
      <c r="AP347" t="s">
        <v>6558</v>
      </c>
      <c r="AQ347" t="s">
        <v>74</v>
      </c>
      <c r="AR347" t="s">
        <v>6559</v>
      </c>
      <c r="AS347" t="s">
        <v>6560</v>
      </c>
      <c r="AT347" t="s">
        <v>6561</v>
      </c>
      <c r="AU347">
        <v>2011</v>
      </c>
      <c r="AV347">
        <v>7</v>
      </c>
      <c r="AW347">
        <v>3</v>
      </c>
      <c r="AX347" t="s">
        <v>74</v>
      </c>
      <c r="AY347" t="s">
        <v>74</v>
      </c>
      <c r="AZ347" t="s">
        <v>74</v>
      </c>
      <c r="BA347" t="s">
        <v>74</v>
      </c>
      <c r="BB347">
        <v>461</v>
      </c>
      <c r="BC347">
        <v>464</v>
      </c>
      <c r="BD347" t="s">
        <v>74</v>
      </c>
      <c r="BE347" t="s">
        <v>6562</v>
      </c>
      <c r="BF347" t="str">
        <f>HYPERLINK("http://dx.doi.org/10.1098/rsbl.2010.0993","http://dx.doi.org/10.1098/rsbl.2010.0993")</f>
        <v>http://dx.doi.org/10.1098/rsbl.2010.0993</v>
      </c>
      <c r="BG347" t="s">
        <v>74</v>
      </c>
      <c r="BH347" t="s">
        <v>74</v>
      </c>
      <c r="BI347">
        <v>4</v>
      </c>
      <c r="BJ347" t="s">
        <v>6563</v>
      </c>
      <c r="BK347" t="s">
        <v>100</v>
      </c>
      <c r="BL347" t="s">
        <v>6564</v>
      </c>
      <c r="BM347" t="s">
        <v>6565</v>
      </c>
      <c r="BN347">
        <v>21177693</v>
      </c>
      <c r="BO347" t="s">
        <v>3194</v>
      </c>
      <c r="BP347" t="s">
        <v>74</v>
      </c>
      <c r="BQ347" t="s">
        <v>74</v>
      </c>
      <c r="BR347" t="s">
        <v>103</v>
      </c>
      <c r="BS347" t="s">
        <v>6566</v>
      </c>
      <c r="BT347" t="str">
        <f>HYPERLINK("https%3A%2F%2Fwww.webofscience.com%2Fwos%2Fwoscc%2Ffull-record%2FWOS:000290515100040","View Full Record in Web of Science")</f>
        <v>View Full Record in Web of Science</v>
      </c>
    </row>
    <row r="348" spans="1:72" x14ac:dyDescent="0.15">
      <c r="A348" t="s">
        <v>72</v>
      </c>
      <c r="B348" t="s">
        <v>6567</v>
      </c>
      <c r="C348" t="s">
        <v>74</v>
      </c>
      <c r="D348" t="s">
        <v>74</v>
      </c>
      <c r="E348" t="s">
        <v>74</v>
      </c>
      <c r="F348" t="s">
        <v>6568</v>
      </c>
      <c r="G348" t="s">
        <v>74</v>
      </c>
      <c r="H348" t="s">
        <v>74</v>
      </c>
      <c r="I348" t="s">
        <v>6569</v>
      </c>
      <c r="J348" t="s">
        <v>3295</v>
      </c>
      <c r="K348" t="s">
        <v>74</v>
      </c>
      <c r="L348" t="s">
        <v>74</v>
      </c>
      <c r="M348" t="s">
        <v>78</v>
      </c>
      <c r="N348" t="s">
        <v>79</v>
      </c>
      <c r="O348" t="s">
        <v>74</v>
      </c>
      <c r="P348" t="s">
        <v>74</v>
      </c>
      <c r="Q348" t="s">
        <v>74</v>
      </c>
      <c r="R348" t="s">
        <v>74</v>
      </c>
      <c r="S348" t="s">
        <v>74</v>
      </c>
      <c r="T348" t="s">
        <v>6570</v>
      </c>
      <c r="U348" t="s">
        <v>6571</v>
      </c>
      <c r="V348" t="s">
        <v>6572</v>
      </c>
      <c r="W348" t="s">
        <v>6573</v>
      </c>
      <c r="X348" t="s">
        <v>6574</v>
      </c>
      <c r="Y348" t="s">
        <v>6575</v>
      </c>
      <c r="Z348" t="s">
        <v>6576</v>
      </c>
      <c r="AA348" t="s">
        <v>74</v>
      </c>
      <c r="AB348" t="s">
        <v>6577</v>
      </c>
      <c r="AC348" t="s">
        <v>6578</v>
      </c>
      <c r="AD348" t="s">
        <v>6579</v>
      </c>
      <c r="AE348" t="s">
        <v>6580</v>
      </c>
      <c r="AF348" t="s">
        <v>74</v>
      </c>
      <c r="AG348">
        <v>54</v>
      </c>
      <c r="AH348">
        <v>53</v>
      </c>
      <c r="AI348">
        <v>56</v>
      </c>
      <c r="AJ348">
        <v>1</v>
      </c>
      <c r="AK348">
        <v>51</v>
      </c>
      <c r="AL348" t="s">
        <v>2669</v>
      </c>
      <c r="AM348" t="s">
        <v>309</v>
      </c>
      <c r="AN348" t="s">
        <v>2670</v>
      </c>
      <c r="AO348" t="s">
        <v>3308</v>
      </c>
      <c r="AP348" t="s">
        <v>6581</v>
      </c>
      <c r="AQ348" t="s">
        <v>74</v>
      </c>
      <c r="AR348" t="s">
        <v>3309</v>
      </c>
      <c r="AS348" t="s">
        <v>3310</v>
      </c>
      <c r="AT348" t="s">
        <v>6582</v>
      </c>
      <c r="AU348">
        <v>2011</v>
      </c>
      <c r="AV348">
        <v>285</v>
      </c>
      <c r="AW348" t="s">
        <v>3418</v>
      </c>
      <c r="AX348" t="s">
        <v>74</v>
      </c>
      <c r="AY348" t="s">
        <v>74</v>
      </c>
      <c r="AZ348" t="s">
        <v>74</v>
      </c>
      <c r="BA348" t="s">
        <v>74</v>
      </c>
      <c r="BB348">
        <v>194</v>
      </c>
      <c r="BC348">
        <v>202</v>
      </c>
      <c r="BD348" t="s">
        <v>74</v>
      </c>
      <c r="BE348" t="s">
        <v>6583</v>
      </c>
      <c r="BF348" t="str">
        <f>HYPERLINK("http://dx.doi.org/10.1016/j.chemgeo.2011.04.002","http://dx.doi.org/10.1016/j.chemgeo.2011.04.002")</f>
        <v>http://dx.doi.org/10.1016/j.chemgeo.2011.04.002</v>
      </c>
      <c r="BG348" t="s">
        <v>74</v>
      </c>
      <c r="BH348" t="s">
        <v>74</v>
      </c>
      <c r="BI348">
        <v>9</v>
      </c>
      <c r="BJ348" t="s">
        <v>488</v>
      </c>
      <c r="BK348" t="s">
        <v>100</v>
      </c>
      <c r="BL348" t="s">
        <v>488</v>
      </c>
      <c r="BM348" t="s">
        <v>6584</v>
      </c>
      <c r="BN348" t="s">
        <v>74</v>
      </c>
      <c r="BO348" t="s">
        <v>74</v>
      </c>
      <c r="BP348" t="s">
        <v>74</v>
      </c>
      <c r="BQ348" t="s">
        <v>74</v>
      </c>
      <c r="BR348" t="s">
        <v>103</v>
      </c>
      <c r="BS348" t="s">
        <v>6585</v>
      </c>
      <c r="BT348" t="str">
        <f>HYPERLINK("https%3A%2F%2Fwww.webofscience.com%2Fwos%2Fwoscc%2Ffull-record%2FWOS:000292355400016","View Full Record in Web of Science")</f>
        <v>View Full Record in Web of Science</v>
      </c>
    </row>
    <row r="349" spans="1:72" x14ac:dyDescent="0.15">
      <c r="A349" t="s">
        <v>72</v>
      </c>
      <c r="B349" t="s">
        <v>6586</v>
      </c>
      <c r="C349" t="s">
        <v>74</v>
      </c>
      <c r="D349" t="s">
        <v>74</v>
      </c>
      <c r="E349" t="s">
        <v>74</v>
      </c>
      <c r="F349" t="s">
        <v>6587</v>
      </c>
      <c r="G349" t="s">
        <v>74</v>
      </c>
      <c r="H349" t="s">
        <v>74</v>
      </c>
      <c r="I349" t="s">
        <v>6588</v>
      </c>
      <c r="J349" t="s">
        <v>6589</v>
      </c>
      <c r="K349" t="s">
        <v>74</v>
      </c>
      <c r="L349" t="s">
        <v>74</v>
      </c>
      <c r="M349" t="s">
        <v>78</v>
      </c>
      <c r="N349" t="s">
        <v>79</v>
      </c>
      <c r="O349" t="s">
        <v>74</v>
      </c>
      <c r="P349" t="s">
        <v>74</v>
      </c>
      <c r="Q349" t="s">
        <v>74</v>
      </c>
      <c r="R349" t="s">
        <v>74</v>
      </c>
      <c r="S349" t="s">
        <v>74</v>
      </c>
      <c r="T349" t="s">
        <v>6590</v>
      </c>
      <c r="U349" t="s">
        <v>6591</v>
      </c>
      <c r="V349" t="s">
        <v>6592</v>
      </c>
      <c r="W349" t="s">
        <v>6593</v>
      </c>
      <c r="X349" t="s">
        <v>6594</v>
      </c>
      <c r="Y349" t="s">
        <v>5541</v>
      </c>
      <c r="Z349" t="s">
        <v>2645</v>
      </c>
      <c r="AA349" t="s">
        <v>6595</v>
      </c>
      <c r="AB349" t="s">
        <v>6596</v>
      </c>
      <c r="AC349" t="s">
        <v>6597</v>
      </c>
      <c r="AD349" t="s">
        <v>6598</v>
      </c>
      <c r="AE349" t="s">
        <v>6599</v>
      </c>
      <c r="AF349" t="s">
        <v>74</v>
      </c>
      <c r="AG349">
        <v>57</v>
      </c>
      <c r="AH349">
        <v>131</v>
      </c>
      <c r="AI349">
        <v>144</v>
      </c>
      <c r="AJ349">
        <v>0</v>
      </c>
      <c r="AK349">
        <v>71</v>
      </c>
      <c r="AL349" t="s">
        <v>6555</v>
      </c>
      <c r="AM349" t="s">
        <v>1490</v>
      </c>
      <c r="AN349" t="s">
        <v>6556</v>
      </c>
      <c r="AO349" t="s">
        <v>6600</v>
      </c>
      <c r="AP349" t="s">
        <v>6601</v>
      </c>
      <c r="AQ349" t="s">
        <v>74</v>
      </c>
      <c r="AR349" t="s">
        <v>6602</v>
      </c>
      <c r="AS349" t="s">
        <v>6603</v>
      </c>
      <c r="AT349" t="s">
        <v>6582</v>
      </c>
      <c r="AU349">
        <v>2011</v>
      </c>
      <c r="AV349">
        <v>278</v>
      </c>
      <c r="AW349">
        <v>1713</v>
      </c>
      <c r="AX349" t="s">
        <v>74</v>
      </c>
      <c r="AY349" t="s">
        <v>74</v>
      </c>
      <c r="AZ349" t="s">
        <v>74</v>
      </c>
      <c r="BA349" t="s">
        <v>74</v>
      </c>
      <c r="BB349">
        <v>1786</v>
      </c>
      <c r="BC349">
        <v>1793</v>
      </c>
      <c r="BD349" t="s">
        <v>74</v>
      </c>
      <c r="BE349" t="s">
        <v>6604</v>
      </c>
      <c r="BF349" t="str">
        <f>HYPERLINK("http://dx.doi.org/10.1098/rspb.2010.2114","http://dx.doi.org/10.1098/rspb.2010.2114")</f>
        <v>http://dx.doi.org/10.1098/rspb.2010.2114</v>
      </c>
      <c r="BG349" t="s">
        <v>74</v>
      </c>
      <c r="BH349" t="s">
        <v>74</v>
      </c>
      <c r="BI349">
        <v>8</v>
      </c>
      <c r="BJ349" t="s">
        <v>6563</v>
      </c>
      <c r="BK349" t="s">
        <v>100</v>
      </c>
      <c r="BL349" t="s">
        <v>6564</v>
      </c>
      <c r="BM349" t="s">
        <v>6605</v>
      </c>
      <c r="BN349">
        <v>21106591</v>
      </c>
      <c r="BO349" t="s">
        <v>702</v>
      </c>
      <c r="BP349" t="s">
        <v>74</v>
      </c>
      <c r="BQ349" t="s">
        <v>74</v>
      </c>
      <c r="BR349" t="s">
        <v>103</v>
      </c>
      <c r="BS349" t="s">
        <v>6606</v>
      </c>
      <c r="BT349" t="str">
        <f>HYPERLINK("https%3A%2F%2Fwww.webofscience.com%2Fwos%2Fwoscc%2Ffull-record%2FWOS:000290429800005","View Full Record in Web of Science")</f>
        <v>View Full Record in Web of Science</v>
      </c>
    </row>
    <row r="350" spans="1:72" x14ac:dyDescent="0.15">
      <c r="A350" t="s">
        <v>72</v>
      </c>
      <c r="B350" t="s">
        <v>6607</v>
      </c>
      <c r="C350" t="s">
        <v>74</v>
      </c>
      <c r="D350" t="s">
        <v>74</v>
      </c>
      <c r="E350" t="s">
        <v>74</v>
      </c>
      <c r="F350" t="s">
        <v>6608</v>
      </c>
      <c r="G350" t="s">
        <v>74</v>
      </c>
      <c r="H350" t="s">
        <v>74</v>
      </c>
      <c r="I350" t="s">
        <v>6609</v>
      </c>
      <c r="J350" t="s">
        <v>6610</v>
      </c>
      <c r="K350" t="s">
        <v>74</v>
      </c>
      <c r="L350" t="s">
        <v>74</v>
      </c>
      <c r="M350" t="s">
        <v>78</v>
      </c>
      <c r="N350" t="s">
        <v>79</v>
      </c>
      <c r="O350" t="s">
        <v>74</v>
      </c>
      <c r="P350" t="s">
        <v>74</v>
      </c>
      <c r="Q350" t="s">
        <v>74</v>
      </c>
      <c r="R350" t="s">
        <v>74</v>
      </c>
      <c r="S350" t="s">
        <v>74</v>
      </c>
      <c r="T350" t="s">
        <v>6611</v>
      </c>
      <c r="U350" t="s">
        <v>6612</v>
      </c>
      <c r="V350" t="s">
        <v>6613</v>
      </c>
      <c r="W350" t="s">
        <v>6614</v>
      </c>
      <c r="X350" t="s">
        <v>6615</v>
      </c>
      <c r="Y350" t="s">
        <v>6616</v>
      </c>
      <c r="Z350" t="s">
        <v>6617</v>
      </c>
      <c r="AA350" t="s">
        <v>74</v>
      </c>
      <c r="AB350" t="s">
        <v>6618</v>
      </c>
      <c r="AC350" t="s">
        <v>6619</v>
      </c>
      <c r="AD350" t="s">
        <v>6619</v>
      </c>
      <c r="AE350" t="s">
        <v>6620</v>
      </c>
      <c r="AF350" t="s">
        <v>74</v>
      </c>
      <c r="AG350">
        <v>54</v>
      </c>
      <c r="AH350">
        <v>20</v>
      </c>
      <c r="AI350">
        <v>21</v>
      </c>
      <c r="AJ350">
        <v>0</v>
      </c>
      <c r="AK350">
        <v>35</v>
      </c>
      <c r="AL350" t="s">
        <v>926</v>
      </c>
      <c r="AM350" t="s">
        <v>508</v>
      </c>
      <c r="AN350" t="s">
        <v>927</v>
      </c>
      <c r="AO350" t="s">
        <v>6621</v>
      </c>
      <c r="AP350" t="s">
        <v>6622</v>
      </c>
      <c r="AQ350" t="s">
        <v>74</v>
      </c>
      <c r="AR350" t="s">
        <v>6623</v>
      </c>
      <c r="AS350" t="s">
        <v>6624</v>
      </c>
      <c r="AT350" t="s">
        <v>6625</v>
      </c>
      <c r="AU350">
        <v>2011</v>
      </c>
      <c r="AV350">
        <v>51</v>
      </c>
      <c r="AW350">
        <v>12</v>
      </c>
      <c r="AX350" t="s">
        <v>74</v>
      </c>
      <c r="AY350" t="s">
        <v>74</v>
      </c>
      <c r="AZ350" t="s">
        <v>74</v>
      </c>
      <c r="BA350" t="s">
        <v>74</v>
      </c>
      <c r="BB350">
        <v>1333</v>
      </c>
      <c r="BC350">
        <v>1337</v>
      </c>
      <c r="BD350" t="s">
        <v>74</v>
      </c>
      <c r="BE350" t="s">
        <v>6626</v>
      </c>
      <c r="BF350" t="str">
        <f>HYPERLINK("http://dx.doi.org/10.1016/j.visres.2011.04.008","http://dx.doi.org/10.1016/j.visres.2011.04.008")</f>
        <v>http://dx.doi.org/10.1016/j.visres.2011.04.008</v>
      </c>
      <c r="BG350" t="s">
        <v>74</v>
      </c>
      <c r="BH350" t="s">
        <v>74</v>
      </c>
      <c r="BI350">
        <v>5</v>
      </c>
      <c r="BJ350" t="s">
        <v>6627</v>
      </c>
      <c r="BK350" t="s">
        <v>100</v>
      </c>
      <c r="BL350" t="s">
        <v>6628</v>
      </c>
      <c r="BM350" t="s">
        <v>6629</v>
      </c>
      <c r="BN350">
        <v>21527267</v>
      </c>
      <c r="BO350" t="s">
        <v>74</v>
      </c>
      <c r="BP350" t="s">
        <v>74</v>
      </c>
      <c r="BQ350" t="s">
        <v>74</v>
      </c>
      <c r="BR350" t="s">
        <v>103</v>
      </c>
      <c r="BS350" t="s">
        <v>6630</v>
      </c>
      <c r="BT350" t="str">
        <f>HYPERLINK("https%3A%2F%2Fwww.webofscience.com%2Fwos%2Fwoscc%2Ffull-record%2FWOS:000291778400005","View Full Record in Web of Science")</f>
        <v>View Full Record in Web of Science</v>
      </c>
    </row>
    <row r="351" spans="1:72" x14ac:dyDescent="0.15">
      <c r="A351" t="s">
        <v>72</v>
      </c>
      <c r="B351" t="s">
        <v>6631</v>
      </c>
      <c r="C351" t="s">
        <v>74</v>
      </c>
      <c r="D351" t="s">
        <v>74</v>
      </c>
      <c r="E351" t="s">
        <v>74</v>
      </c>
      <c r="F351" t="s">
        <v>6632</v>
      </c>
      <c r="G351" t="s">
        <v>74</v>
      </c>
      <c r="H351" t="s">
        <v>74</v>
      </c>
      <c r="I351" t="s">
        <v>6633</v>
      </c>
      <c r="J351" t="s">
        <v>6634</v>
      </c>
      <c r="K351" t="s">
        <v>74</v>
      </c>
      <c r="L351" t="s">
        <v>74</v>
      </c>
      <c r="M351" t="s">
        <v>78</v>
      </c>
      <c r="N351" t="s">
        <v>2002</v>
      </c>
      <c r="O351" t="s">
        <v>74</v>
      </c>
      <c r="P351" t="s">
        <v>74</v>
      </c>
      <c r="Q351" t="s">
        <v>74</v>
      </c>
      <c r="R351" t="s">
        <v>74</v>
      </c>
      <c r="S351" t="s">
        <v>74</v>
      </c>
      <c r="T351" t="s">
        <v>74</v>
      </c>
      <c r="U351" t="s">
        <v>6635</v>
      </c>
      <c r="V351" t="s">
        <v>74</v>
      </c>
      <c r="W351" t="s">
        <v>6636</v>
      </c>
      <c r="X351" t="s">
        <v>2015</v>
      </c>
      <c r="Y351" t="s">
        <v>6637</v>
      </c>
      <c r="Z351" t="s">
        <v>2017</v>
      </c>
      <c r="AA351" t="s">
        <v>74</v>
      </c>
      <c r="AB351" t="s">
        <v>74</v>
      </c>
      <c r="AC351" t="s">
        <v>6638</v>
      </c>
      <c r="AD351" t="s">
        <v>2067</v>
      </c>
      <c r="AE351" t="s">
        <v>74</v>
      </c>
      <c r="AF351" t="s">
        <v>74</v>
      </c>
      <c r="AG351">
        <v>12</v>
      </c>
      <c r="AH351">
        <v>29</v>
      </c>
      <c r="AI351">
        <v>30</v>
      </c>
      <c r="AJ351">
        <v>0</v>
      </c>
      <c r="AK351">
        <v>23</v>
      </c>
      <c r="AL351" t="s">
        <v>6639</v>
      </c>
      <c r="AM351" t="s">
        <v>1778</v>
      </c>
      <c r="AN351" t="s">
        <v>6640</v>
      </c>
      <c r="AO351" t="s">
        <v>6641</v>
      </c>
      <c r="AP351" t="s">
        <v>74</v>
      </c>
      <c r="AQ351" t="s">
        <v>74</v>
      </c>
      <c r="AR351" t="s">
        <v>6642</v>
      </c>
      <c r="AS351" t="s">
        <v>6643</v>
      </c>
      <c r="AT351" t="s">
        <v>6625</v>
      </c>
      <c r="AU351">
        <v>2011</v>
      </c>
      <c r="AV351">
        <v>21</v>
      </c>
      <c r="AW351">
        <v>12</v>
      </c>
      <c r="AX351" t="s">
        <v>74</v>
      </c>
      <c r="AY351" t="s">
        <v>74</v>
      </c>
      <c r="AZ351" t="s">
        <v>74</v>
      </c>
      <c r="BA351" t="s">
        <v>74</v>
      </c>
      <c r="BB351" t="s">
        <v>6644</v>
      </c>
      <c r="BC351" t="s">
        <v>6645</v>
      </c>
      <c r="BD351" t="s">
        <v>74</v>
      </c>
      <c r="BE351" t="s">
        <v>6646</v>
      </c>
      <c r="BF351" t="str">
        <f>HYPERLINK("http://dx.doi.org/10.1016/j.cub.2011.04.012","http://dx.doi.org/10.1016/j.cub.2011.04.012")</f>
        <v>http://dx.doi.org/10.1016/j.cub.2011.04.012</v>
      </c>
      <c r="BG351" t="s">
        <v>74</v>
      </c>
      <c r="BH351" t="s">
        <v>74</v>
      </c>
      <c r="BI351">
        <v>7</v>
      </c>
      <c r="BJ351" t="s">
        <v>6647</v>
      </c>
      <c r="BK351" t="s">
        <v>100</v>
      </c>
      <c r="BL351" t="s">
        <v>6648</v>
      </c>
      <c r="BM351" t="s">
        <v>6649</v>
      </c>
      <c r="BN351">
        <v>21683895</v>
      </c>
      <c r="BO351" t="s">
        <v>1284</v>
      </c>
      <c r="BP351" t="s">
        <v>74</v>
      </c>
      <c r="BQ351" t="s">
        <v>74</v>
      </c>
      <c r="BR351" t="s">
        <v>103</v>
      </c>
      <c r="BS351" t="s">
        <v>6650</v>
      </c>
      <c r="BT351" t="str">
        <f>HYPERLINK("https%3A%2F%2Fwww.webofscience.com%2Fwos%2Fwoscc%2Ffull-record%2FWOS:000292221900005","View Full Record in Web of Science")</f>
        <v>View Full Record in Web of Science</v>
      </c>
    </row>
    <row r="352" spans="1:72" x14ac:dyDescent="0.15">
      <c r="A352" t="s">
        <v>72</v>
      </c>
      <c r="B352" t="s">
        <v>6651</v>
      </c>
      <c r="C352" t="s">
        <v>74</v>
      </c>
      <c r="D352" t="s">
        <v>74</v>
      </c>
      <c r="E352" t="s">
        <v>74</v>
      </c>
      <c r="F352" t="s">
        <v>6652</v>
      </c>
      <c r="G352" t="s">
        <v>74</v>
      </c>
      <c r="H352" t="s">
        <v>74</v>
      </c>
      <c r="I352" t="s">
        <v>6653</v>
      </c>
      <c r="J352" t="s">
        <v>6414</v>
      </c>
      <c r="K352" t="s">
        <v>74</v>
      </c>
      <c r="L352" t="s">
        <v>74</v>
      </c>
      <c r="M352" t="s">
        <v>78</v>
      </c>
      <c r="N352" t="s">
        <v>79</v>
      </c>
      <c r="O352" t="s">
        <v>74</v>
      </c>
      <c r="P352" t="s">
        <v>74</v>
      </c>
      <c r="Q352" t="s">
        <v>74</v>
      </c>
      <c r="R352" t="s">
        <v>74</v>
      </c>
      <c r="S352" t="s">
        <v>74</v>
      </c>
      <c r="T352" t="s">
        <v>74</v>
      </c>
      <c r="U352" t="s">
        <v>6654</v>
      </c>
      <c r="V352" t="s">
        <v>6655</v>
      </c>
      <c r="W352" t="s">
        <v>6656</v>
      </c>
      <c r="X352" t="s">
        <v>6657</v>
      </c>
      <c r="Y352" t="s">
        <v>6658</v>
      </c>
      <c r="Z352" t="s">
        <v>6659</v>
      </c>
      <c r="AA352" t="s">
        <v>6660</v>
      </c>
      <c r="AB352" t="s">
        <v>6661</v>
      </c>
      <c r="AC352" t="s">
        <v>6662</v>
      </c>
      <c r="AD352" t="s">
        <v>6663</v>
      </c>
      <c r="AE352" t="s">
        <v>6664</v>
      </c>
      <c r="AF352" t="s">
        <v>74</v>
      </c>
      <c r="AG352">
        <v>80</v>
      </c>
      <c r="AH352">
        <v>14</v>
      </c>
      <c r="AI352">
        <v>14</v>
      </c>
      <c r="AJ352">
        <v>2</v>
      </c>
      <c r="AK352">
        <v>13</v>
      </c>
      <c r="AL352" t="s">
        <v>120</v>
      </c>
      <c r="AM352" t="s">
        <v>121</v>
      </c>
      <c r="AN352" t="s">
        <v>122</v>
      </c>
      <c r="AO352" t="s">
        <v>6425</v>
      </c>
      <c r="AP352" t="s">
        <v>6426</v>
      </c>
      <c r="AQ352" t="s">
        <v>74</v>
      </c>
      <c r="AR352" t="s">
        <v>6427</v>
      </c>
      <c r="AS352" t="s">
        <v>6428</v>
      </c>
      <c r="AT352" t="s">
        <v>6625</v>
      </c>
      <c r="AU352">
        <v>2011</v>
      </c>
      <c r="AV352">
        <v>116</v>
      </c>
      <c r="AW352" t="s">
        <v>74</v>
      </c>
      <c r="AX352" t="s">
        <v>74</v>
      </c>
      <c r="AY352" t="s">
        <v>74</v>
      </c>
      <c r="AZ352" t="s">
        <v>74</v>
      </c>
      <c r="BA352" t="s">
        <v>74</v>
      </c>
      <c r="BB352" t="s">
        <v>74</v>
      </c>
      <c r="BC352" t="s">
        <v>74</v>
      </c>
      <c r="BD352" t="s">
        <v>6665</v>
      </c>
      <c r="BE352" t="s">
        <v>6666</v>
      </c>
      <c r="BF352" t="str">
        <f>HYPERLINK("http://dx.doi.org/10.1029/2010JB007952","http://dx.doi.org/10.1029/2010JB007952")</f>
        <v>http://dx.doi.org/10.1029/2010JB007952</v>
      </c>
      <c r="BG352" t="s">
        <v>74</v>
      </c>
      <c r="BH352" t="s">
        <v>74</v>
      </c>
      <c r="BI352">
        <v>18</v>
      </c>
      <c r="BJ352" t="s">
        <v>488</v>
      </c>
      <c r="BK352" t="s">
        <v>100</v>
      </c>
      <c r="BL352" t="s">
        <v>488</v>
      </c>
      <c r="BM352" t="s">
        <v>6667</v>
      </c>
      <c r="BN352" t="s">
        <v>74</v>
      </c>
      <c r="BO352" t="s">
        <v>273</v>
      </c>
      <c r="BP352" t="s">
        <v>74</v>
      </c>
      <c r="BQ352" t="s">
        <v>74</v>
      </c>
      <c r="BR352" t="s">
        <v>103</v>
      </c>
      <c r="BS352" t="s">
        <v>6668</v>
      </c>
      <c r="BT352" t="str">
        <f>HYPERLINK("https%3A%2F%2Fwww.webofscience.com%2Fwos%2Fwoscc%2Ffull-record%2FWOS:000292144500001","View Full Record in Web of Science")</f>
        <v>View Full Record in Web of Science</v>
      </c>
    </row>
    <row r="353" spans="1:72" x14ac:dyDescent="0.15">
      <c r="A353" t="s">
        <v>72</v>
      </c>
      <c r="B353" t="s">
        <v>6669</v>
      </c>
      <c r="C353" t="s">
        <v>74</v>
      </c>
      <c r="D353" t="s">
        <v>74</v>
      </c>
      <c r="E353" t="s">
        <v>74</v>
      </c>
      <c r="F353" t="s">
        <v>6670</v>
      </c>
      <c r="G353" t="s">
        <v>74</v>
      </c>
      <c r="H353" t="s">
        <v>74</v>
      </c>
      <c r="I353" t="s">
        <v>6671</v>
      </c>
      <c r="J353" t="s">
        <v>6672</v>
      </c>
      <c r="K353" t="s">
        <v>74</v>
      </c>
      <c r="L353" t="s">
        <v>74</v>
      </c>
      <c r="M353" t="s">
        <v>78</v>
      </c>
      <c r="N353" t="s">
        <v>79</v>
      </c>
      <c r="O353" t="s">
        <v>74</v>
      </c>
      <c r="P353" t="s">
        <v>74</v>
      </c>
      <c r="Q353" t="s">
        <v>74</v>
      </c>
      <c r="R353" t="s">
        <v>74</v>
      </c>
      <c r="S353" t="s">
        <v>74</v>
      </c>
      <c r="T353" t="s">
        <v>6673</v>
      </c>
      <c r="U353" t="s">
        <v>74</v>
      </c>
      <c r="V353" t="s">
        <v>74</v>
      </c>
      <c r="W353" t="s">
        <v>6674</v>
      </c>
      <c r="X353" t="s">
        <v>6675</v>
      </c>
      <c r="Y353" t="s">
        <v>6676</v>
      </c>
      <c r="Z353" t="s">
        <v>6677</v>
      </c>
      <c r="AA353" t="s">
        <v>6678</v>
      </c>
      <c r="AB353" t="s">
        <v>6679</v>
      </c>
      <c r="AC353" t="s">
        <v>6680</v>
      </c>
      <c r="AD353" t="s">
        <v>6681</v>
      </c>
      <c r="AE353" t="s">
        <v>6682</v>
      </c>
      <c r="AF353" t="s">
        <v>74</v>
      </c>
      <c r="AG353">
        <v>6</v>
      </c>
      <c r="AH353">
        <v>11</v>
      </c>
      <c r="AI353">
        <v>13</v>
      </c>
      <c r="AJ353">
        <v>0</v>
      </c>
      <c r="AK353">
        <v>19</v>
      </c>
      <c r="AL353" t="s">
        <v>6683</v>
      </c>
      <c r="AM353" t="s">
        <v>2469</v>
      </c>
      <c r="AN353" t="s">
        <v>6684</v>
      </c>
      <c r="AO353" t="s">
        <v>6685</v>
      </c>
      <c r="AP353" t="s">
        <v>74</v>
      </c>
      <c r="AQ353" t="s">
        <v>74</v>
      </c>
      <c r="AR353" t="s">
        <v>6686</v>
      </c>
      <c r="AS353" t="s">
        <v>6687</v>
      </c>
      <c r="AT353" t="s">
        <v>6688</v>
      </c>
      <c r="AU353">
        <v>2011</v>
      </c>
      <c r="AV353">
        <v>32</v>
      </c>
      <c r="AW353">
        <v>6</v>
      </c>
      <c r="AX353" t="s">
        <v>74</v>
      </c>
      <c r="AY353" t="s">
        <v>74</v>
      </c>
      <c r="AZ353" t="s">
        <v>74</v>
      </c>
      <c r="BA353" t="s">
        <v>74</v>
      </c>
      <c r="BB353">
        <v>2105</v>
      </c>
      <c r="BC353">
        <v>2108</v>
      </c>
      <c r="BD353" t="s">
        <v>74</v>
      </c>
      <c r="BE353" t="s">
        <v>6689</v>
      </c>
      <c r="BF353" t="str">
        <f>HYPERLINK("http://dx.doi.org/10.5012/bkcs.2011.32.6.2105","http://dx.doi.org/10.5012/bkcs.2011.32.6.2105")</f>
        <v>http://dx.doi.org/10.5012/bkcs.2011.32.6.2105</v>
      </c>
      <c r="BG353" t="s">
        <v>74</v>
      </c>
      <c r="BH353" t="s">
        <v>74</v>
      </c>
      <c r="BI353">
        <v>4</v>
      </c>
      <c r="BJ353" t="s">
        <v>6690</v>
      </c>
      <c r="BK353" t="s">
        <v>100</v>
      </c>
      <c r="BL353" t="s">
        <v>6691</v>
      </c>
      <c r="BM353" t="s">
        <v>6692</v>
      </c>
      <c r="BN353" t="s">
        <v>74</v>
      </c>
      <c r="BO353" t="s">
        <v>74</v>
      </c>
      <c r="BP353" t="s">
        <v>74</v>
      </c>
      <c r="BQ353" t="s">
        <v>74</v>
      </c>
      <c r="BR353" t="s">
        <v>103</v>
      </c>
      <c r="BS353" t="s">
        <v>6693</v>
      </c>
      <c r="BT353" t="str">
        <f>HYPERLINK("https%3A%2F%2Fwww.webofscience.com%2Fwos%2Fwoscc%2Ffull-record%2FWOS:000292117700051","View Full Record in Web of Science")</f>
        <v>View Full Record in Web of Science</v>
      </c>
    </row>
    <row r="354" spans="1:72" x14ac:dyDescent="0.15">
      <c r="A354" t="s">
        <v>72</v>
      </c>
      <c r="B354" t="s">
        <v>6694</v>
      </c>
      <c r="C354" t="s">
        <v>74</v>
      </c>
      <c r="D354" t="s">
        <v>74</v>
      </c>
      <c r="E354" t="s">
        <v>74</v>
      </c>
      <c r="F354" t="s">
        <v>6695</v>
      </c>
      <c r="G354" t="s">
        <v>74</v>
      </c>
      <c r="H354" t="s">
        <v>74</v>
      </c>
      <c r="I354" t="s">
        <v>6696</v>
      </c>
      <c r="J354" t="s">
        <v>230</v>
      </c>
      <c r="K354" t="s">
        <v>74</v>
      </c>
      <c r="L354" t="s">
        <v>74</v>
      </c>
      <c r="M354" t="s">
        <v>78</v>
      </c>
      <c r="N354" t="s">
        <v>79</v>
      </c>
      <c r="O354" t="s">
        <v>74</v>
      </c>
      <c r="P354" t="s">
        <v>74</v>
      </c>
      <c r="Q354" t="s">
        <v>74</v>
      </c>
      <c r="R354" t="s">
        <v>74</v>
      </c>
      <c r="S354" t="s">
        <v>74</v>
      </c>
      <c r="T354" t="s">
        <v>74</v>
      </c>
      <c r="U354" t="s">
        <v>6697</v>
      </c>
      <c r="V354" t="s">
        <v>6698</v>
      </c>
      <c r="W354" t="s">
        <v>6699</v>
      </c>
      <c r="X354" t="s">
        <v>6700</v>
      </c>
      <c r="Y354" t="s">
        <v>6701</v>
      </c>
      <c r="Z354" t="s">
        <v>6702</v>
      </c>
      <c r="AA354" t="s">
        <v>6703</v>
      </c>
      <c r="AB354" t="s">
        <v>6704</v>
      </c>
      <c r="AC354" t="s">
        <v>6705</v>
      </c>
      <c r="AD354" t="s">
        <v>6706</v>
      </c>
      <c r="AE354" t="s">
        <v>6707</v>
      </c>
      <c r="AF354" t="s">
        <v>74</v>
      </c>
      <c r="AG354">
        <v>23</v>
      </c>
      <c r="AH354">
        <v>52</v>
      </c>
      <c r="AI354">
        <v>58</v>
      </c>
      <c r="AJ354">
        <v>2</v>
      </c>
      <c r="AK354">
        <v>25</v>
      </c>
      <c r="AL354" t="s">
        <v>120</v>
      </c>
      <c r="AM354" t="s">
        <v>121</v>
      </c>
      <c r="AN354" t="s">
        <v>122</v>
      </c>
      <c r="AO354" t="s">
        <v>242</v>
      </c>
      <c r="AP354" t="s">
        <v>74</v>
      </c>
      <c r="AQ354" t="s">
        <v>74</v>
      </c>
      <c r="AR354" t="s">
        <v>244</v>
      </c>
      <c r="AS354" t="s">
        <v>245</v>
      </c>
      <c r="AT354" t="s">
        <v>6708</v>
      </c>
      <c r="AU354">
        <v>2011</v>
      </c>
      <c r="AV354">
        <v>116</v>
      </c>
      <c r="AW354" t="s">
        <v>74</v>
      </c>
      <c r="AX354" t="s">
        <v>74</v>
      </c>
      <c r="AY354" t="s">
        <v>74</v>
      </c>
      <c r="AZ354" t="s">
        <v>74</v>
      </c>
      <c r="BA354" t="s">
        <v>74</v>
      </c>
      <c r="BB354" t="s">
        <v>74</v>
      </c>
      <c r="BC354" t="s">
        <v>74</v>
      </c>
      <c r="BD354" t="s">
        <v>6709</v>
      </c>
      <c r="BE354" t="s">
        <v>6710</v>
      </c>
      <c r="BF354" t="str">
        <f>HYPERLINK("http://dx.doi.org/10.1029/2010JD015144","http://dx.doi.org/10.1029/2010JD015144")</f>
        <v>http://dx.doi.org/10.1029/2010JD015144</v>
      </c>
      <c r="BG354" t="s">
        <v>74</v>
      </c>
      <c r="BH354" t="s">
        <v>74</v>
      </c>
      <c r="BI354">
        <v>12</v>
      </c>
      <c r="BJ354" t="s">
        <v>248</v>
      </c>
      <c r="BK354" t="s">
        <v>100</v>
      </c>
      <c r="BL354" t="s">
        <v>248</v>
      </c>
      <c r="BM354" t="s">
        <v>6711</v>
      </c>
      <c r="BN354" t="s">
        <v>74</v>
      </c>
      <c r="BO354" t="s">
        <v>393</v>
      </c>
      <c r="BP354" t="s">
        <v>74</v>
      </c>
      <c r="BQ354" t="s">
        <v>74</v>
      </c>
      <c r="BR354" t="s">
        <v>103</v>
      </c>
      <c r="BS354" t="s">
        <v>6712</v>
      </c>
      <c r="BT354" t="str">
        <f>HYPERLINK("https%3A%2F%2Fwww.webofscience.com%2Fwos%2Fwoscc%2Ffull-record%2FWOS:000291822300001","View Full Record in Web of Science")</f>
        <v>View Full Record in Web of Science</v>
      </c>
    </row>
    <row r="355" spans="1:72" x14ac:dyDescent="0.15">
      <c r="A355" t="s">
        <v>72</v>
      </c>
      <c r="B355" t="s">
        <v>6713</v>
      </c>
      <c r="C355" t="s">
        <v>74</v>
      </c>
      <c r="D355" t="s">
        <v>74</v>
      </c>
      <c r="E355" t="s">
        <v>74</v>
      </c>
      <c r="F355" t="s">
        <v>6714</v>
      </c>
      <c r="G355" t="s">
        <v>74</v>
      </c>
      <c r="H355" t="s">
        <v>74</v>
      </c>
      <c r="I355" t="s">
        <v>6715</v>
      </c>
      <c r="J355" t="s">
        <v>108</v>
      </c>
      <c r="K355" t="s">
        <v>74</v>
      </c>
      <c r="L355" t="s">
        <v>74</v>
      </c>
      <c r="M355" t="s">
        <v>78</v>
      </c>
      <c r="N355" t="s">
        <v>79</v>
      </c>
      <c r="O355" t="s">
        <v>74</v>
      </c>
      <c r="P355" t="s">
        <v>74</v>
      </c>
      <c r="Q355" t="s">
        <v>74</v>
      </c>
      <c r="R355" t="s">
        <v>74</v>
      </c>
      <c r="S355" t="s">
        <v>74</v>
      </c>
      <c r="T355" t="s">
        <v>74</v>
      </c>
      <c r="U355" t="s">
        <v>6716</v>
      </c>
      <c r="V355" t="s">
        <v>6717</v>
      </c>
      <c r="W355" t="s">
        <v>6718</v>
      </c>
      <c r="X355" t="s">
        <v>6719</v>
      </c>
      <c r="Y355" t="s">
        <v>6720</v>
      </c>
      <c r="Z355" t="s">
        <v>6721</v>
      </c>
      <c r="AA355" t="s">
        <v>6722</v>
      </c>
      <c r="AB355" t="s">
        <v>6723</v>
      </c>
      <c r="AC355" t="s">
        <v>6724</v>
      </c>
      <c r="AD355" t="s">
        <v>6724</v>
      </c>
      <c r="AE355" t="s">
        <v>6725</v>
      </c>
      <c r="AF355" t="s">
        <v>74</v>
      </c>
      <c r="AG355">
        <v>20</v>
      </c>
      <c r="AH355">
        <v>45</v>
      </c>
      <c r="AI355">
        <v>49</v>
      </c>
      <c r="AJ355">
        <v>1</v>
      </c>
      <c r="AK355">
        <v>19</v>
      </c>
      <c r="AL355" t="s">
        <v>120</v>
      </c>
      <c r="AM355" t="s">
        <v>121</v>
      </c>
      <c r="AN355" t="s">
        <v>122</v>
      </c>
      <c r="AO355" t="s">
        <v>123</v>
      </c>
      <c r="AP355" t="s">
        <v>74</v>
      </c>
      <c r="AQ355" t="s">
        <v>74</v>
      </c>
      <c r="AR355" t="s">
        <v>125</v>
      </c>
      <c r="AS355" t="s">
        <v>126</v>
      </c>
      <c r="AT355" t="s">
        <v>6726</v>
      </c>
      <c r="AU355">
        <v>2011</v>
      </c>
      <c r="AV355">
        <v>38</v>
      </c>
      <c r="AW355" t="s">
        <v>74</v>
      </c>
      <c r="AX355" t="s">
        <v>74</v>
      </c>
      <c r="AY355" t="s">
        <v>74</v>
      </c>
      <c r="AZ355" t="s">
        <v>74</v>
      </c>
      <c r="BA355" t="s">
        <v>74</v>
      </c>
      <c r="BB355" t="s">
        <v>74</v>
      </c>
      <c r="BC355" t="s">
        <v>74</v>
      </c>
      <c r="BD355" t="s">
        <v>6727</v>
      </c>
      <c r="BE355" t="s">
        <v>6728</v>
      </c>
      <c r="BF355" t="str">
        <f>HYPERLINK("http://dx.doi.org/10.1029/2011GL047120","http://dx.doi.org/10.1029/2011GL047120")</f>
        <v>http://dx.doi.org/10.1029/2011GL047120</v>
      </c>
      <c r="BG355" t="s">
        <v>74</v>
      </c>
      <c r="BH355" t="s">
        <v>74</v>
      </c>
      <c r="BI355">
        <v>5</v>
      </c>
      <c r="BJ355" t="s">
        <v>130</v>
      </c>
      <c r="BK355" t="s">
        <v>100</v>
      </c>
      <c r="BL355" t="s">
        <v>131</v>
      </c>
      <c r="BM355" t="s">
        <v>6729</v>
      </c>
      <c r="BN355" t="s">
        <v>74</v>
      </c>
      <c r="BO355" t="s">
        <v>152</v>
      </c>
      <c r="BP355" t="s">
        <v>74</v>
      </c>
      <c r="BQ355" t="s">
        <v>74</v>
      </c>
      <c r="BR355" t="s">
        <v>103</v>
      </c>
      <c r="BS355" t="s">
        <v>6730</v>
      </c>
      <c r="BT355" t="str">
        <f>HYPERLINK("https%3A%2F%2Fwww.webofscience.com%2Fwos%2Fwoscc%2Ffull-record%2FWOS:000291813500001","View Full Record in Web of Science")</f>
        <v>View Full Record in Web of Science</v>
      </c>
    </row>
    <row r="356" spans="1:72" x14ac:dyDescent="0.15">
      <c r="A356" t="s">
        <v>72</v>
      </c>
      <c r="B356" t="s">
        <v>6731</v>
      </c>
      <c r="C356" t="s">
        <v>74</v>
      </c>
      <c r="D356" t="s">
        <v>74</v>
      </c>
      <c r="E356" t="s">
        <v>74</v>
      </c>
      <c r="F356" t="s">
        <v>6732</v>
      </c>
      <c r="G356" t="s">
        <v>74</v>
      </c>
      <c r="H356" t="s">
        <v>74</v>
      </c>
      <c r="I356" t="s">
        <v>6733</v>
      </c>
      <c r="J356" t="s">
        <v>6734</v>
      </c>
      <c r="K356" t="s">
        <v>74</v>
      </c>
      <c r="L356" t="s">
        <v>74</v>
      </c>
      <c r="M356" t="s">
        <v>78</v>
      </c>
      <c r="N356" t="s">
        <v>79</v>
      </c>
      <c r="O356" t="s">
        <v>74</v>
      </c>
      <c r="P356" t="s">
        <v>74</v>
      </c>
      <c r="Q356" t="s">
        <v>74</v>
      </c>
      <c r="R356" t="s">
        <v>74</v>
      </c>
      <c r="S356" t="s">
        <v>74</v>
      </c>
      <c r="T356" t="s">
        <v>6735</v>
      </c>
      <c r="U356" t="s">
        <v>6736</v>
      </c>
      <c r="V356" t="s">
        <v>6737</v>
      </c>
      <c r="W356" t="s">
        <v>6738</v>
      </c>
      <c r="X356" t="s">
        <v>6739</v>
      </c>
      <c r="Y356" t="s">
        <v>6740</v>
      </c>
      <c r="Z356" t="s">
        <v>6741</v>
      </c>
      <c r="AA356" t="s">
        <v>74</v>
      </c>
      <c r="AB356" t="s">
        <v>6742</v>
      </c>
      <c r="AC356" t="s">
        <v>74</v>
      </c>
      <c r="AD356" t="s">
        <v>74</v>
      </c>
      <c r="AE356" t="s">
        <v>74</v>
      </c>
      <c r="AF356" t="s">
        <v>74</v>
      </c>
      <c r="AG356">
        <v>52</v>
      </c>
      <c r="AH356">
        <v>6</v>
      </c>
      <c r="AI356">
        <v>7</v>
      </c>
      <c r="AJ356">
        <v>1</v>
      </c>
      <c r="AK356">
        <v>15</v>
      </c>
      <c r="AL356" t="s">
        <v>2669</v>
      </c>
      <c r="AM356" t="s">
        <v>309</v>
      </c>
      <c r="AN356" t="s">
        <v>2670</v>
      </c>
      <c r="AO356" t="s">
        <v>6743</v>
      </c>
      <c r="AP356" t="s">
        <v>74</v>
      </c>
      <c r="AQ356" t="s">
        <v>74</v>
      </c>
      <c r="AR356" t="s">
        <v>6744</v>
      </c>
      <c r="AS356" t="s">
        <v>6745</v>
      </c>
      <c r="AT356" t="s">
        <v>6746</v>
      </c>
      <c r="AU356">
        <v>2011</v>
      </c>
      <c r="AV356">
        <v>409</v>
      </c>
      <c r="AW356">
        <v>14</v>
      </c>
      <c r="AX356" t="s">
        <v>74</v>
      </c>
      <c r="AY356" t="s">
        <v>74</v>
      </c>
      <c r="AZ356" t="s">
        <v>74</v>
      </c>
      <c r="BA356" t="s">
        <v>74</v>
      </c>
      <c r="BB356">
        <v>2845</v>
      </c>
      <c r="BC356">
        <v>2851</v>
      </c>
      <c r="BD356" t="s">
        <v>74</v>
      </c>
      <c r="BE356" t="s">
        <v>6747</v>
      </c>
      <c r="BF356" t="str">
        <f>HYPERLINK("http://dx.doi.org/10.1016/j.scitotenv.2011.04.014","http://dx.doi.org/10.1016/j.scitotenv.2011.04.014")</f>
        <v>http://dx.doi.org/10.1016/j.scitotenv.2011.04.014</v>
      </c>
      <c r="BG356" t="s">
        <v>74</v>
      </c>
      <c r="BH356" t="s">
        <v>74</v>
      </c>
      <c r="BI356">
        <v>7</v>
      </c>
      <c r="BJ356" t="s">
        <v>6748</v>
      </c>
      <c r="BK356" t="s">
        <v>100</v>
      </c>
      <c r="BL356" t="s">
        <v>5193</v>
      </c>
      <c r="BM356" t="s">
        <v>6749</v>
      </c>
      <c r="BN356">
        <v>21555146</v>
      </c>
      <c r="BO356" t="s">
        <v>74</v>
      </c>
      <c r="BP356" t="s">
        <v>74</v>
      </c>
      <c r="BQ356" t="s">
        <v>74</v>
      </c>
      <c r="BR356" t="s">
        <v>103</v>
      </c>
      <c r="BS356" t="s">
        <v>6750</v>
      </c>
      <c r="BT356" t="str">
        <f>HYPERLINK("https%3A%2F%2Fwww.webofscience.com%2Fwos%2Fwoscc%2Ffull-record%2FWOS:000292483400018","View Full Record in Web of Science")</f>
        <v>View Full Record in Web of Science</v>
      </c>
    </row>
    <row r="357" spans="1:72" x14ac:dyDescent="0.15">
      <c r="A357" t="s">
        <v>72</v>
      </c>
      <c r="B357" t="s">
        <v>6751</v>
      </c>
      <c r="C357" t="s">
        <v>74</v>
      </c>
      <c r="D357" t="s">
        <v>74</v>
      </c>
      <c r="E357" t="s">
        <v>74</v>
      </c>
      <c r="F357" t="s">
        <v>6752</v>
      </c>
      <c r="G357" t="s">
        <v>74</v>
      </c>
      <c r="H357" t="s">
        <v>74</v>
      </c>
      <c r="I357" t="s">
        <v>6753</v>
      </c>
      <c r="J357" t="s">
        <v>254</v>
      </c>
      <c r="K357" t="s">
        <v>74</v>
      </c>
      <c r="L357" t="s">
        <v>74</v>
      </c>
      <c r="M357" t="s">
        <v>78</v>
      </c>
      <c r="N357" t="s">
        <v>79</v>
      </c>
      <c r="O357" t="s">
        <v>74</v>
      </c>
      <c r="P357" t="s">
        <v>74</v>
      </c>
      <c r="Q357" t="s">
        <v>74</v>
      </c>
      <c r="R357" t="s">
        <v>74</v>
      </c>
      <c r="S357" t="s">
        <v>74</v>
      </c>
      <c r="T357" t="s">
        <v>74</v>
      </c>
      <c r="U357" t="s">
        <v>6754</v>
      </c>
      <c r="V357" t="s">
        <v>6755</v>
      </c>
      <c r="W357" t="s">
        <v>6756</v>
      </c>
      <c r="X357" t="s">
        <v>6757</v>
      </c>
      <c r="Y357" t="s">
        <v>6758</v>
      </c>
      <c r="Z357" t="s">
        <v>6759</v>
      </c>
      <c r="AA357" t="s">
        <v>6760</v>
      </c>
      <c r="AB357" t="s">
        <v>6761</v>
      </c>
      <c r="AC357" t="s">
        <v>6762</v>
      </c>
      <c r="AD357" t="s">
        <v>6763</v>
      </c>
      <c r="AE357" t="s">
        <v>6764</v>
      </c>
      <c r="AF357" t="s">
        <v>74</v>
      </c>
      <c r="AG357">
        <v>89</v>
      </c>
      <c r="AH357">
        <v>37</v>
      </c>
      <c r="AI357">
        <v>41</v>
      </c>
      <c r="AJ357">
        <v>1</v>
      </c>
      <c r="AK357">
        <v>15</v>
      </c>
      <c r="AL357" t="s">
        <v>120</v>
      </c>
      <c r="AM357" t="s">
        <v>121</v>
      </c>
      <c r="AN357" t="s">
        <v>122</v>
      </c>
      <c r="AO357" t="s">
        <v>265</v>
      </c>
      <c r="AP357" t="s">
        <v>266</v>
      </c>
      <c r="AQ357" t="s">
        <v>74</v>
      </c>
      <c r="AR357" t="s">
        <v>267</v>
      </c>
      <c r="AS357" t="s">
        <v>268</v>
      </c>
      <c r="AT357" t="s">
        <v>6746</v>
      </c>
      <c r="AU357">
        <v>2011</v>
      </c>
      <c r="AV357">
        <v>116</v>
      </c>
      <c r="AW357" t="s">
        <v>74</v>
      </c>
      <c r="AX357" t="s">
        <v>74</v>
      </c>
      <c r="AY357" t="s">
        <v>74</v>
      </c>
      <c r="AZ357" t="s">
        <v>74</v>
      </c>
      <c r="BA357" t="s">
        <v>74</v>
      </c>
      <c r="BB357" t="s">
        <v>74</v>
      </c>
      <c r="BC357" t="s">
        <v>74</v>
      </c>
      <c r="BD357" t="s">
        <v>6765</v>
      </c>
      <c r="BE357" t="s">
        <v>6766</v>
      </c>
      <c r="BF357" t="str">
        <f>HYPERLINK("http://dx.doi.org/10.1029/2011JC006949","http://dx.doi.org/10.1029/2011JC006949")</f>
        <v>http://dx.doi.org/10.1029/2011JC006949</v>
      </c>
      <c r="BG357" t="s">
        <v>74</v>
      </c>
      <c r="BH357" t="s">
        <v>74</v>
      </c>
      <c r="BI357">
        <v>18</v>
      </c>
      <c r="BJ357" t="s">
        <v>271</v>
      </c>
      <c r="BK357" t="s">
        <v>100</v>
      </c>
      <c r="BL357" t="s">
        <v>271</v>
      </c>
      <c r="BM357" t="s">
        <v>6767</v>
      </c>
      <c r="BN357" t="s">
        <v>74</v>
      </c>
      <c r="BO357" t="s">
        <v>6768</v>
      </c>
      <c r="BP357" t="s">
        <v>74</v>
      </c>
      <c r="BQ357" t="s">
        <v>74</v>
      </c>
      <c r="BR357" t="s">
        <v>103</v>
      </c>
      <c r="BS357" t="s">
        <v>6769</v>
      </c>
      <c r="BT357" t="str">
        <f>HYPERLINK("https%3A%2F%2Fwww.webofscience.com%2Fwos%2Fwoscc%2Ffull-record%2FWOS:000291824300004","View Full Record in Web of Science")</f>
        <v>View Full Record in Web of Science</v>
      </c>
    </row>
    <row r="358" spans="1:72" x14ac:dyDescent="0.15">
      <c r="A358" t="s">
        <v>72</v>
      </c>
      <c r="B358" t="s">
        <v>6770</v>
      </c>
      <c r="C358" t="s">
        <v>74</v>
      </c>
      <c r="D358" t="s">
        <v>74</v>
      </c>
      <c r="E358" t="s">
        <v>74</v>
      </c>
      <c r="F358" t="s">
        <v>6771</v>
      </c>
      <c r="G358" t="s">
        <v>74</v>
      </c>
      <c r="H358" t="s">
        <v>74</v>
      </c>
      <c r="I358" t="s">
        <v>6772</v>
      </c>
      <c r="J358" t="s">
        <v>77</v>
      </c>
      <c r="K358" t="s">
        <v>74</v>
      </c>
      <c r="L358" t="s">
        <v>74</v>
      </c>
      <c r="M358" t="s">
        <v>78</v>
      </c>
      <c r="N358" t="s">
        <v>79</v>
      </c>
      <c r="O358" t="s">
        <v>74</v>
      </c>
      <c r="P358" t="s">
        <v>74</v>
      </c>
      <c r="Q358" t="s">
        <v>74</v>
      </c>
      <c r="R358" t="s">
        <v>74</v>
      </c>
      <c r="S358" t="s">
        <v>74</v>
      </c>
      <c r="T358" t="s">
        <v>6773</v>
      </c>
      <c r="U358" t="s">
        <v>6774</v>
      </c>
      <c r="V358" t="s">
        <v>6775</v>
      </c>
      <c r="W358" t="s">
        <v>6776</v>
      </c>
      <c r="X358" t="s">
        <v>6777</v>
      </c>
      <c r="Y358" t="s">
        <v>6778</v>
      </c>
      <c r="Z358" t="s">
        <v>6779</v>
      </c>
      <c r="AA358" t="s">
        <v>6780</v>
      </c>
      <c r="AB358" t="s">
        <v>74</v>
      </c>
      <c r="AC358" t="s">
        <v>6781</v>
      </c>
      <c r="AD358" t="s">
        <v>6782</v>
      </c>
      <c r="AE358" t="s">
        <v>6783</v>
      </c>
      <c r="AF358" t="s">
        <v>74</v>
      </c>
      <c r="AG358">
        <v>62</v>
      </c>
      <c r="AH358">
        <v>4</v>
      </c>
      <c r="AI358">
        <v>5</v>
      </c>
      <c r="AJ358">
        <v>0</v>
      </c>
      <c r="AK358">
        <v>19</v>
      </c>
      <c r="AL358" t="s">
        <v>90</v>
      </c>
      <c r="AM358" t="s">
        <v>91</v>
      </c>
      <c r="AN358" t="s">
        <v>92</v>
      </c>
      <c r="AO358" t="s">
        <v>93</v>
      </c>
      <c r="AP358" t="s">
        <v>94</v>
      </c>
      <c r="AQ358" t="s">
        <v>74</v>
      </c>
      <c r="AR358" t="s">
        <v>95</v>
      </c>
      <c r="AS358" t="s">
        <v>96</v>
      </c>
      <c r="AT358" t="s">
        <v>6746</v>
      </c>
      <c r="AU358">
        <v>2011</v>
      </c>
      <c r="AV358">
        <v>115</v>
      </c>
      <c r="AW358">
        <v>6</v>
      </c>
      <c r="AX358" t="s">
        <v>74</v>
      </c>
      <c r="AY358" t="s">
        <v>74</v>
      </c>
      <c r="AZ358" t="s">
        <v>74</v>
      </c>
      <c r="BA358" t="s">
        <v>74</v>
      </c>
      <c r="BB358">
        <v>1434</v>
      </c>
      <c r="BC358">
        <v>1442</v>
      </c>
      <c r="BD358" t="s">
        <v>74</v>
      </c>
      <c r="BE358" t="s">
        <v>6784</v>
      </c>
      <c r="BF358" t="str">
        <f>HYPERLINK("http://dx.doi.org/10.1016/j.rse.2011.01.023","http://dx.doi.org/10.1016/j.rse.2011.01.023")</f>
        <v>http://dx.doi.org/10.1016/j.rse.2011.01.023</v>
      </c>
      <c r="BG358" t="s">
        <v>74</v>
      </c>
      <c r="BH358" t="s">
        <v>74</v>
      </c>
      <c r="BI358">
        <v>9</v>
      </c>
      <c r="BJ358" t="s">
        <v>99</v>
      </c>
      <c r="BK358" t="s">
        <v>100</v>
      </c>
      <c r="BL358" t="s">
        <v>101</v>
      </c>
      <c r="BM358" t="s">
        <v>6785</v>
      </c>
      <c r="BN358" t="s">
        <v>74</v>
      </c>
      <c r="BO358" t="s">
        <v>74</v>
      </c>
      <c r="BP358" t="s">
        <v>74</v>
      </c>
      <c r="BQ358" t="s">
        <v>74</v>
      </c>
      <c r="BR358" t="s">
        <v>103</v>
      </c>
      <c r="BS358" t="s">
        <v>6786</v>
      </c>
      <c r="BT358" t="str">
        <f>HYPERLINK("https%3A%2F%2Fwww.webofscience.com%2Fwos%2Fwoscc%2Ffull-record%2FWOS:000290011200013","View Full Record in Web of Science")</f>
        <v>View Full Record in Web of Science</v>
      </c>
    </row>
    <row r="359" spans="1:72" x14ac:dyDescent="0.15">
      <c r="A359" t="s">
        <v>72</v>
      </c>
      <c r="B359" t="s">
        <v>6787</v>
      </c>
      <c r="C359" t="s">
        <v>74</v>
      </c>
      <c r="D359" t="s">
        <v>74</v>
      </c>
      <c r="E359" t="s">
        <v>74</v>
      </c>
      <c r="F359" t="s">
        <v>6788</v>
      </c>
      <c r="G359" t="s">
        <v>74</v>
      </c>
      <c r="H359" t="s">
        <v>74</v>
      </c>
      <c r="I359" t="s">
        <v>6789</v>
      </c>
      <c r="J359" t="s">
        <v>108</v>
      </c>
      <c r="K359" t="s">
        <v>74</v>
      </c>
      <c r="L359" t="s">
        <v>74</v>
      </c>
      <c r="M359" t="s">
        <v>78</v>
      </c>
      <c r="N359" t="s">
        <v>79</v>
      </c>
      <c r="O359" t="s">
        <v>74</v>
      </c>
      <c r="P359" t="s">
        <v>74</v>
      </c>
      <c r="Q359" t="s">
        <v>74</v>
      </c>
      <c r="R359" t="s">
        <v>74</v>
      </c>
      <c r="S359" t="s">
        <v>74</v>
      </c>
      <c r="T359" t="s">
        <v>74</v>
      </c>
      <c r="U359" t="s">
        <v>6790</v>
      </c>
      <c r="V359" t="s">
        <v>6791</v>
      </c>
      <c r="W359" t="s">
        <v>6792</v>
      </c>
      <c r="X359" t="s">
        <v>6793</v>
      </c>
      <c r="Y359" t="s">
        <v>6794</v>
      </c>
      <c r="Z359" t="s">
        <v>6795</v>
      </c>
      <c r="AA359" t="s">
        <v>6796</v>
      </c>
      <c r="AB359" t="s">
        <v>6797</v>
      </c>
      <c r="AC359" t="s">
        <v>6798</v>
      </c>
      <c r="AD359" t="s">
        <v>6799</v>
      </c>
      <c r="AE359" t="s">
        <v>6800</v>
      </c>
      <c r="AF359" t="s">
        <v>74</v>
      </c>
      <c r="AG359">
        <v>29</v>
      </c>
      <c r="AH359">
        <v>57</v>
      </c>
      <c r="AI359">
        <v>65</v>
      </c>
      <c r="AJ359">
        <v>0</v>
      </c>
      <c r="AK359">
        <v>29</v>
      </c>
      <c r="AL359" t="s">
        <v>120</v>
      </c>
      <c r="AM359" t="s">
        <v>121</v>
      </c>
      <c r="AN359" t="s">
        <v>122</v>
      </c>
      <c r="AO359" t="s">
        <v>123</v>
      </c>
      <c r="AP359" t="s">
        <v>124</v>
      </c>
      <c r="AQ359" t="s">
        <v>74</v>
      </c>
      <c r="AR359" t="s">
        <v>125</v>
      </c>
      <c r="AS359" t="s">
        <v>126</v>
      </c>
      <c r="AT359" t="s">
        <v>6801</v>
      </c>
      <c r="AU359">
        <v>2011</v>
      </c>
      <c r="AV359">
        <v>38</v>
      </c>
      <c r="AW359" t="s">
        <v>74</v>
      </c>
      <c r="AX359" t="s">
        <v>74</v>
      </c>
      <c r="AY359" t="s">
        <v>74</v>
      </c>
      <c r="AZ359" t="s">
        <v>74</v>
      </c>
      <c r="BA359" t="s">
        <v>74</v>
      </c>
      <c r="BB359" t="s">
        <v>74</v>
      </c>
      <c r="BC359" t="s">
        <v>74</v>
      </c>
      <c r="BD359" t="s">
        <v>6802</v>
      </c>
      <c r="BE359" t="s">
        <v>6803</v>
      </c>
      <c r="BF359" t="str">
        <f>HYPERLINK("http://dx.doi.org/10.1029/2011GL047668","http://dx.doi.org/10.1029/2011GL047668")</f>
        <v>http://dx.doi.org/10.1029/2011GL047668</v>
      </c>
      <c r="BG359" t="s">
        <v>74</v>
      </c>
      <c r="BH359" t="s">
        <v>74</v>
      </c>
      <c r="BI359">
        <v>6</v>
      </c>
      <c r="BJ359" t="s">
        <v>130</v>
      </c>
      <c r="BK359" t="s">
        <v>100</v>
      </c>
      <c r="BL359" t="s">
        <v>131</v>
      </c>
      <c r="BM359" t="s">
        <v>6804</v>
      </c>
      <c r="BN359" t="s">
        <v>74</v>
      </c>
      <c r="BO359" t="s">
        <v>6805</v>
      </c>
      <c r="BP359" t="s">
        <v>74</v>
      </c>
      <c r="BQ359" t="s">
        <v>74</v>
      </c>
      <c r="BR359" t="s">
        <v>103</v>
      </c>
      <c r="BS359" t="s">
        <v>6806</v>
      </c>
      <c r="BT359" t="str">
        <f>HYPERLINK("https%3A%2F%2Fwww.webofscience.com%2Fwos%2Fwoscc%2Ffull-record%2FWOS:000291812900003","View Full Record in Web of Science")</f>
        <v>View Full Record in Web of Science</v>
      </c>
    </row>
    <row r="360" spans="1:72" x14ac:dyDescent="0.15">
      <c r="A360" t="s">
        <v>72</v>
      </c>
      <c r="B360" t="s">
        <v>6807</v>
      </c>
      <c r="C360" t="s">
        <v>74</v>
      </c>
      <c r="D360" t="s">
        <v>74</v>
      </c>
      <c r="E360" t="s">
        <v>74</v>
      </c>
      <c r="F360" t="s">
        <v>6808</v>
      </c>
      <c r="G360" t="s">
        <v>74</v>
      </c>
      <c r="H360" t="s">
        <v>74</v>
      </c>
      <c r="I360" t="s">
        <v>6809</v>
      </c>
      <c r="J360" t="s">
        <v>254</v>
      </c>
      <c r="K360" t="s">
        <v>74</v>
      </c>
      <c r="L360" t="s">
        <v>74</v>
      </c>
      <c r="M360" t="s">
        <v>78</v>
      </c>
      <c r="N360" t="s">
        <v>79</v>
      </c>
      <c r="O360" t="s">
        <v>74</v>
      </c>
      <c r="P360" t="s">
        <v>74</v>
      </c>
      <c r="Q360" t="s">
        <v>74</v>
      </c>
      <c r="R360" t="s">
        <v>74</v>
      </c>
      <c r="S360" t="s">
        <v>74</v>
      </c>
      <c r="T360" t="s">
        <v>74</v>
      </c>
      <c r="U360" t="s">
        <v>6810</v>
      </c>
      <c r="V360" t="s">
        <v>6811</v>
      </c>
      <c r="W360" t="s">
        <v>6812</v>
      </c>
      <c r="X360" t="s">
        <v>6813</v>
      </c>
      <c r="Y360" t="s">
        <v>6814</v>
      </c>
      <c r="Z360" t="s">
        <v>6815</v>
      </c>
      <c r="AA360" t="s">
        <v>6816</v>
      </c>
      <c r="AB360" t="s">
        <v>6817</v>
      </c>
      <c r="AC360" t="s">
        <v>74</v>
      </c>
      <c r="AD360" t="s">
        <v>74</v>
      </c>
      <c r="AE360" t="s">
        <v>74</v>
      </c>
      <c r="AF360" t="s">
        <v>74</v>
      </c>
      <c r="AG360">
        <v>46</v>
      </c>
      <c r="AH360">
        <v>12</v>
      </c>
      <c r="AI360">
        <v>12</v>
      </c>
      <c r="AJ360">
        <v>2</v>
      </c>
      <c r="AK360">
        <v>17</v>
      </c>
      <c r="AL360" t="s">
        <v>120</v>
      </c>
      <c r="AM360" t="s">
        <v>121</v>
      </c>
      <c r="AN360" t="s">
        <v>122</v>
      </c>
      <c r="AO360" t="s">
        <v>265</v>
      </c>
      <c r="AP360" t="s">
        <v>266</v>
      </c>
      <c r="AQ360" t="s">
        <v>74</v>
      </c>
      <c r="AR360" t="s">
        <v>267</v>
      </c>
      <c r="AS360" t="s">
        <v>268</v>
      </c>
      <c r="AT360" t="s">
        <v>6801</v>
      </c>
      <c r="AU360">
        <v>2011</v>
      </c>
      <c r="AV360">
        <v>116</v>
      </c>
      <c r="AW360" t="s">
        <v>74</v>
      </c>
      <c r="AX360" t="s">
        <v>74</v>
      </c>
      <c r="AY360" t="s">
        <v>74</v>
      </c>
      <c r="AZ360" t="s">
        <v>74</v>
      </c>
      <c r="BA360" t="s">
        <v>74</v>
      </c>
      <c r="BB360" t="s">
        <v>74</v>
      </c>
      <c r="BC360" t="s">
        <v>74</v>
      </c>
      <c r="BD360" t="s">
        <v>6818</v>
      </c>
      <c r="BE360" t="s">
        <v>6819</v>
      </c>
      <c r="BF360" t="str">
        <f>HYPERLINK("http://dx.doi.org/10.1029/2010JC006515","http://dx.doi.org/10.1029/2010JC006515")</f>
        <v>http://dx.doi.org/10.1029/2010JC006515</v>
      </c>
      <c r="BG360" t="s">
        <v>74</v>
      </c>
      <c r="BH360" t="s">
        <v>74</v>
      </c>
      <c r="BI360">
        <v>10</v>
      </c>
      <c r="BJ360" t="s">
        <v>271</v>
      </c>
      <c r="BK360" t="s">
        <v>100</v>
      </c>
      <c r="BL360" t="s">
        <v>271</v>
      </c>
      <c r="BM360" t="s">
        <v>6820</v>
      </c>
      <c r="BN360" t="s">
        <v>74</v>
      </c>
      <c r="BO360" t="s">
        <v>702</v>
      </c>
      <c r="BP360" t="s">
        <v>74</v>
      </c>
      <c r="BQ360" t="s">
        <v>74</v>
      </c>
      <c r="BR360" t="s">
        <v>103</v>
      </c>
      <c r="BS360" t="s">
        <v>6821</v>
      </c>
      <c r="BT360" t="str">
        <f>HYPERLINK("https%3A%2F%2Fwww.webofscience.com%2Fwos%2Fwoscc%2Ffull-record%2FWOS:000291824100001","View Full Record in Web of Science")</f>
        <v>View Full Record in Web of Science</v>
      </c>
    </row>
    <row r="361" spans="1:72" x14ac:dyDescent="0.15">
      <c r="A361" t="s">
        <v>72</v>
      </c>
      <c r="B361" t="s">
        <v>6822</v>
      </c>
      <c r="C361" t="s">
        <v>74</v>
      </c>
      <c r="D361" t="s">
        <v>74</v>
      </c>
      <c r="E361" t="s">
        <v>74</v>
      </c>
      <c r="F361" t="s">
        <v>6823</v>
      </c>
      <c r="G361" t="s">
        <v>74</v>
      </c>
      <c r="H361" t="s">
        <v>74</v>
      </c>
      <c r="I361" t="s">
        <v>6824</v>
      </c>
      <c r="J361" t="s">
        <v>349</v>
      </c>
      <c r="K361" t="s">
        <v>74</v>
      </c>
      <c r="L361" t="s">
        <v>74</v>
      </c>
      <c r="M361" t="s">
        <v>78</v>
      </c>
      <c r="N361" t="s">
        <v>79</v>
      </c>
      <c r="O361" t="s">
        <v>74</v>
      </c>
      <c r="P361" t="s">
        <v>74</v>
      </c>
      <c r="Q361" t="s">
        <v>74</v>
      </c>
      <c r="R361" t="s">
        <v>74</v>
      </c>
      <c r="S361" t="s">
        <v>74</v>
      </c>
      <c r="T361" t="s">
        <v>74</v>
      </c>
      <c r="U361" t="s">
        <v>6825</v>
      </c>
      <c r="V361" t="s">
        <v>6826</v>
      </c>
      <c r="W361" t="s">
        <v>6827</v>
      </c>
      <c r="X361" t="s">
        <v>6828</v>
      </c>
      <c r="Y361" t="s">
        <v>6829</v>
      </c>
      <c r="Z361" t="s">
        <v>6830</v>
      </c>
      <c r="AA361" t="s">
        <v>6831</v>
      </c>
      <c r="AB361" t="s">
        <v>6832</v>
      </c>
      <c r="AC361" t="s">
        <v>6833</v>
      </c>
      <c r="AD361" t="s">
        <v>6834</v>
      </c>
      <c r="AE361" t="s">
        <v>6835</v>
      </c>
      <c r="AF361" t="s">
        <v>74</v>
      </c>
      <c r="AG361">
        <v>51</v>
      </c>
      <c r="AH361">
        <v>29</v>
      </c>
      <c r="AI361">
        <v>30</v>
      </c>
      <c r="AJ361">
        <v>0</v>
      </c>
      <c r="AK361">
        <v>25</v>
      </c>
      <c r="AL361" t="s">
        <v>120</v>
      </c>
      <c r="AM361" t="s">
        <v>121</v>
      </c>
      <c r="AN361" t="s">
        <v>122</v>
      </c>
      <c r="AO361" t="s">
        <v>361</v>
      </c>
      <c r="AP361" t="s">
        <v>362</v>
      </c>
      <c r="AQ361" t="s">
        <v>74</v>
      </c>
      <c r="AR361" t="s">
        <v>363</v>
      </c>
      <c r="AS361" t="s">
        <v>364</v>
      </c>
      <c r="AT361" t="s">
        <v>6836</v>
      </c>
      <c r="AU361">
        <v>2011</v>
      </c>
      <c r="AV361">
        <v>116</v>
      </c>
      <c r="AW361" t="s">
        <v>74</v>
      </c>
      <c r="AX361" t="s">
        <v>74</v>
      </c>
      <c r="AY361" t="s">
        <v>74</v>
      </c>
      <c r="AZ361" t="s">
        <v>74</v>
      </c>
      <c r="BA361" t="s">
        <v>74</v>
      </c>
      <c r="BB361" t="s">
        <v>74</v>
      </c>
      <c r="BC361" t="s">
        <v>74</v>
      </c>
      <c r="BD361" t="s">
        <v>6837</v>
      </c>
      <c r="BE361" t="s">
        <v>6838</v>
      </c>
      <c r="BF361" t="str">
        <f>HYPERLINK("http://dx.doi.org/10.1029/2010JF001785","http://dx.doi.org/10.1029/2010JF001785")</f>
        <v>http://dx.doi.org/10.1029/2010JF001785</v>
      </c>
      <c r="BG361" t="s">
        <v>74</v>
      </c>
      <c r="BH361" t="s">
        <v>74</v>
      </c>
      <c r="BI361">
        <v>17</v>
      </c>
      <c r="BJ361" t="s">
        <v>130</v>
      </c>
      <c r="BK361" t="s">
        <v>100</v>
      </c>
      <c r="BL361" t="s">
        <v>131</v>
      </c>
      <c r="BM361" t="s">
        <v>6839</v>
      </c>
      <c r="BN361" t="s">
        <v>74</v>
      </c>
      <c r="BO361" t="s">
        <v>6840</v>
      </c>
      <c r="BP361" t="s">
        <v>74</v>
      </c>
      <c r="BQ361" t="s">
        <v>74</v>
      </c>
      <c r="BR361" t="s">
        <v>103</v>
      </c>
      <c r="BS361" t="s">
        <v>6841</v>
      </c>
      <c r="BT361" t="str">
        <f>HYPERLINK("https%3A%2F%2Fwww.webofscience.com%2Fwos%2Fwoscc%2Ffull-record%2FWOS:000291547200001","View Full Record in Web of Science")</f>
        <v>View Full Record in Web of Science</v>
      </c>
    </row>
    <row r="362" spans="1:72" x14ac:dyDescent="0.15">
      <c r="A362" t="s">
        <v>72</v>
      </c>
      <c r="B362" t="s">
        <v>6842</v>
      </c>
      <c r="C362" t="s">
        <v>74</v>
      </c>
      <c r="D362" t="s">
        <v>74</v>
      </c>
      <c r="E362" t="s">
        <v>74</v>
      </c>
      <c r="F362" t="s">
        <v>6843</v>
      </c>
      <c r="G362" t="s">
        <v>74</v>
      </c>
      <c r="H362" t="s">
        <v>74</v>
      </c>
      <c r="I362" t="s">
        <v>6844</v>
      </c>
      <c r="J362" t="s">
        <v>521</v>
      </c>
      <c r="K362" t="s">
        <v>74</v>
      </c>
      <c r="L362" t="s">
        <v>74</v>
      </c>
      <c r="M362" t="s">
        <v>78</v>
      </c>
      <c r="N362" t="s">
        <v>79</v>
      </c>
      <c r="O362" t="s">
        <v>74</v>
      </c>
      <c r="P362" t="s">
        <v>74</v>
      </c>
      <c r="Q362" t="s">
        <v>74</v>
      </c>
      <c r="R362" t="s">
        <v>74</v>
      </c>
      <c r="S362" t="s">
        <v>74</v>
      </c>
      <c r="T362" t="s">
        <v>74</v>
      </c>
      <c r="U362" t="s">
        <v>6845</v>
      </c>
      <c r="V362" t="s">
        <v>6846</v>
      </c>
      <c r="W362" t="s">
        <v>6847</v>
      </c>
      <c r="X362" t="s">
        <v>6848</v>
      </c>
      <c r="Y362" t="s">
        <v>6849</v>
      </c>
      <c r="Z362" t="s">
        <v>6850</v>
      </c>
      <c r="AA362" t="s">
        <v>74</v>
      </c>
      <c r="AB362" t="s">
        <v>6851</v>
      </c>
      <c r="AC362" t="s">
        <v>6852</v>
      </c>
      <c r="AD362" t="s">
        <v>6853</v>
      </c>
      <c r="AE362" t="s">
        <v>6854</v>
      </c>
      <c r="AF362" t="s">
        <v>74</v>
      </c>
      <c r="AG362">
        <v>138</v>
      </c>
      <c r="AH362">
        <v>101</v>
      </c>
      <c r="AI362">
        <v>107</v>
      </c>
      <c r="AJ362">
        <v>3</v>
      </c>
      <c r="AK362">
        <v>51</v>
      </c>
      <c r="AL362" t="s">
        <v>120</v>
      </c>
      <c r="AM362" t="s">
        <v>121</v>
      </c>
      <c r="AN362" t="s">
        <v>122</v>
      </c>
      <c r="AO362" t="s">
        <v>531</v>
      </c>
      <c r="AP362" t="s">
        <v>571</v>
      </c>
      <c r="AQ362" t="s">
        <v>74</v>
      </c>
      <c r="AR362" t="s">
        <v>521</v>
      </c>
      <c r="AS362" t="s">
        <v>532</v>
      </c>
      <c r="AT362" t="s">
        <v>6836</v>
      </c>
      <c r="AU362">
        <v>2011</v>
      </c>
      <c r="AV362">
        <v>26</v>
      </c>
      <c r="AW362" t="s">
        <v>74</v>
      </c>
      <c r="AX362" t="s">
        <v>74</v>
      </c>
      <c r="AY362" t="s">
        <v>74</v>
      </c>
      <c r="AZ362" t="s">
        <v>74</v>
      </c>
      <c r="BA362" t="s">
        <v>74</v>
      </c>
      <c r="BB362" t="s">
        <v>74</v>
      </c>
      <c r="BC362" t="s">
        <v>74</v>
      </c>
      <c r="BD362" t="s">
        <v>6855</v>
      </c>
      <c r="BE362" t="s">
        <v>6856</v>
      </c>
      <c r="BF362" t="str">
        <f>HYPERLINK("http://dx.doi.org/10.1029/2010PA002021","http://dx.doi.org/10.1029/2010PA002021")</f>
        <v>http://dx.doi.org/10.1029/2010PA002021</v>
      </c>
      <c r="BG362" t="s">
        <v>74</v>
      </c>
      <c r="BH362" t="s">
        <v>74</v>
      </c>
      <c r="BI362">
        <v>18</v>
      </c>
      <c r="BJ362" t="s">
        <v>535</v>
      </c>
      <c r="BK362" t="s">
        <v>100</v>
      </c>
      <c r="BL362" t="s">
        <v>536</v>
      </c>
      <c r="BM362" t="s">
        <v>6857</v>
      </c>
      <c r="BN362" t="s">
        <v>74</v>
      </c>
      <c r="BO362" t="s">
        <v>393</v>
      </c>
      <c r="BP362" t="s">
        <v>74</v>
      </c>
      <c r="BQ362" t="s">
        <v>74</v>
      </c>
      <c r="BR362" t="s">
        <v>103</v>
      </c>
      <c r="BS362" t="s">
        <v>6858</v>
      </c>
      <c r="BT362" t="str">
        <f>HYPERLINK("https%3A%2F%2Fwww.webofscience.com%2Fwos%2Fwoscc%2Ffull-record%2FWOS:000291556500002","View Full Record in Web of Science")</f>
        <v>View Full Record in Web of Science</v>
      </c>
    </row>
    <row r="363" spans="1:72" x14ac:dyDescent="0.15">
      <c r="A363" t="s">
        <v>72</v>
      </c>
      <c r="B363" t="s">
        <v>6859</v>
      </c>
      <c r="C363" t="s">
        <v>74</v>
      </c>
      <c r="D363" t="s">
        <v>74</v>
      </c>
      <c r="E363" t="s">
        <v>74</v>
      </c>
      <c r="F363" t="s">
        <v>6860</v>
      </c>
      <c r="G363" t="s">
        <v>74</v>
      </c>
      <c r="H363" t="s">
        <v>74</v>
      </c>
      <c r="I363" t="s">
        <v>6861</v>
      </c>
      <c r="J363" t="s">
        <v>6862</v>
      </c>
      <c r="K363" t="s">
        <v>74</v>
      </c>
      <c r="L363" t="s">
        <v>74</v>
      </c>
      <c r="M363" t="s">
        <v>78</v>
      </c>
      <c r="N363" t="s">
        <v>79</v>
      </c>
      <c r="O363" t="s">
        <v>74</v>
      </c>
      <c r="P363" t="s">
        <v>74</v>
      </c>
      <c r="Q363" t="s">
        <v>74</v>
      </c>
      <c r="R363" t="s">
        <v>74</v>
      </c>
      <c r="S363" t="s">
        <v>74</v>
      </c>
      <c r="T363" t="s">
        <v>6863</v>
      </c>
      <c r="U363" t="s">
        <v>6864</v>
      </c>
      <c r="V363" t="s">
        <v>6865</v>
      </c>
      <c r="W363" t="s">
        <v>6866</v>
      </c>
      <c r="X363" t="s">
        <v>3982</v>
      </c>
      <c r="Y363" t="s">
        <v>6867</v>
      </c>
      <c r="Z363" t="s">
        <v>6868</v>
      </c>
      <c r="AA363" t="s">
        <v>74</v>
      </c>
      <c r="AB363" t="s">
        <v>74</v>
      </c>
      <c r="AC363" t="s">
        <v>74</v>
      </c>
      <c r="AD363" t="s">
        <v>74</v>
      </c>
      <c r="AE363" t="s">
        <v>74</v>
      </c>
      <c r="AF363" t="s">
        <v>74</v>
      </c>
      <c r="AG363">
        <v>32</v>
      </c>
      <c r="AH363">
        <v>17</v>
      </c>
      <c r="AI363">
        <v>20</v>
      </c>
      <c r="AJ363">
        <v>0</v>
      </c>
      <c r="AK363">
        <v>22</v>
      </c>
      <c r="AL363" t="s">
        <v>793</v>
      </c>
      <c r="AM363" t="s">
        <v>794</v>
      </c>
      <c r="AN363" t="s">
        <v>795</v>
      </c>
      <c r="AO363" t="s">
        <v>6869</v>
      </c>
      <c r="AP363" t="s">
        <v>74</v>
      </c>
      <c r="AQ363" t="s">
        <v>74</v>
      </c>
      <c r="AR363" t="s">
        <v>6870</v>
      </c>
      <c r="AS363" t="s">
        <v>6871</v>
      </c>
      <c r="AT363" t="s">
        <v>6872</v>
      </c>
      <c r="AU363">
        <v>2011</v>
      </c>
      <c r="AV363">
        <v>100</v>
      </c>
      <c r="AW363">
        <v>11</v>
      </c>
      <c r="AX363" t="s">
        <v>74</v>
      </c>
      <c r="AY363" t="s">
        <v>74</v>
      </c>
      <c r="AZ363" t="s">
        <v>74</v>
      </c>
      <c r="BA363" t="s">
        <v>74</v>
      </c>
      <c r="BB363">
        <v>1701</v>
      </c>
      <c r="BC363">
        <v>1705</v>
      </c>
      <c r="BD363" t="s">
        <v>74</v>
      </c>
      <c r="BE363" t="s">
        <v>74</v>
      </c>
      <c r="BF363" t="s">
        <v>74</v>
      </c>
      <c r="BG363" t="s">
        <v>74</v>
      </c>
      <c r="BH363" t="s">
        <v>74</v>
      </c>
      <c r="BI363">
        <v>5</v>
      </c>
      <c r="BJ363" t="s">
        <v>177</v>
      </c>
      <c r="BK363" t="s">
        <v>100</v>
      </c>
      <c r="BL363" t="s">
        <v>178</v>
      </c>
      <c r="BM363" t="s">
        <v>6873</v>
      </c>
      <c r="BN363" t="s">
        <v>74</v>
      </c>
      <c r="BO363" t="s">
        <v>74</v>
      </c>
      <c r="BP363" t="s">
        <v>74</v>
      </c>
      <c r="BQ363" t="s">
        <v>74</v>
      </c>
      <c r="BR363" t="s">
        <v>103</v>
      </c>
      <c r="BS363" t="s">
        <v>6874</v>
      </c>
      <c r="BT363" t="str">
        <f>HYPERLINK("https%3A%2F%2Fwww.webofscience.com%2Fwos%2Fwoscc%2Ffull-record%2FWOS:000292455700028","View Full Record in Web of Science")</f>
        <v>View Full Record in Web of Science</v>
      </c>
    </row>
    <row r="364" spans="1:72" x14ac:dyDescent="0.15">
      <c r="A364" t="s">
        <v>72</v>
      </c>
      <c r="B364" t="s">
        <v>6875</v>
      </c>
      <c r="C364" t="s">
        <v>74</v>
      </c>
      <c r="D364" t="s">
        <v>74</v>
      </c>
      <c r="E364" t="s">
        <v>74</v>
      </c>
      <c r="F364" t="s">
        <v>6876</v>
      </c>
      <c r="G364" t="s">
        <v>74</v>
      </c>
      <c r="H364" t="s">
        <v>74</v>
      </c>
      <c r="I364" t="s">
        <v>6877</v>
      </c>
      <c r="J364" t="s">
        <v>230</v>
      </c>
      <c r="K364" t="s">
        <v>74</v>
      </c>
      <c r="L364" t="s">
        <v>74</v>
      </c>
      <c r="M364" t="s">
        <v>78</v>
      </c>
      <c r="N364" t="s">
        <v>79</v>
      </c>
      <c r="O364" t="s">
        <v>74</v>
      </c>
      <c r="P364" t="s">
        <v>74</v>
      </c>
      <c r="Q364" t="s">
        <v>74</v>
      </c>
      <c r="R364" t="s">
        <v>74</v>
      </c>
      <c r="S364" t="s">
        <v>74</v>
      </c>
      <c r="T364" t="s">
        <v>74</v>
      </c>
      <c r="U364" t="s">
        <v>6878</v>
      </c>
      <c r="V364" t="s">
        <v>6879</v>
      </c>
      <c r="W364" t="s">
        <v>6880</v>
      </c>
      <c r="X364" t="s">
        <v>6881</v>
      </c>
      <c r="Y364" t="s">
        <v>6882</v>
      </c>
      <c r="Z364" t="s">
        <v>6883</v>
      </c>
      <c r="AA364" t="s">
        <v>6884</v>
      </c>
      <c r="AB364" t="s">
        <v>6885</v>
      </c>
      <c r="AC364" t="s">
        <v>6886</v>
      </c>
      <c r="AD364" t="s">
        <v>6887</v>
      </c>
      <c r="AE364" t="s">
        <v>6888</v>
      </c>
      <c r="AF364" t="s">
        <v>74</v>
      </c>
      <c r="AG364">
        <v>74</v>
      </c>
      <c r="AH364">
        <v>119</v>
      </c>
      <c r="AI364">
        <v>123</v>
      </c>
      <c r="AJ364">
        <v>1</v>
      </c>
      <c r="AK364">
        <v>45</v>
      </c>
      <c r="AL364" t="s">
        <v>120</v>
      </c>
      <c r="AM364" t="s">
        <v>121</v>
      </c>
      <c r="AN364" t="s">
        <v>122</v>
      </c>
      <c r="AO364" t="s">
        <v>242</v>
      </c>
      <c r="AP364" t="s">
        <v>243</v>
      </c>
      <c r="AQ364" t="s">
        <v>74</v>
      </c>
      <c r="AR364" t="s">
        <v>244</v>
      </c>
      <c r="AS364" t="s">
        <v>245</v>
      </c>
      <c r="AT364" t="s">
        <v>6872</v>
      </c>
      <c r="AU364">
        <v>2011</v>
      </c>
      <c r="AV364">
        <v>116</v>
      </c>
      <c r="AW364" t="s">
        <v>74</v>
      </c>
      <c r="AX364" t="s">
        <v>74</v>
      </c>
      <c r="AY364" t="s">
        <v>74</v>
      </c>
      <c r="AZ364" t="s">
        <v>74</v>
      </c>
      <c r="BA364" t="s">
        <v>74</v>
      </c>
      <c r="BB364" t="s">
        <v>74</v>
      </c>
      <c r="BC364" t="s">
        <v>74</v>
      </c>
      <c r="BD364" t="s">
        <v>6889</v>
      </c>
      <c r="BE364" t="s">
        <v>6890</v>
      </c>
      <c r="BF364" t="str">
        <f>HYPERLINK("http://dx.doi.org/10.1029/2010JD015507","http://dx.doi.org/10.1029/2010JD015507")</f>
        <v>http://dx.doi.org/10.1029/2010JD015507</v>
      </c>
      <c r="BG364" t="s">
        <v>74</v>
      </c>
      <c r="BH364" t="s">
        <v>74</v>
      </c>
      <c r="BI364">
        <v>22</v>
      </c>
      <c r="BJ364" t="s">
        <v>248</v>
      </c>
      <c r="BK364" t="s">
        <v>100</v>
      </c>
      <c r="BL364" t="s">
        <v>248</v>
      </c>
      <c r="BM364" t="s">
        <v>6891</v>
      </c>
      <c r="BN364" t="s">
        <v>74</v>
      </c>
      <c r="BO364" t="s">
        <v>152</v>
      </c>
      <c r="BP364" t="s">
        <v>74</v>
      </c>
      <c r="BQ364" t="s">
        <v>74</v>
      </c>
      <c r="BR364" t="s">
        <v>103</v>
      </c>
      <c r="BS364" t="s">
        <v>6892</v>
      </c>
      <c r="BT364" t="str">
        <f>HYPERLINK("https%3A%2F%2Fwww.webofscience.com%2Fwos%2Fwoscc%2Ffull-record%2FWOS:000291548800004","View Full Record in Web of Science")</f>
        <v>View Full Record in Web of Science</v>
      </c>
    </row>
    <row r="365" spans="1:72" x14ac:dyDescent="0.15">
      <c r="A365" t="s">
        <v>72</v>
      </c>
      <c r="B365" t="s">
        <v>6893</v>
      </c>
      <c r="C365" t="s">
        <v>74</v>
      </c>
      <c r="D365" t="s">
        <v>74</v>
      </c>
      <c r="E365" t="s">
        <v>74</v>
      </c>
      <c r="F365" t="s">
        <v>6894</v>
      </c>
      <c r="G365" t="s">
        <v>74</v>
      </c>
      <c r="H365" t="s">
        <v>74</v>
      </c>
      <c r="I365" t="s">
        <v>6895</v>
      </c>
      <c r="J365" t="s">
        <v>6896</v>
      </c>
      <c r="K365" t="s">
        <v>74</v>
      </c>
      <c r="L365" t="s">
        <v>74</v>
      </c>
      <c r="M365" t="s">
        <v>78</v>
      </c>
      <c r="N365" t="s">
        <v>79</v>
      </c>
      <c r="O365" t="s">
        <v>74</v>
      </c>
      <c r="P365" t="s">
        <v>74</v>
      </c>
      <c r="Q365" t="s">
        <v>74</v>
      </c>
      <c r="R365" t="s">
        <v>74</v>
      </c>
      <c r="S365" t="s">
        <v>74</v>
      </c>
      <c r="T365" t="s">
        <v>6897</v>
      </c>
      <c r="U365" t="s">
        <v>74</v>
      </c>
      <c r="V365" t="s">
        <v>6898</v>
      </c>
      <c r="W365" t="s">
        <v>6899</v>
      </c>
      <c r="X365" t="s">
        <v>6900</v>
      </c>
      <c r="Y365" t="s">
        <v>6901</v>
      </c>
      <c r="Z365" t="s">
        <v>6902</v>
      </c>
      <c r="AA365" t="s">
        <v>6903</v>
      </c>
      <c r="AB365" t="s">
        <v>6904</v>
      </c>
      <c r="AC365" t="s">
        <v>6905</v>
      </c>
      <c r="AD365" t="s">
        <v>6906</v>
      </c>
      <c r="AE365" t="s">
        <v>6907</v>
      </c>
      <c r="AF365" t="s">
        <v>74</v>
      </c>
      <c r="AG365">
        <v>8</v>
      </c>
      <c r="AH365">
        <v>3</v>
      </c>
      <c r="AI365">
        <v>5</v>
      </c>
      <c r="AJ365">
        <v>0</v>
      </c>
      <c r="AK365">
        <v>6</v>
      </c>
      <c r="AL365" t="s">
        <v>6908</v>
      </c>
      <c r="AM365" t="s">
        <v>6909</v>
      </c>
      <c r="AN365" t="s">
        <v>6910</v>
      </c>
      <c r="AO365" t="s">
        <v>6911</v>
      </c>
      <c r="AP365" t="s">
        <v>74</v>
      </c>
      <c r="AQ365" t="s">
        <v>74</v>
      </c>
      <c r="AR365" t="s">
        <v>6896</v>
      </c>
      <c r="AS365" t="s">
        <v>6912</v>
      </c>
      <c r="AT365" t="s">
        <v>6872</v>
      </c>
      <c r="AU365">
        <v>2011</v>
      </c>
      <c r="AV365">
        <v>125</v>
      </c>
      <c r="AW365">
        <v>2</v>
      </c>
      <c r="AX365" t="s">
        <v>74</v>
      </c>
      <c r="AY365" t="s">
        <v>74</v>
      </c>
      <c r="AZ365" t="s">
        <v>74</v>
      </c>
      <c r="BA365" t="s">
        <v>74</v>
      </c>
      <c r="BB365">
        <v>79</v>
      </c>
      <c r="BC365">
        <v>82</v>
      </c>
      <c r="BD365" t="s">
        <v>74</v>
      </c>
      <c r="BE365" t="s">
        <v>74</v>
      </c>
      <c r="BF365" t="s">
        <v>74</v>
      </c>
      <c r="BG365" t="s">
        <v>74</v>
      </c>
      <c r="BH365" t="s">
        <v>74</v>
      </c>
      <c r="BI365">
        <v>4</v>
      </c>
      <c r="BJ365" t="s">
        <v>5770</v>
      </c>
      <c r="BK365" t="s">
        <v>100</v>
      </c>
      <c r="BL365" t="s">
        <v>5770</v>
      </c>
      <c r="BM365" t="s">
        <v>6913</v>
      </c>
      <c r="BN365" t="s">
        <v>74</v>
      </c>
      <c r="BO365" t="s">
        <v>74</v>
      </c>
      <c r="BP365" t="s">
        <v>74</v>
      </c>
      <c r="BQ365" t="s">
        <v>74</v>
      </c>
      <c r="BR365" t="s">
        <v>103</v>
      </c>
      <c r="BS365" t="s">
        <v>6914</v>
      </c>
      <c r="BT365" t="str">
        <f>HYPERLINK("https%3A%2F%2Fwww.webofscience.com%2Fwos%2Fwoscc%2Ffull-record%2FWOS:000291844700006","View Full Record in Web of Science")</f>
        <v>View Full Record in Web of Science</v>
      </c>
    </row>
    <row r="366" spans="1:72" x14ac:dyDescent="0.15">
      <c r="A366" t="s">
        <v>72</v>
      </c>
      <c r="B366" t="s">
        <v>6915</v>
      </c>
      <c r="C366" t="s">
        <v>74</v>
      </c>
      <c r="D366" t="s">
        <v>74</v>
      </c>
      <c r="E366" t="s">
        <v>74</v>
      </c>
      <c r="F366" t="s">
        <v>6916</v>
      </c>
      <c r="G366" t="s">
        <v>74</v>
      </c>
      <c r="H366" t="s">
        <v>74</v>
      </c>
      <c r="I366" t="s">
        <v>6917</v>
      </c>
      <c r="J366" t="s">
        <v>108</v>
      </c>
      <c r="K366" t="s">
        <v>74</v>
      </c>
      <c r="L366" t="s">
        <v>74</v>
      </c>
      <c r="M366" t="s">
        <v>78</v>
      </c>
      <c r="N366" t="s">
        <v>79</v>
      </c>
      <c r="O366" t="s">
        <v>74</v>
      </c>
      <c r="P366" t="s">
        <v>74</v>
      </c>
      <c r="Q366" t="s">
        <v>74</v>
      </c>
      <c r="R366" t="s">
        <v>74</v>
      </c>
      <c r="S366" t="s">
        <v>74</v>
      </c>
      <c r="T366" t="s">
        <v>74</v>
      </c>
      <c r="U366" t="s">
        <v>6918</v>
      </c>
      <c r="V366" t="s">
        <v>6919</v>
      </c>
      <c r="W366" t="s">
        <v>6920</v>
      </c>
      <c r="X366" t="s">
        <v>6921</v>
      </c>
      <c r="Y366" t="s">
        <v>6922</v>
      </c>
      <c r="Z366" t="s">
        <v>6923</v>
      </c>
      <c r="AA366" t="s">
        <v>6924</v>
      </c>
      <c r="AB366" t="s">
        <v>6925</v>
      </c>
      <c r="AC366" t="s">
        <v>6926</v>
      </c>
      <c r="AD366" t="s">
        <v>6927</v>
      </c>
      <c r="AE366" t="s">
        <v>6928</v>
      </c>
      <c r="AF366" t="s">
        <v>74</v>
      </c>
      <c r="AG366">
        <v>23</v>
      </c>
      <c r="AH366">
        <v>47</v>
      </c>
      <c r="AI366">
        <v>51</v>
      </c>
      <c r="AJ366">
        <v>3</v>
      </c>
      <c r="AK366">
        <v>12</v>
      </c>
      <c r="AL366" t="s">
        <v>120</v>
      </c>
      <c r="AM366" t="s">
        <v>121</v>
      </c>
      <c r="AN366" t="s">
        <v>122</v>
      </c>
      <c r="AO366" t="s">
        <v>123</v>
      </c>
      <c r="AP366" t="s">
        <v>124</v>
      </c>
      <c r="AQ366" t="s">
        <v>74</v>
      </c>
      <c r="AR366" t="s">
        <v>125</v>
      </c>
      <c r="AS366" t="s">
        <v>126</v>
      </c>
      <c r="AT366" t="s">
        <v>6929</v>
      </c>
      <c r="AU366">
        <v>2011</v>
      </c>
      <c r="AV366">
        <v>38</v>
      </c>
      <c r="AW366" t="s">
        <v>74</v>
      </c>
      <c r="AX366" t="s">
        <v>74</v>
      </c>
      <c r="AY366" t="s">
        <v>74</v>
      </c>
      <c r="AZ366" t="s">
        <v>74</v>
      </c>
      <c r="BA366" t="s">
        <v>74</v>
      </c>
      <c r="BB366" t="s">
        <v>74</v>
      </c>
      <c r="BC366" t="s">
        <v>74</v>
      </c>
      <c r="BD366" t="s">
        <v>6930</v>
      </c>
      <c r="BE366" t="s">
        <v>6931</v>
      </c>
      <c r="BF366" t="str">
        <f>HYPERLINK("http://dx.doi.org/10.1029/2011GL047525","http://dx.doi.org/10.1029/2011GL047525")</f>
        <v>http://dx.doi.org/10.1029/2011GL047525</v>
      </c>
      <c r="BG366" t="s">
        <v>74</v>
      </c>
      <c r="BH366" t="s">
        <v>74</v>
      </c>
      <c r="BI366">
        <v>6</v>
      </c>
      <c r="BJ366" t="s">
        <v>130</v>
      </c>
      <c r="BK366" t="s">
        <v>100</v>
      </c>
      <c r="BL366" t="s">
        <v>131</v>
      </c>
      <c r="BM366" t="s">
        <v>6932</v>
      </c>
      <c r="BN366" t="s">
        <v>74</v>
      </c>
      <c r="BO366" t="s">
        <v>1051</v>
      </c>
      <c r="BP366" t="s">
        <v>74</v>
      </c>
      <c r="BQ366" t="s">
        <v>74</v>
      </c>
      <c r="BR366" t="s">
        <v>103</v>
      </c>
      <c r="BS366" t="s">
        <v>6933</v>
      </c>
      <c r="BT366" t="str">
        <f>HYPERLINK("https%3A%2F%2Fwww.webofscience.com%2Fwos%2Fwoscc%2Ffull-record%2FWOS:000291541200003","View Full Record in Web of Science")</f>
        <v>View Full Record in Web of Science</v>
      </c>
    </row>
    <row r="367" spans="1:72" x14ac:dyDescent="0.15">
      <c r="A367" t="s">
        <v>72</v>
      </c>
      <c r="B367" t="s">
        <v>6934</v>
      </c>
      <c r="C367" t="s">
        <v>74</v>
      </c>
      <c r="D367" t="s">
        <v>74</v>
      </c>
      <c r="E367" t="s">
        <v>74</v>
      </c>
      <c r="F367" t="s">
        <v>6935</v>
      </c>
      <c r="G367" t="s">
        <v>74</v>
      </c>
      <c r="H367" t="s">
        <v>74</v>
      </c>
      <c r="I367" t="s">
        <v>6936</v>
      </c>
      <c r="J367" t="s">
        <v>203</v>
      </c>
      <c r="K367" t="s">
        <v>74</v>
      </c>
      <c r="L367" t="s">
        <v>74</v>
      </c>
      <c r="M367" t="s">
        <v>78</v>
      </c>
      <c r="N367" t="s">
        <v>79</v>
      </c>
      <c r="O367" t="s">
        <v>74</v>
      </c>
      <c r="P367" t="s">
        <v>74</v>
      </c>
      <c r="Q367" t="s">
        <v>74</v>
      </c>
      <c r="R367" t="s">
        <v>74</v>
      </c>
      <c r="S367" t="s">
        <v>74</v>
      </c>
      <c r="T367" t="s">
        <v>6937</v>
      </c>
      <c r="U367" t="s">
        <v>6938</v>
      </c>
      <c r="V367" t="s">
        <v>6939</v>
      </c>
      <c r="W367" t="s">
        <v>6940</v>
      </c>
      <c r="X367" t="s">
        <v>6941</v>
      </c>
      <c r="Y367" t="s">
        <v>6942</v>
      </c>
      <c r="Z367" t="s">
        <v>6943</v>
      </c>
      <c r="AA367" t="s">
        <v>6944</v>
      </c>
      <c r="AB367" t="s">
        <v>74</v>
      </c>
      <c r="AC367" t="s">
        <v>6945</v>
      </c>
      <c r="AD367" t="s">
        <v>6946</v>
      </c>
      <c r="AE367" t="s">
        <v>6947</v>
      </c>
      <c r="AF367" t="s">
        <v>74</v>
      </c>
      <c r="AG367">
        <v>22</v>
      </c>
      <c r="AH367">
        <v>50</v>
      </c>
      <c r="AI367">
        <v>78</v>
      </c>
      <c r="AJ367">
        <v>2</v>
      </c>
      <c r="AK367">
        <v>45</v>
      </c>
      <c r="AL367" t="s">
        <v>216</v>
      </c>
      <c r="AM367" t="s">
        <v>121</v>
      </c>
      <c r="AN367" t="s">
        <v>217</v>
      </c>
      <c r="AO367" t="s">
        <v>218</v>
      </c>
      <c r="AP367" t="s">
        <v>219</v>
      </c>
      <c r="AQ367" t="s">
        <v>74</v>
      </c>
      <c r="AR367" t="s">
        <v>220</v>
      </c>
      <c r="AS367" t="s">
        <v>221</v>
      </c>
      <c r="AT367" t="s">
        <v>6929</v>
      </c>
      <c r="AU367">
        <v>2011</v>
      </c>
      <c r="AV367">
        <v>59</v>
      </c>
      <c r="AW367">
        <v>11</v>
      </c>
      <c r="AX367" t="s">
        <v>74</v>
      </c>
      <c r="AY367" t="s">
        <v>74</v>
      </c>
      <c r="AZ367" t="s">
        <v>74</v>
      </c>
      <c r="BA367" t="s">
        <v>74</v>
      </c>
      <c r="BB367">
        <v>6108</v>
      </c>
      <c r="BC367">
        <v>6112</v>
      </c>
      <c r="BD367" t="s">
        <v>74</v>
      </c>
      <c r="BE367" t="s">
        <v>6948</v>
      </c>
      <c r="BF367" t="str">
        <f>HYPERLINK("http://dx.doi.org/10.1021/jf201009t","http://dx.doi.org/10.1021/jf201009t")</f>
        <v>http://dx.doi.org/10.1021/jf201009t</v>
      </c>
      <c r="BG367" t="s">
        <v>74</v>
      </c>
      <c r="BH367" t="s">
        <v>74</v>
      </c>
      <c r="BI367">
        <v>5</v>
      </c>
      <c r="BJ367" t="s">
        <v>223</v>
      </c>
      <c r="BK367" t="s">
        <v>100</v>
      </c>
      <c r="BL367" t="s">
        <v>224</v>
      </c>
      <c r="BM367" t="s">
        <v>6949</v>
      </c>
      <c r="BN367">
        <v>21539395</v>
      </c>
      <c r="BO367" t="s">
        <v>74</v>
      </c>
      <c r="BP367" t="s">
        <v>74</v>
      </c>
      <c r="BQ367" t="s">
        <v>74</v>
      </c>
      <c r="BR367" t="s">
        <v>103</v>
      </c>
      <c r="BS367" t="s">
        <v>6950</v>
      </c>
      <c r="BT367" t="str">
        <f>HYPERLINK("https%3A%2F%2Fwww.webofscience.com%2Fwos%2Fwoscc%2Ffull-record%2FWOS:000291074700040","View Full Record in Web of Science")</f>
        <v>View Full Record in Web of Science</v>
      </c>
    </row>
    <row r="368" spans="1:72" x14ac:dyDescent="0.15">
      <c r="A368" t="s">
        <v>72</v>
      </c>
      <c r="B368" t="s">
        <v>6951</v>
      </c>
      <c r="C368" t="s">
        <v>74</v>
      </c>
      <c r="D368" t="s">
        <v>74</v>
      </c>
      <c r="E368" t="s">
        <v>74</v>
      </c>
      <c r="F368" t="s">
        <v>6952</v>
      </c>
      <c r="G368" t="s">
        <v>74</v>
      </c>
      <c r="H368" t="s">
        <v>74</v>
      </c>
      <c r="I368" t="s">
        <v>6953</v>
      </c>
      <c r="J368" t="s">
        <v>521</v>
      </c>
      <c r="K368" t="s">
        <v>74</v>
      </c>
      <c r="L368" t="s">
        <v>74</v>
      </c>
      <c r="M368" t="s">
        <v>78</v>
      </c>
      <c r="N368" t="s">
        <v>79</v>
      </c>
      <c r="O368" t="s">
        <v>74</v>
      </c>
      <c r="P368" t="s">
        <v>74</v>
      </c>
      <c r="Q368" t="s">
        <v>74</v>
      </c>
      <c r="R368" t="s">
        <v>74</v>
      </c>
      <c r="S368" t="s">
        <v>74</v>
      </c>
      <c r="T368" t="s">
        <v>74</v>
      </c>
      <c r="U368" t="s">
        <v>6954</v>
      </c>
      <c r="V368" t="s">
        <v>6955</v>
      </c>
      <c r="W368" t="s">
        <v>6956</v>
      </c>
      <c r="X368" t="s">
        <v>6957</v>
      </c>
      <c r="Y368" t="s">
        <v>6958</v>
      </c>
      <c r="Z368" t="s">
        <v>6959</v>
      </c>
      <c r="AA368" t="s">
        <v>6960</v>
      </c>
      <c r="AB368" t="s">
        <v>6961</v>
      </c>
      <c r="AC368" t="s">
        <v>74</v>
      </c>
      <c r="AD368" t="s">
        <v>74</v>
      </c>
      <c r="AE368" t="s">
        <v>74</v>
      </c>
      <c r="AF368" t="s">
        <v>74</v>
      </c>
      <c r="AG368">
        <v>88</v>
      </c>
      <c r="AH368">
        <v>17</v>
      </c>
      <c r="AI368">
        <v>21</v>
      </c>
      <c r="AJ368">
        <v>0</v>
      </c>
      <c r="AK368">
        <v>14</v>
      </c>
      <c r="AL368" t="s">
        <v>120</v>
      </c>
      <c r="AM368" t="s">
        <v>121</v>
      </c>
      <c r="AN368" t="s">
        <v>122</v>
      </c>
      <c r="AO368" t="s">
        <v>531</v>
      </c>
      <c r="AP368" t="s">
        <v>571</v>
      </c>
      <c r="AQ368" t="s">
        <v>74</v>
      </c>
      <c r="AR368" t="s">
        <v>521</v>
      </c>
      <c r="AS368" t="s">
        <v>532</v>
      </c>
      <c r="AT368" t="s">
        <v>6962</v>
      </c>
      <c r="AU368">
        <v>2011</v>
      </c>
      <c r="AV368">
        <v>26</v>
      </c>
      <c r="AW368" t="s">
        <v>74</v>
      </c>
      <c r="AX368" t="s">
        <v>74</v>
      </c>
      <c r="AY368" t="s">
        <v>74</v>
      </c>
      <c r="AZ368" t="s">
        <v>74</v>
      </c>
      <c r="BA368" t="s">
        <v>74</v>
      </c>
      <c r="BB368" t="s">
        <v>74</v>
      </c>
      <c r="BC368" t="s">
        <v>74</v>
      </c>
      <c r="BD368" t="s">
        <v>6963</v>
      </c>
      <c r="BE368" t="s">
        <v>6964</v>
      </c>
      <c r="BF368" t="str">
        <f>HYPERLINK("http://dx.doi.org/10.1029/2010PA001924","http://dx.doi.org/10.1029/2010PA001924")</f>
        <v>http://dx.doi.org/10.1029/2010PA001924</v>
      </c>
      <c r="BG368" t="s">
        <v>74</v>
      </c>
      <c r="BH368" t="s">
        <v>74</v>
      </c>
      <c r="BI368">
        <v>14</v>
      </c>
      <c r="BJ368" t="s">
        <v>535</v>
      </c>
      <c r="BK368" t="s">
        <v>100</v>
      </c>
      <c r="BL368" t="s">
        <v>536</v>
      </c>
      <c r="BM368" t="s">
        <v>6965</v>
      </c>
      <c r="BN368" t="s">
        <v>74</v>
      </c>
      <c r="BO368" t="s">
        <v>74</v>
      </c>
      <c r="BP368" t="s">
        <v>74</v>
      </c>
      <c r="BQ368" t="s">
        <v>74</v>
      </c>
      <c r="BR368" t="s">
        <v>103</v>
      </c>
      <c r="BS368" t="s">
        <v>6966</v>
      </c>
      <c r="BT368" t="str">
        <f>HYPERLINK("https%3A%2F%2Fwww.webofscience.com%2Fwos%2Fwoscc%2Ffull-record%2FWOS:000291320100001","View Full Record in Web of Science")</f>
        <v>View Full Record in Web of Science</v>
      </c>
    </row>
    <row r="369" spans="1:72" x14ac:dyDescent="0.15">
      <c r="A369" t="s">
        <v>72</v>
      </c>
      <c r="B369" t="s">
        <v>6967</v>
      </c>
      <c r="C369" t="s">
        <v>74</v>
      </c>
      <c r="D369" t="s">
        <v>74</v>
      </c>
      <c r="E369" t="s">
        <v>74</v>
      </c>
      <c r="F369" t="s">
        <v>6968</v>
      </c>
      <c r="G369" t="s">
        <v>74</v>
      </c>
      <c r="H369" t="s">
        <v>74</v>
      </c>
      <c r="I369" t="s">
        <v>6969</v>
      </c>
      <c r="J369" t="s">
        <v>3115</v>
      </c>
      <c r="K369" t="s">
        <v>74</v>
      </c>
      <c r="L369" t="s">
        <v>74</v>
      </c>
      <c r="M369" t="s">
        <v>78</v>
      </c>
      <c r="N369" t="s">
        <v>6970</v>
      </c>
      <c r="O369" t="s">
        <v>74</v>
      </c>
      <c r="P369" t="s">
        <v>74</v>
      </c>
      <c r="Q369" t="s">
        <v>74</v>
      </c>
      <c r="R369" t="s">
        <v>74</v>
      </c>
      <c r="S369" t="s">
        <v>74</v>
      </c>
      <c r="T369" t="s">
        <v>74</v>
      </c>
      <c r="U369" t="s">
        <v>74</v>
      </c>
      <c r="V369" t="s">
        <v>74</v>
      </c>
      <c r="W369" t="s">
        <v>6971</v>
      </c>
      <c r="X369" t="s">
        <v>6972</v>
      </c>
      <c r="Y369" t="s">
        <v>6973</v>
      </c>
      <c r="Z369" t="s">
        <v>6974</v>
      </c>
      <c r="AA369" t="s">
        <v>74</v>
      </c>
      <c r="AB369" t="s">
        <v>74</v>
      </c>
      <c r="AC369" t="s">
        <v>74</v>
      </c>
      <c r="AD369" t="s">
        <v>74</v>
      </c>
      <c r="AE369" t="s">
        <v>74</v>
      </c>
      <c r="AF369" t="s">
        <v>74</v>
      </c>
      <c r="AG369">
        <v>5</v>
      </c>
      <c r="AH369">
        <v>0</v>
      </c>
      <c r="AI369">
        <v>0</v>
      </c>
      <c r="AJ369">
        <v>0</v>
      </c>
      <c r="AK369">
        <v>1</v>
      </c>
      <c r="AL369" t="s">
        <v>3127</v>
      </c>
      <c r="AM369" t="s">
        <v>121</v>
      </c>
      <c r="AN369" t="s">
        <v>3128</v>
      </c>
      <c r="AO369" t="s">
        <v>3129</v>
      </c>
      <c r="AP369" t="s">
        <v>74</v>
      </c>
      <c r="AQ369" t="s">
        <v>74</v>
      </c>
      <c r="AR369" t="s">
        <v>3115</v>
      </c>
      <c r="AS369" t="s">
        <v>3131</v>
      </c>
      <c r="AT369" t="s">
        <v>6962</v>
      </c>
      <c r="AU369">
        <v>2011</v>
      </c>
      <c r="AV369">
        <v>332</v>
      </c>
      <c r="AW369">
        <v>6034</v>
      </c>
      <c r="AX369" t="s">
        <v>74</v>
      </c>
      <c r="AY369" t="s">
        <v>74</v>
      </c>
      <c r="AZ369" t="s">
        <v>74</v>
      </c>
      <c r="BA369" t="s">
        <v>74</v>
      </c>
      <c r="BB369">
        <v>1152</v>
      </c>
      <c r="BC369">
        <v>1153</v>
      </c>
      <c r="BD369" t="s">
        <v>74</v>
      </c>
      <c r="BE369" t="s">
        <v>6975</v>
      </c>
      <c r="BF369" t="str">
        <f>HYPERLINK("http://dx.doi.org/10.1126/science.1205505","http://dx.doi.org/10.1126/science.1205505")</f>
        <v>http://dx.doi.org/10.1126/science.1205505</v>
      </c>
      <c r="BG369" t="s">
        <v>74</v>
      </c>
      <c r="BH369" t="s">
        <v>74</v>
      </c>
      <c r="BI369">
        <v>2</v>
      </c>
      <c r="BJ369" t="s">
        <v>177</v>
      </c>
      <c r="BK369" t="s">
        <v>867</v>
      </c>
      <c r="BL369" t="s">
        <v>178</v>
      </c>
      <c r="BM369" t="s">
        <v>6976</v>
      </c>
      <c r="BN369" t="s">
        <v>74</v>
      </c>
      <c r="BO369" t="s">
        <v>74</v>
      </c>
      <c r="BP369" t="s">
        <v>74</v>
      </c>
      <c r="BQ369" t="s">
        <v>74</v>
      </c>
      <c r="BR369" t="s">
        <v>103</v>
      </c>
      <c r="BS369" t="s">
        <v>6977</v>
      </c>
      <c r="BT369" t="str">
        <f>HYPERLINK("https%3A%2F%2Fwww.webofscience.com%2Fwos%2Fwoscc%2Ffull-record%2FWOS:000291205200030","View Full Record in Web of Science")</f>
        <v>View Full Record in Web of Science</v>
      </c>
    </row>
    <row r="370" spans="1:72" x14ac:dyDescent="0.15">
      <c r="A370" t="s">
        <v>72</v>
      </c>
      <c r="B370" t="s">
        <v>6978</v>
      </c>
      <c r="C370" t="s">
        <v>74</v>
      </c>
      <c r="D370" t="s">
        <v>74</v>
      </c>
      <c r="E370" t="s">
        <v>74</v>
      </c>
      <c r="F370" t="s">
        <v>6979</v>
      </c>
      <c r="G370" t="s">
        <v>74</v>
      </c>
      <c r="H370" t="s">
        <v>74</v>
      </c>
      <c r="I370" t="s">
        <v>6980</v>
      </c>
      <c r="J370" t="s">
        <v>6981</v>
      </c>
      <c r="K370" t="s">
        <v>74</v>
      </c>
      <c r="L370" t="s">
        <v>74</v>
      </c>
      <c r="M370" t="s">
        <v>78</v>
      </c>
      <c r="N370" t="s">
        <v>2002</v>
      </c>
      <c r="O370" t="s">
        <v>74</v>
      </c>
      <c r="P370" t="s">
        <v>74</v>
      </c>
      <c r="Q370" t="s">
        <v>74</v>
      </c>
      <c r="R370" t="s">
        <v>74</v>
      </c>
      <c r="S370" t="s">
        <v>74</v>
      </c>
      <c r="T370" t="s">
        <v>74</v>
      </c>
      <c r="U370" t="s">
        <v>6982</v>
      </c>
      <c r="V370" t="s">
        <v>74</v>
      </c>
      <c r="W370" t="s">
        <v>6983</v>
      </c>
      <c r="X370" t="s">
        <v>6984</v>
      </c>
      <c r="Y370" t="s">
        <v>6985</v>
      </c>
      <c r="Z370" t="s">
        <v>6986</v>
      </c>
      <c r="AA370" t="s">
        <v>6987</v>
      </c>
      <c r="AB370" t="s">
        <v>6988</v>
      </c>
      <c r="AC370" t="s">
        <v>74</v>
      </c>
      <c r="AD370" t="s">
        <v>74</v>
      </c>
      <c r="AE370" t="s">
        <v>74</v>
      </c>
      <c r="AF370" t="s">
        <v>74</v>
      </c>
      <c r="AG370">
        <v>10</v>
      </c>
      <c r="AH370">
        <v>5</v>
      </c>
      <c r="AI370">
        <v>5</v>
      </c>
      <c r="AJ370">
        <v>0</v>
      </c>
      <c r="AK370">
        <v>7</v>
      </c>
      <c r="AL370" t="s">
        <v>2577</v>
      </c>
      <c r="AM370" t="s">
        <v>1490</v>
      </c>
      <c r="AN370" t="s">
        <v>6989</v>
      </c>
      <c r="AO370" t="s">
        <v>6990</v>
      </c>
      <c r="AP370" t="s">
        <v>74</v>
      </c>
      <c r="AQ370" t="s">
        <v>74</v>
      </c>
      <c r="AR370" t="s">
        <v>6981</v>
      </c>
      <c r="AS370" t="s">
        <v>6991</v>
      </c>
      <c r="AT370" t="s">
        <v>6992</v>
      </c>
      <c r="AU370">
        <v>2011</v>
      </c>
      <c r="AV370">
        <v>474</v>
      </c>
      <c r="AW370">
        <v>7349</v>
      </c>
      <c r="AX370" t="s">
        <v>74</v>
      </c>
      <c r="AY370" t="s">
        <v>74</v>
      </c>
      <c r="AZ370" t="s">
        <v>74</v>
      </c>
      <c r="BA370" t="s">
        <v>74</v>
      </c>
      <c r="BB370">
        <v>46</v>
      </c>
      <c r="BC370">
        <v>47</v>
      </c>
      <c r="BD370" t="s">
        <v>74</v>
      </c>
      <c r="BE370" t="s">
        <v>6993</v>
      </c>
      <c r="BF370" t="str">
        <f>HYPERLINK("http://dx.doi.org/10.1038/474046a","http://dx.doi.org/10.1038/474046a")</f>
        <v>http://dx.doi.org/10.1038/474046a</v>
      </c>
      <c r="BG370" t="s">
        <v>74</v>
      </c>
      <c r="BH370" t="s">
        <v>74</v>
      </c>
      <c r="BI370">
        <v>2</v>
      </c>
      <c r="BJ370" t="s">
        <v>177</v>
      </c>
      <c r="BK370" t="s">
        <v>100</v>
      </c>
      <c r="BL370" t="s">
        <v>178</v>
      </c>
      <c r="BM370" t="s">
        <v>6994</v>
      </c>
      <c r="BN370">
        <v>21637252</v>
      </c>
      <c r="BO370" t="s">
        <v>152</v>
      </c>
      <c r="BP370" t="s">
        <v>74</v>
      </c>
      <c r="BQ370" t="s">
        <v>74</v>
      </c>
      <c r="BR370" t="s">
        <v>103</v>
      </c>
      <c r="BS370" t="s">
        <v>6995</v>
      </c>
      <c r="BT370" t="str">
        <f>HYPERLINK("https%3A%2F%2Fwww.webofscience.com%2Fwos%2Fwoscc%2Ffull-record%2FWOS:000291156700033","View Full Record in Web of Science")</f>
        <v>View Full Record in Web of Science</v>
      </c>
    </row>
    <row r="371" spans="1:72" x14ac:dyDescent="0.15">
      <c r="A371" t="s">
        <v>72</v>
      </c>
      <c r="B371" t="s">
        <v>6996</v>
      </c>
      <c r="C371" t="s">
        <v>74</v>
      </c>
      <c r="D371" t="s">
        <v>74</v>
      </c>
      <c r="E371" t="s">
        <v>74</v>
      </c>
      <c r="F371" t="s">
        <v>6997</v>
      </c>
      <c r="G371" t="s">
        <v>74</v>
      </c>
      <c r="H371" t="s">
        <v>74</v>
      </c>
      <c r="I371" t="s">
        <v>6998</v>
      </c>
      <c r="J371" t="s">
        <v>6981</v>
      </c>
      <c r="K371" t="s">
        <v>74</v>
      </c>
      <c r="L371" t="s">
        <v>74</v>
      </c>
      <c r="M371" t="s">
        <v>78</v>
      </c>
      <c r="N371" t="s">
        <v>79</v>
      </c>
      <c r="O371" t="s">
        <v>74</v>
      </c>
      <c r="P371" t="s">
        <v>74</v>
      </c>
      <c r="Q371" t="s">
        <v>74</v>
      </c>
      <c r="R371" t="s">
        <v>74</v>
      </c>
      <c r="S371" t="s">
        <v>74</v>
      </c>
      <c r="T371" t="s">
        <v>74</v>
      </c>
      <c r="U371" t="s">
        <v>6999</v>
      </c>
      <c r="V371" t="s">
        <v>7000</v>
      </c>
      <c r="W371" t="s">
        <v>7001</v>
      </c>
      <c r="X371" t="s">
        <v>7002</v>
      </c>
      <c r="Y371" t="s">
        <v>7003</v>
      </c>
      <c r="Z371" t="s">
        <v>7004</v>
      </c>
      <c r="AA371" t="s">
        <v>7005</v>
      </c>
      <c r="AB371" t="s">
        <v>7006</v>
      </c>
      <c r="AC371" t="s">
        <v>7007</v>
      </c>
      <c r="AD371" t="s">
        <v>7008</v>
      </c>
      <c r="AE371" t="s">
        <v>7009</v>
      </c>
      <c r="AF371" t="s">
        <v>74</v>
      </c>
      <c r="AG371">
        <v>30</v>
      </c>
      <c r="AH371">
        <v>140</v>
      </c>
      <c r="AI371">
        <v>151</v>
      </c>
      <c r="AJ371">
        <v>0</v>
      </c>
      <c r="AK371">
        <v>55</v>
      </c>
      <c r="AL371" t="s">
        <v>2577</v>
      </c>
      <c r="AM371" t="s">
        <v>1490</v>
      </c>
      <c r="AN371" t="s">
        <v>6989</v>
      </c>
      <c r="AO371" t="s">
        <v>6990</v>
      </c>
      <c r="AP371" t="s">
        <v>7010</v>
      </c>
      <c r="AQ371" t="s">
        <v>74</v>
      </c>
      <c r="AR371" t="s">
        <v>6981</v>
      </c>
      <c r="AS371" t="s">
        <v>6991</v>
      </c>
      <c r="AT371" t="s">
        <v>6992</v>
      </c>
      <c r="AU371">
        <v>2011</v>
      </c>
      <c r="AV371">
        <v>474</v>
      </c>
      <c r="AW371">
        <v>7349</v>
      </c>
      <c r="AX371" t="s">
        <v>74</v>
      </c>
      <c r="AY371" t="s">
        <v>74</v>
      </c>
      <c r="AZ371" t="s">
        <v>74</v>
      </c>
      <c r="BA371" t="s">
        <v>74</v>
      </c>
      <c r="BB371">
        <v>72</v>
      </c>
      <c r="BC371">
        <v>75</v>
      </c>
      <c r="BD371" t="s">
        <v>74</v>
      </c>
      <c r="BE371" t="s">
        <v>7011</v>
      </c>
      <c r="BF371" t="str">
        <f>HYPERLINK("http://dx.doi.org/10.1038/nature10114","http://dx.doi.org/10.1038/nature10114")</f>
        <v>http://dx.doi.org/10.1038/nature10114</v>
      </c>
      <c r="BG371" t="s">
        <v>74</v>
      </c>
      <c r="BH371" t="s">
        <v>74</v>
      </c>
      <c r="BI371">
        <v>4</v>
      </c>
      <c r="BJ371" t="s">
        <v>177</v>
      </c>
      <c r="BK371" t="s">
        <v>100</v>
      </c>
      <c r="BL371" t="s">
        <v>178</v>
      </c>
      <c r="BM371" t="s">
        <v>6994</v>
      </c>
      <c r="BN371">
        <v>21637255</v>
      </c>
      <c r="BO371" t="s">
        <v>74</v>
      </c>
      <c r="BP371" t="s">
        <v>74</v>
      </c>
      <c r="BQ371" t="s">
        <v>74</v>
      </c>
      <c r="BR371" t="s">
        <v>103</v>
      </c>
      <c r="BS371" t="s">
        <v>7012</v>
      </c>
      <c r="BT371" t="str">
        <f>HYPERLINK("https%3A%2F%2Fwww.webofscience.com%2Fwos%2Fwoscc%2Ffull-record%2FWOS:000291156700039","View Full Record in Web of Science")</f>
        <v>View Full Record in Web of Science</v>
      </c>
    </row>
    <row r="372" spans="1:72" x14ac:dyDescent="0.15">
      <c r="A372" t="s">
        <v>72</v>
      </c>
      <c r="B372" t="s">
        <v>7013</v>
      </c>
      <c r="C372" t="s">
        <v>74</v>
      </c>
      <c r="D372" t="s">
        <v>74</v>
      </c>
      <c r="E372" t="s">
        <v>74</v>
      </c>
      <c r="F372" t="s">
        <v>7014</v>
      </c>
      <c r="G372" t="s">
        <v>74</v>
      </c>
      <c r="H372" t="s">
        <v>74</v>
      </c>
      <c r="I372" t="s">
        <v>7015</v>
      </c>
      <c r="J372" t="s">
        <v>7016</v>
      </c>
      <c r="K372" t="s">
        <v>74</v>
      </c>
      <c r="L372" t="s">
        <v>74</v>
      </c>
      <c r="M372" t="s">
        <v>78</v>
      </c>
      <c r="N372" t="s">
        <v>79</v>
      </c>
      <c r="O372" t="s">
        <v>74</v>
      </c>
      <c r="P372" t="s">
        <v>74</v>
      </c>
      <c r="Q372" t="s">
        <v>74</v>
      </c>
      <c r="R372" t="s">
        <v>74</v>
      </c>
      <c r="S372" t="s">
        <v>74</v>
      </c>
      <c r="T372" t="s">
        <v>74</v>
      </c>
      <c r="U372" t="s">
        <v>7017</v>
      </c>
      <c r="V372" t="s">
        <v>7018</v>
      </c>
      <c r="W372" t="s">
        <v>7019</v>
      </c>
      <c r="X372" t="s">
        <v>7020</v>
      </c>
      <c r="Y372" t="s">
        <v>7021</v>
      </c>
      <c r="Z372" t="s">
        <v>7022</v>
      </c>
      <c r="AA372" t="s">
        <v>7023</v>
      </c>
      <c r="AB372" t="s">
        <v>7024</v>
      </c>
      <c r="AC372" t="s">
        <v>7025</v>
      </c>
      <c r="AD372" t="s">
        <v>7026</v>
      </c>
      <c r="AE372" t="s">
        <v>7027</v>
      </c>
      <c r="AF372" t="s">
        <v>74</v>
      </c>
      <c r="AG372">
        <v>44</v>
      </c>
      <c r="AH372">
        <v>13</v>
      </c>
      <c r="AI372">
        <v>13</v>
      </c>
      <c r="AJ372">
        <v>0</v>
      </c>
      <c r="AK372">
        <v>8</v>
      </c>
      <c r="AL372" t="s">
        <v>7028</v>
      </c>
      <c r="AM372" t="s">
        <v>794</v>
      </c>
      <c r="AN372" t="s">
        <v>7029</v>
      </c>
      <c r="AO372" t="s">
        <v>7030</v>
      </c>
      <c r="AP372" t="s">
        <v>74</v>
      </c>
      <c r="AQ372" t="s">
        <v>74</v>
      </c>
      <c r="AR372" t="s">
        <v>7016</v>
      </c>
      <c r="AS372" t="s">
        <v>7031</v>
      </c>
      <c r="AT372" t="s">
        <v>7032</v>
      </c>
      <c r="AU372">
        <v>2011</v>
      </c>
      <c r="AV372">
        <v>34</v>
      </c>
      <c r="AW372">
        <v>2</v>
      </c>
      <c r="AX372" t="s">
        <v>74</v>
      </c>
      <c r="AY372" t="s">
        <v>74</v>
      </c>
      <c r="AZ372" t="s">
        <v>74</v>
      </c>
      <c r="BA372" t="s">
        <v>74</v>
      </c>
      <c r="BB372">
        <v>109</v>
      </c>
      <c r="BC372">
        <v>118</v>
      </c>
      <c r="BD372" t="s">
        <v>74</v>
      </c>
      <c r="BE372" t="s">
        <v>7033</v>
      </c>
      <c r="BF372" t="str">
        <f>HYPERLINK("http://dx.doi.org/10.18814/epiiugs/2011/v34i2/007","http://dx.doi.org/10.18814/epiiugs/2011/v34i2/007")</f>
        <v>http://dx.doi.org/10.18814/epiiugs/2011/v34i2/007</v>
      </c>
      <c r="BG372" t="s">
        <v>74</v>
      </c>
      <c r="BH372" t="s">
        <v>74</v>
      </c>
      <c r="BI372">
        <v>10</v>
      </c>
      <c r="BJ372" t="s">
        <v>130</v>
      </c>
      <c r="BK372" t="s">
        <v>100</v>
      </c>
      <c r="BL372" t="s">
        <v>131</v>
      </c>
      <c r="BM372" t="s">
        <v>7034</v>
      </c>
      <c r="BN372" t="s">
        <v>74</v>
      </c>
      <c r="BO372" t="s">
        <v>1284</v>
      </c>
      <c r="BP372" t="s">
        <v>74</v>
      </c>
      <c r="BQ372" t="s">
        <v>74</v>
      </c>
      <c r="BR372" t="s">
        <v>103</v>
      </c>
      <c r="BS372" t="s">
        <v>7035</v>
      </c>
      <c r="BT372" t="str">
        <f>HYPERLINK("https%3A%2F%2Fwww.webofscience.com%2Fwos%2Fwoscc%2Ffull-record%2FWOS:000301024400006","View Full Record in Web of Science")</f>
        <v>View Full Record in Web of Science</v>
      </c>
    </row>
    <row r="373" spans="1:72" x14ac:dyDescent="0.15">
      <c r="A373" t="s">
        <v>72</v>
      </c>
      <c r="B373" t="s">
        <v>7036</v>
      </c>
      <c r="C373" t="s">
        <v>74</v>
      </c>
      <c r="D373" t="s">
        <v>74</v>
      </c>
      <c r="E373" t="s">
        <v>74</v>
      </c>
      <c r="F373" t="s">
        <v>7037</v>
      </c>
      <c r="G373" t="s">
        <v>74</v>
      </c>
      <c r="H373" t="s">
        <v>74</v>
      </c>
      <c r="I373" t="s">
        <v>7038</v>
      </c>
      <c r="J373" t="s">
        <v>647</v>
      </c>
      <c r="K373" t="s">
        <v>74</v>
      </c>
      <c r="L373" t="s">
        <v>74</v>
      </c>
      <c r="M373" t="s">
        <v>78</v>
      </c>
      <c r="N373" t="s">
        <v>79</v>
      </c>
      <c r="O373" t="s">
        <v>74</v>
      </c>
      <c r="P373" t="s">
        <v>74</v>
      </c>
      <c r="Q373" t="s">
        <v>74</v>
      </c>
      <c r="R373" t="s">
        <v>74</v>
      </c>
      <c r="S373" t="s">
        <v>74</v>
      </c>
      <c r="T373" t="s">
        <v>74</v>
      </c>
      <c r="U373" t="s">
        <v>7039</v>
      </c>
      <c r="V373" t="s">
        <v>7040</v>
      </c>
      <c r="W373" t="s">
        <v>7041</v>
      </c>
      <c r="X373" t="s">
        <v>621</v>
      </c>
      <c r="Y373" t="s">
        <v>7042</v>
      </c>
      <c r="Z373" t="s">
        <v>7043</v>
      </c>
      <c r="AA373" t="s">
        <v>74</v>
      </c>
      <c r="AB373" t="s">
        <v>74</v>
      </c>
      <c r="AC373" t="s">
        <v>7044</v>
      </c>
      <c r="AD373" t="s">
        <v>1753</v>
      </c>
      <c r="AE373" t="s">
        <v>7045</v>
      </c>
      <c r="AF373" t="s">
        <v>74</v>
      </c>
      <c r="AG373">
        <v>33</v>
      </c>
      <c r="AH373">
        <v>7</v>
      </c>
      <c r="AI373">
        <v>7</v>
      </c>
      <c r="AJ373">
        <v>0</v>
      </c>
      <c r="AK373">
        <v>8</v>
      </c>
      <c r="AL373" t="s">
        <v>624</v>
      </c>
      <c r="AM373" t="s">
        <v>91</v>
      </c>
      <c r="AN373" t="s">
        <v>625</v>
      </c>
      <c r="AO373" t="s">
        <v>659</v>
      </c>
      <c r="AP373" t="s">
        <v>674</v>
      </c>
      <c r="AQ373" t="s">
        <v>74</v>
      </c>
      <c r="AR373" t="s">
        <v>660</v>
      </c>
      <c r="AS373" t="s">
        <v>661</v>
      </c>
      <c r="AT373" t="s">
        <v>7032</v>
      </c>
      <c r="AU373">
        <v>2011</v>
      </c>
      <c r="AV373">
        <v>51</v>
      </c>
      <c r="AW373">
        <v>3</v>
      </c>
      <c r="AX373" t="s">
        <v>74</v>
      </c>
      <c r="AY373" t="s">
        <v>74</v>
      </c>
      <c r="AZ373" t="s">
        <v>74</v>
      </c>
      <c r="BA373" t="s">
        <v>74</v>
      </c>
      <c r="BB373">
        <v>370</v>
      </c>
      <c r="BC373">
        <v>384</v>
      </c>
      <c r="BD373" t="s">
        <v>74</v>
      </c>
      <c r="BE373" t="s">
        <v>7046</v>
      </c>
      <c r="BF373" t="str">
        <f>HYPERLINK("http://dx.doi.org/10.1134/S000143701103009X","http://dx.doi.org/10.1134/S000143701103009X")</f>
        <v>http://dx.doi.org/10.1134/S000143701103009X</v>
      </c>
      <c r="BG373" t="s">
        <v>74</v>
      </c>
      <c r="BH373" t="s">
        <v>74</v>
      </c>
      <c r="BI373">
        <v>15</v>
      </c>
      <c r="BJ373" t="s">
        <v>271</v>
      </c>
      <c r="BK373" t="s">
        <v>100</v>
      </c>
      <c r="BL373" t="s">
        <v>271</v>
      </c>
      <c r="BM373" t="s">
        <v>7047</v>
      </c>
      <c r="BN373" t="s">
        <v>74</v>
      </c>
      <c r="BO373" t="s">
        <v>74</v>
      </c>
      <c r="BP373" t="s">
        <v>74</v>
      </c>
      <c r="BQ373" t="s">
        <v>74</v>
      </c>
      <c r="BR373" t="s">
        <v>103</v>
      </c>
      <c r="BS373" t="s">
        <v>7048</v>
      </c>
      <c r="BT373" t="str">
        <f>HYPERLINK("https%3A%2F%2Fwww.webofscience.com%2Fwos%2Fwoscc%2Ffull-record%2FWOS:000298562900002","View Full Record in Web of Science")</f>
        <v>View Full Record in Web of Science</v>
      </c>
    </row>
    <row r="374" spans="1:72" x14ac:dyDescent="0.15">
      <c r="A374" t="s">
        <v>72</v>
      </c>
      <c r="B374" t="s">
        <v>7049</v>
      </c>
      <c r="C374" t="s">
        <v>74</v>
      </c>
      <c r="D374" t="s">
        <v>74</v>
      </c>
      <c r="E374" t="s">
        <v>74</v>
      </c>
      <c r="F374" t="s">
        <v>7050</v>
      </c>
      <c r="G374" t="s">
        <v>74</v>
      </c>
      <c r="H374" t="s">
        <v>74</v>
      </c>
      <c r="I374" t="s">
        <v>7051</v>
      </c>
      <c r="J374" t="s">
        <v>707</v>
      </c>
      <c r="K374" t="s">
        <v>74</v>
      </c>
      <c r="L374" t="s">
        <v>74</v>
      </c>
      <c r="M374" t="s">
        <v>78</v>
      </c>
      <c r="N374" t="s">
        <v>79</v>
      </c>
      <c r="O374" t="s">
        <v>74</v>
      </c>
      <c r="P374" t="s">
        <v>74</v>
      </c>
      <c r="Q374" t="s">
        <v>74</v>
      </c>
      <c r="R374" t="s">
        <v>74</v>
      </c>
      <c r="S374" t="s">
        <v>74</v>
      </c>
      <c r="T374" t="s">
        <v>7052</v>
      </c>
      <c r="U374" t="s">
        <v>7053</v>
      </c>
      <c r="V374" t="s">
        <v>7054</v>
      </c>
      <c r="W374" t="s">
        <v>7055</v>
      </c>
      <c r="X374" t="s">
        <v>7056</v>
      </c>
      <c r="Y374" t="s">
        <v>7057</v>
      </c>
      <c r="Z374" t="s">
        <v>7058</v>
      </c>
      <c r="AA374" t="s">
        <v>7059</v>
      </c>
      <c r="AB374" t="s">
        <v>7060</v>
      </c>
      <c r="AC374" t="s">
        <v>7061</v>
      </c>
      <c r="AD374" t="s">
        <v>7062</v>
      </c>
      <c r="AE374" t="s">
        <v>7063</v>
      </c>
      <c r="AF374" t="s">
        <v>74</v>
      </c>
      <c r="AG374">
        <v>14</v>
      </c>
      <c r="AH374">
        <v>20</v>
      </c>
      <c r="AI374">
        <v>20</v>
      </c>
      <c r="AJ374">
        <v>0</v>
      </c>
      <c r="AK374">
        <v>12</v>
      </c>
      <c r="AL374" t="s">
        <v>693</v>
      </c>
      <c r="AM374" t="s">
        <v>91</v>
      </c>
      <c r="AN374" t="s">
        <v>694</v>
      </c>
      <c r="AO374" t="s">
        <v>717</v>
      </c>
      <c r="AP374" t="s">
        <v>74</v>
      </c>
      <c r="AQ374" t="s">
        <v>74</v>
      </c>
      <c r="AR374" t="s">
        <v>719</v>
      </c>
      <c r="AS374" t="s">
        <v>720</v>
      </c>
      <c r="AT374" t="s">
        <v>7032</v>
      </c>
      <c r="AU374">
        <v>2011</v>
      </c>
      <c r="AV374">
        <v>23</v>
      </c>
      <c r="AW374">
        <v>3</v>
      </c>
      <c r="AX374" t="s">
        <v>74</v>
      </c>
      <c r="AY374" t="s">
        <v>74</v>
      </c>
      <c r="AZ374" t="s">
        <v>74</v>
      </c>
      <c r="BA374" t="s">
        <v>74</v>
      </c>
      <c r="BB374">
        <v>235</v>
      </c>
      <c r="BC374">
        <v>242</v>
      </c>
      <c r="BD374" t="s">
        <v>74</v>
      </c>
      <c r="BE374" t="s">
        <v>7064</v>
      </c>
      <c r="BF374" t="str">
        <f>HYPERLINK("http://dx.doi.org/10.1017/S0954102011000046","http://dx.doi.org/10.1017/S0954102011000046")</f>
        <v>http://dx.doi.org/10.1017/S0954102011000046</v>
      </c>
      <c r="BG374" t="s">
        <v>74</v>
      </c>
      <c r="BH374" t="s">
        <v>74</v>
      </c>
      <c r="BI374">
        <v>8</v>
      </c>
      <c r="BJ374" t="s">
        <v>722</v>
      </c>
      <c r="BK374" t="s">
        <v>100</v>
      </c>
      <c r="BL374" t="s">
        <v>723</v>
      </c>
      <c r="BM374" t="s">
        <v>7065</v>
      </c>
      <c r="BN374" t="s">
        <v>74</v>
      </c>
      <c r="BO374" t="s">
        <v>74</v>
      </c>
      <c r="BP374" t="s">
        <v>74</v>
      </c>
      <c r="BQ374" t="s">
        <v>74</v>
      </c>
      <c r="BR374" t="s">
        <v>103</v>
      </c>
      <c r="BS374" t="s">
        <v>7066</v>
      </c>
      <c r="BT374" t="str">
        <f>HYPERLINK("https%3A%2F%2Fwww.webofscience.com%2Fwos%2Fwoscc%2Ffull-record%2FWOS:000291050900004","View Full Record in Web of Science")</f>
        <v>View Full Record in Web of Science</v>
      </c>
    </row>
    <row r="375" spans="1:72" x14ac:dyDescent="0.15">
      <c r="A375" t="s">
        <v>72</v>
      </c>
      <c r="B375" t="s">
        <v>7067</v>
      </c>
      <c r="C375" t="s">
        <v>74</v>
      </c>
      <c r="D375" t="s">
        <v>74</v>
      </c>
      <c r="E375" t="s">
        <v>74</v>
      </c>
      <c r="F375" t="s">
        <v>7068</v>
      </c>
      <c r="G375" t="s">
        <v>74</v>
      </c>
      <c r="H375" t="s">
        <v>74</v>
      </c>
      <c r="I375" t="s">
        <v>7069</v>
      </c>
      <c r="J375" t="s">
        <v>7070</v>
      </c>
      <c r="K375" t="s">
        <v>74</v>
      </c>
      <c r="L375" t="s">
        <v>74</v>
      </c>
      <c r="M375" t="s">
        <v>78</v>
      </c>
      <c r="N375" t="s">
        <v>79</v>
      </c>
      <c r="O375" t="s">
        <v>74</v>
      </c>
      <c r="P375" t="s">
        <v>74</v>
      </c>
      <c r="Q375" t="s">
        <v>74</v>
      </c>
      <c r="R375" t="s">
        <v>74</v>
      </c>
      <c r="S375" t="s">
        <v>74</v>
      </c>
      <c r="T375" t="s">
        <v>74</v>
      </c>
      <c r="U375" t="s">
        <v>7071</v>
      </c>
      <c r="V375" t="s">
        <v>7072</v>
      </c>
      <c r="W375" t="s">
        <v>7073</v>
      </c>
      <c r="X375" t="s">
        <v>7074</v>
      </c>
      <c r="Y375" t="s">
        <v>7075</v>
      </c>
      <c r="Z375" t="s">
        <v>7076</v>
      </c>
      <c r="AA375" t="s">
        <v>7077</v>
      </c>
      <c r="AB375" t="s">
        <v>7078</v>
      </c>
      <c r="AC375" t="s">
        <v>7079</v>
      </c>
      <c r="AD375" t="s">
        <v>7080</v>
      </c>
      <c r="AE375" t="s">
        <v>7081</v>
      </c>
      <c r="AF375" t="s">
        <v>74</v>
      </c>
      <c r="AG375">
        <v>32</v>
      </c>
      <c r="AH375">
        <v>6</v>
      </c>
      <c r="AI375">
        <v>6</v>
      </c>
      <c r="AJ375">
        <v>0</v>
      </c>
      <c r="AK375">
        <v>3</v>
      </c>
      <c r="AL375" t="s">
        <v>7082</v>
      </c>
      <c r="AM375" t="s">
        <v>91</v>
      </c>
      <c r="AN375" t="s">
        <v>7083</v>
      </c>
      <c r="AO375" t="s">
        <v>7084</v>
      </c>
      <c r="AP375" t="s">
        <v>74</v>
      </c>
      <c r="AQ375" t="s">
        <v>74</v>
      </c>
      <c r="AR375" t="s">
        <v>7085</v>
      </c>
      <c r="AS375" t="s">
        <v>7086</v>
      </c>
      <c r="AT375" t="s">
        <v>7032</v>
      </c>
      <c r="AU375">
        <v>2011</v>
      </c>
      <c r="AV375">
        <v>45</v>
      </c>
      <c r="AW375">
        <v>3</v>
      </c>
      <c r="AX375" t="s">
        <v>74</v>
      </c>
      <c r="AY375" t="s">
        <v>74</v>
      </c>
      <c r="AZ375" t="s">
        <v>74</v>
      </c>
      <c r="BA375" t="s">
        <v>74</v>
      </c>
      <c r="BB375">
        <v>170</v>
      </c>
      <c r="BC375">
        <v>176</v>
      </c>
      <c r="BD375" t="s">
        <v>74</v>
      </c>
      <c r="BE375" t="s">
        <v>7087</v>
      </c>
      <c r="BF375" t="str">
        <f>HYPERLINK("http://dx.doi.org/10.3103/S0095452711030078","http://dx.doi.org/10.3103/S0095452711030078")</f>
        <v>http://dx.doi.org/10.3103/S0095452711030078</v>
      </c>
      <c r="BG375" t="s">
        <v>74</v>
      </c>
      <c r="BH375" t="s">
        <v>74</v>
      </c>
      <c r="BI375">
        <v>7</v>
      </c>
      <c r="BJ375" t="s">
        <v>7088</v>
      </c>
      <c r="BK375" t="s">
        <v>100</v>
      </c>
      <c r="BL375" t="s">
        <v>7088</v>
      </c>
      <c r="BM375" t="s">
        <v>7089</v>
      </c>
      <c r="BN375" t="s">
        <v>74</v>
      </c>
      <c r="BO375" t="s">
        <v>1025</v>
      </c>
      <c r="BP375" t="s">
        <v>74</v>
      </c>
      <c r="BQ375" t="s">
        <v>74</v>
      </c>
      <c r="BR375" t="s">
        <v>103</v>
      </c>
      <c r="BS375" t="s">
        <v>7090</v>
      </c>
      <c r="BT375" t="str">
        <f>HYPERLINK("https%3A%2F%2Fwww.webofscience.com%2Fwos%2Fwoscc%2Ffull-record%2FWOS:000295678500006","View Full Record in Web of Science")</f>
        <v>View Full Record in Web of Science</v>
      </c>
    </row>
    <row r="376" spans="1:72" x14ac:dyDescent="0.15">
      <c r="A376" t="s">
        <v>72</v>
      </c>
      <c r="B376" t="s">
        <v>7091</v>
      </c>
      <c r="C376" t="s">
        <v>74</v>
      </c>
      <c r="D376" t="s">
        <v>74</v>
      </c>
      <c r="E376" t="s">
        <v>74</v>
      </c>
      <c r="F376" t="s">
        <v>7092</v>
      </c>
      <c r="G376" t="s">
        <v>74</v>
      </c>
      <c r="H376" t="s">
        <v>74</v>
      </c>
      <c r="I376" t="s">
        <v>7093</v>
      </c>
      <c r="J376" t="s">
        <v>7094</v>
      </c>
      <c r="K376" t="s">
        <v>74</v>
      </c>
      <c r="L376" t="s">
        <v>74</v>
      </c>
      <c r="M376" t="s">
        <v>78</v>
      </c>
      <c r="N376" t="s">
        <v>79</v>
      </c>
      <c r="O376" t="s">
        <v>74</v>
      </c>
      <c r="P376" t="s">
        <v>74</v>
      </c>
      <c r="Q376" t="s">
        <v>74</v>
      </c>
      <c r="R376" t="s">
        <v>74</v>
      </c>
      <c r="S376" t="s">
        <v>74</v>
      </c>
      <c r="T376" t="s">
        <v>74</v>
      </c>
      <c r="U376" t="s">
        <v>7095</v>
      </c>
      <c r="V376" t="s">
        <v>7096</v>
      </c>
      <c r="W376" t="s">
        <v>7097</v>
      </c>
      <c r="X376" t="s">
        <v>7098</v>
      </c>
      <c r="Y376" t="s">
        <v>7099</v>
      </c>
      <c r="Z376" t="s">
        <v>7100</v>
      </c>
      <c r="AA376" t="s">
        <v>7101</v>
      </c>
      <c r="AB376" t="s">
        <v>7102</v>
      </c>
      <c r="AC376" t="s">
        <v>7103</v>
      </c>
      <c r="AD376" t="s">
        <v>7104</v>
      </c>
      <c r="AE376" t="s">
        <v>7105</v>
      </c>
      <c r="AF376" t="s">
        <v>74</v>
      </c>
      <c r="AG376">
        <v>79</v>
      </c>
      <c r="AH376">
        <v>6</v>
      </c>
      <c r="AI376">
        <v>6</v>
      </c>
      <c r="AJ376">
        <v>0</v>
      </c>
      <c r="AK376">
        <v>14</v>
      </c>
      <c r="AL376" t="s">
        <v>1323</v>
      </c>
      <c r="AM376" t="s">
        <v>1324</v>
      </c>
      <c r="AN376" t="s">
        <v>1325</v>
      </c>
      <c r="AO376" t="s">
        <v>7106</v>
      </c>
      <c r="AP376" t="s">
        <v>74</v>
      </c>
      <c r="AQ376" t="s">
        <v>74</v>
      </c>
      <c r="AR376" t="s">
        <v>7107</v>
      </c>
      <c r="AS376" t="s">
        <v>7108</v>
      </c>
      <c r="AT376" t="s">
        <v>7032</v>
      </c>
      <c r="AU376">
        <v>2011</v>
      </c>
      <c r="AV376">
        <v>9</v>
      </c>
      <c r="AW376" t="s">
        <v>74</v>
      </c>
      <c r="AX376" t="s">
        <v>74</v>
      </c>
      <c r="AY376" t="s">
        <v>74</v>
      </c>
      <c r="AZ376" t="s">
        <v>74</v>
      </c>
      <c r="BA376" t="s">
        <v>74</v>
      </c>
      <c r="BB376">
        <v>261</v>
      </c>
      <c r="BC376">
        <v>274</v>
      </c>
      <c r="BD376" t="s">
        <v>74</v>
      </c>
      <c r="BE376" t="s">
        <v>7109</v>
      </c>
      <c r="BF376" t="str">
        <f>HYPERLINK("http://dx.doi.org/10.4319/lom.2011.9.261","http://dx.doi.org/10.4319/lom.2011.9.261")</f>
        <v>http://dx.doi.org/10.4319/lom.2011.9.261</v>
      </c>
      <c r="BG376" t="s">
        <v>74</v>
      </c>
      <c r="BH376" t="s">
        <v>74</v>
      </c>
      <c r="BI376">
        <v>14</v>
      </c>
      <c r="BJ376" t="s">
        <v>5679</v>
      </c>
      <c r="BK376" t="s">
        <v>100</v>
      </c>
      <c r="BL376" t="s">
        <v>5605</v>
      </c>
      <c r="BM376" t="s">
        <v>7110</v>
      </c>
      <c r="BN376" t="s">
        <v>74</v>
      </c>
      <c r="BO376" t="s">
        <v>152</v>
      </c>
      <c r="BP376" t="s">
        <v>74</v>
      </c>
      <c r="BQ376" t="s">
        <v>74</v>
      </c>
      <c r="BR376" t="s">
        <v>103</v>
      </c>
      <c r="BS376" t="s">
        <v>7111</v>
      </c>
      <c r="BT376" t="str">
        <f>HYPERLINK("https%3A%2F%2Fwww.webofscience.com%2Fwos%2Fwoscc%2Ffull-record%2FWOS:000294604600003","View Full Record in Web of Science")</f>
        <v>View Full Record in Web of Science</v>
      </c>
    </row>
    <row r="377" spans="1:72" x14ac:dyDescent="0.15">
      <c r="A377" t="s">
        <v>72</v>
      </c>
      <c r="B377" t="s">
        <v>7112</v>
      </c>
      <c r="C377" t="s">
        <v>74</v>
      </c>
      <c r="D377" t="s">
        <v>74</v>
      </c>
      <c r="E377" t="s">
        <v>74</v>
      </c>
      <c r="F377" t="s">
        <v>7113</v>
      </c>
      <c r="G377" t="s">
        <v>74</v>
      </c>
      <c r="H377" t="s">
        <v>74</v>
      </c>
      <c r="I377" t="s">
        <v>7114</v>
      </c>
      <c r="J377" t="s">
        <v>7115</v>
      </c>
      <c r="K377" t="s">
        <v>74</v>
      </c>
      <c r="L377" t="s">
        <v>74</v>
      </c>
      <c r="M377" t="s">
        <v>78</v>
      </c>
      <c r="N377" t="s">
        <v>79</v>
      </c>
      <c r="O377" t="s">
        <v>74</v>
      </c>
      <c r="P377" t="s">
        <v>74</v>
      </c>
      <c r="Q377" t="s">
        <v>74</v>
      </c>
      <c r="R377" t="s">
        <v>74</v>
      </c>
      <c r="S377" t="s">
        <v>74</v>
      </c>
      <c r="T377" t="s">
        <v>7116</v>
      </c>
      <c r="U377" t="s">
        <v>7117</v>
      </c>
      <c r="V377" t="s">
        <v>7118</v>
      </c>
      <c r="W377" t="s">
        <v>7119</v>
      </c>
      <c r="X377" t="s">
        <v>7120</v>
      </c>
      <c r="Y377" t="s">
        <v>7121</v>
      </c>
      <c r="Z377" t="s">
        <v>7122</v>
      </c>
      <c r="AA377" t="s">
        <v>7123</v>
      </c>
      <c r="AB377" t="s">
        <v>7124</v>
      </c>
      <c r="AC377" t="s">
        <v>74</v>
      </c>
      <c r="AD377" t="s">
        <v>74</v>
      </c>
      <c r="AE377" t="s">
        <v>74</v>
      </c>
      <c r="AF377" t="s">
        <v>74</v>
      </c>
      <c r="AG377">
        <v>10</v>
      </c>
      <c r="AH377">
        <v>3</v>
      </c>
      <c r="AI377">
        <v>3</v>
      </c>
      <c r="AJ377">
        <v>0</v>
      </c>
      <c r="AK377">
        <v>7</v>
      </c>
      <c r="AL377" t="s">
        <v>1441</v>
      </c>
      <c r="AM377" t="s">
        <v>91</v>
      </c>
      <c r="AN377" t="s">
        <v>1902</v>
      </c>
      <c r="AO377" t="s">
        <v>7125</v>
      </c>
      <c r="AP377" t="s">
        <v>7126</v>
      </c>
      <c r="AQ377" t="s">
        <v>74</v>
      </c>
      <c r="AR377" t="s">
        <v>7127</v>
      </c>
      <c r="AS377" t="s">
        <v>7128</v>
      </c>
      <c r="AT377" t="s">
        <v>7032</v>
      </c>
      <c r="AU377">
        <v>2011</v>
      </c>
      <c r="AV377">
        <v>39</v>
      </c>
      <c r="AW377">
        <v>2</v>
      </c>
      <c r="AX377" t="s">
        <v>74</v>
      </c>
      <c r="AY377" t="s">
        <v>74</v>
      </c>
      <c r="AZ377" t="s">
        <v>74</v>
      </c>
      <c r="BA377" t="s">
        <v>74</v>
      </c>
      <c r="BB377">
        <v>147</v>
      </c>
      <c r="BC377">
        <v>152</v>
      </c>
      <c r="BD377" t="s">
        <v>74</v>
      </c>
      <c r="BE377" t="s">
        <v>7129</v>
      </c>
      <c r="BF377" t="str">
        <f>HYPERLINK("http://dx.doi.org/10.1007/s12524-011-0070-x","http://dx.doi.org/10.1007/s12524-011-0070-x")</f>
        <v>http://dx.doi.org/10.1007/s12524-011-0070-x</v>
      </c>
      <c r="BG377" t="s">
        <v>74</v>
      </c>
      <c r="BH377" t="s">
        <v>74</v>
      </c>
      <c r="BI377">
        <v>6</v>
      </c>
      <c r="BJ377" t="s">
        <v>7130</v>
      </c>
      <c r="BK377" t="s">
        <v>100</v>
      </c>
      <c r="BL377" t="s">
        <v>7131</v>
      </c>
      <c r="BM377" t="s">
        <v>7132</v>
      </c>
      <c r="BN377" t="s">
        <v>74</v>
      </c>
      <c r="BO377" t="s">
        <v>74</v>
      </c>
      <c r="BP377" t="s">
        <v>74</v>
      </c>
      <c r="BQ377" t="s">
        <v>74</v>
      </c>
      <c r="BR377" t="s">
        <v>103</v>
      </c>
      <c r="BS377" t="s">
        <v>7133</v>
      </c>
      <c r="BT377" t="str">
        <f>HYPERLINK("https%3A%2F%2Fwww.webofscience.com%2Fwos%2Fwoscc%2Ffull-record%2FWOS:000293960200002","View Full Record in Web of Science")</f>
        <v>View Full Record in Web of Science</v>
      </c>
    </row>
    <row r="378" spans="1:72" x14ac:dyDescent="0.15">
      <c r="A378" t="s">
        <v>72</v>
      </c>
      <c r="B378" t="s">
        <v>7134</v>
      </c>
      <c r="C378" t="s">
        <v>74</v>
      </c>
      <c r="D378" t="s">
        <v>74</v>
      </c>
      <c r="E378" t="s">
        <v>74</v>
      </c>
      <c r="F378" t="s">
        <v>7135</v>
      </c>
      <c r="G378" t="s">
        <v>74</v>
      </c>
      <c r="H378" t="s">
        <v>74</v>
      </c>
      <c r="I378" t="s">
        <v>7136</v>
      </c>
      <c r="J378" t="s">
        <v>7137</v>
      </c>
      <c r="K378" t="s">
        <v>74</v>
      </c>
      <c r="L378" t="s">
        <v>74</v>
      </c>
      <c r="M378" t="s">
        <v>78</v>
      </c>
      <c r="N378" t="s">
        <v>79</v>
      </c>
      <c r="O378" t="s">
        <v>74</v>
      </c>
      <c r="P378" t="s">
        <v>74</v>
      </c>
      <c r="Q378" t="s">
        <v>74</v>
      </c>
      <c r="R378" t="s">
        <v>74</v>
      </c>
      <c r="S378" t="s">
        <v>74</v>
      </c>
      <c r="T378" t="s">
        <v>7138</v>
      </c>
      <c r="U378" t="s">
        <v>7139</v>
      </c>
      <c r="V378" t="s">
        <v>7140</v>
      </c>
      <c r="W378" t="s">
        <v>7141</v>
      </c>
      <c r="X378" t="s">
        <v>7142</v>
      </c>
      <c r="Y378" t="s">
        <v>7143</v>
      </c>
      <c r="Z378" t="s">
        <v>7144</v>
      </c>
      <c r="AA378" t="s">
        <v>7145</v>
      </c>
      <c r="AB378" t="s">
        <v>7146</v>
      </c>
      <c r="AC378" t="s">
        <v>7147</v>
      </c>
      <c r="AD378" t="s">
        <v>7148</v>
      </c>
      <c r="AE378" t="s">
        <v>7149</v>
      </c>
      <c r="AF378" t="s">
        <v>74</v>
      </c>
      <c r="AG378">
        <v>45</v>
      </c>
      <c r="AH378">
        <v>14</v>
      </c>
      <c r="AI378">
        <v>18</v>
      </c>
      <c r="AJ378">
        <v>0</v>
      </c>
      <c r="AK378">
        <v>27</v>
      </c>
      <c r="AL378" t="s">
        <v>4399</v>
      </c>
      <c r="AM378" t="s">
        <v>4400</v>
      </c>
      <c r="AN378" t="s">
        <v>4401</v>
      </c>
      <c r="AO378" t="s">
        <v>7150</v>
      </c>
      <c r="AP378" t="s">
        <v>74</v>
      </c>
      <c r="AQ378" t="s">
        <v>74</v>
      </c>
      <c r="AR378" t="s">
        <v>7137</v>
      </c>
      <c r="AS378" t="s">
        <v>3232</v>
      </c>
      <c r="AT378" t="s">
        <v>7032</v>
      </c>
      <c r="AU378">
        <v>2011</v>
      </c>
      <c r="AV378">
        <v>114</v>
      </c>
      <c r="AW378">
        <v>3</v>
      </c>
      <c r="AX378" t="s">
        <v>74</v>
      </c>
      <c r="AY378" t="s">
        <v>74</v>
      </c>
      <c r="AZ378" t="s">
        <v>74</v>
      </c>
      <c r="BA378" t="s">
        <v>74</v>
      </c>
      <c r="BB378">
        <v>177</v>
      </c>
      <c r="BC378">
        <v>183</v>
      </c>
      <c r="BD378" t="s">
        <v>74</v>
      </c>
      <c r="BE378" t="s">
        <v>7151</v>
      </c>
      <c r="BF378" t="str">
        <f>HYPERLINK("http://dx.doi.org/10.1016/j.zool.2010.11.007","http://dx.doi.org/10.1016/j.zool.2010.11.007")</f>
        <v>http://dx.doi.org/10.1016/j.zool.2010.11.007</v>
      </c>
      <c r="BG378" t="s">
        <v>74</v>
      </c>
      <c r="BH378" t="s">
        <v>74</v>
      </c>
      <c r="BI378">
        <v>7</v>
      </c>
      <c r="BJ378" t="s">
        <v>3232</v>
      </c>
      <c r="BK378" t="s">
        <v>100</v>
      </c>
      <c r="BL378" t="s">
        <v>3232</v>
      </c>
      <c r="BM378" t="s">
        <v>7152</v>
      </c>
      <c r="BN378">
        <v>21600749</v>
      </c>
      <c r="BO378" t="s">
        <v>74</v>
      </c>
      <c r="BP378" t="s">
        <v>74</v>
      </c>
      <c r="BQ378" t="s">
        <v>74</v>
      </c>
      <c r="BR378" t="s">
        <v>103</v>
      </c>
      <c r="BS378" t="s">
        <v>7153</v>
      </c>
      <c r="BT378" t="str">
        <f>HYPERLINK("https%3A%2F%2Fwww.webofscience.com%2Fwos%2Fwoscc%2Ffull-record%2FWOS:000294196800007","View Full Record in Web of Science")</f>
        <v>View Full Record in Web of Science</v>
      </c>
    </row>
    <row r="379" spans="1:72" x14ac:dyDescent="0.15">
      <c r="A379" t="s">
        <v>72</v>
      </c>
      <c r="B379" t="s">
        <v>7154</v>
      </c>
      <c r="C379" t="s">
        <v>74</v>
      </c>
      <c r="D379" t="s">
        <v>74</v>
      </c>
      <c r="E379" t="s">
        <v>74</v>
      </c>
      <c r="F379" t="s">
        <v>7155</v>
      </c>
      <c r="G379" t="s">
        <v>74</v>
      </c>
      <c r="H379" t="s">
        <v>74</v>
      </c>
      <c r="I379" t="s">
        <v>7156</v>
      </c>
      <c r="J379" t="s">
        <v>7157</v>
      </c>
      <c r="K379" t="s">
        <v>74</v>
      </c>
      <c r="L379" t="s">
        <v>74</v>
      </c>
      <c r="M379" t="s">
        <v>78</v>
      </c>
      <c r="N379" t="s">
        <v>79</v>
      </c>
      <c r="O379" t="s">
        <v>74</v>
      </c>
      <c r="P379" t="s">
        <v>74</v>
      </c>
      <c r="Q379" t="s">
        <v>74</v>
      </c>
      <c r="R379" t="s">
        <v>74</v>
      </c>
      <c r="S379" t="s">
        <v>74</v>
      </c>
      <c r="T379" t="s">
        <v>7158</v>
      </c>
      <c r="U379" t="s">
        <v>7159</v>
      </c>
      <c r="V379" t="s">
        <v>7160</v>
      </c>
      <c r="W379" t="s">
        <v>7161</v>
      </c>
      <c r="X379" t="s">
        <v>7162</v>
      </c>
      <c r="Y379" t="s">
        <v>7163</v>
      </c>
      <c r="Z379" t="s">
        <v>7164</v>
      </c>
      <c r="AA379" t="s">
        <v>74</v>
      </c>
      <c r="AB379" t="s">
        <v>74</v>
      </c>
      <c r="AC379" t="s">
        <v>7165</v>
      </c>
      <c r="AD379" t="s">
        <v>7166</v>
      </c>
      <c r="AE379" t="s">
        <v>7167</v>
      </c>
      <c r="AF379" t="s">
        <v>74</v>
      </c>
      <c r="AG379">
        <v>35</v>
      </c>
      <c r="AH379">
        <v>2</v>
      </c>
      <c r="AI379">
        <v>2</v>
      </c>
      <c r="AJ379">
        <v>1</v>
      </c>
      <c r="AK379">
        <v>41</v>
      </c>
      <c r="AL379" t="s">
        <v>1571</v>
      </c>
      <c r="AM379" t="s">
        <v>1572</v>
      </c>
      <c r="AN379" t="s">
        <v>1573</v>
      </c>
      <c r="AO379" t="s">
        <v>7168</v>
      </c>
      <c r="AP379" t="s">
        <v>7169</v>
      </c>
      <c r="AQ379" t="s">
        <v>74</v>
      </c>
      <c r="AR379" t="s">
        <v>7170</v>
      </c>
      <c r="AS379" t="s">
        <v>7171</v>
      </c>
      <c r="AT379" t="s">
        <v>7032</v>
      </c>
      <c r="AU379">
        <v>2011</v>
      </c>
      <c r="AV379">
        <v>25</v>
      </c>
      <c r="AW379">
        <v>3</v>
      </c>
      <c r="AX379" t="s">
        <v>74</v>
      </c>
      <c r="AY379" t="s">
        <v>74</v>
      </c>
      <c r="AZ379" t="s">
        <v>74</v>
      </c>
      <c r="BA379" t="s">
        <v>74</v>
      </c>
      <c r="BB379">
        <v>262</v>
      </c>
      <c r="BC379">
        <v>271</v>
      </c>
      <c r="BD379" t="s">
        <v>74</v>
      </c>
      <c r="BE379" t="s">
        <v>7172</v>
      </c>
      <c r="BF379" t="str">
        <f>HYPERLINK("http://dx.doi.org/10.1007/s13351-011-0302-6","http://dx.doi.org/10.1007/s13351-011-0302-6")</f>
        <v>http://dx.doi.org/10.1007/s13351-011-0302-6</v>
      </c>
      <c r="BG379" t="s">
        <v>74</v>
      </c>
      <c r="BH379" t="s">
        <v>74</v>
      </c>
      <c r="BI379">
        <v>10</v>
      </c>
      <c r="BJ379" t="s">
        <v>248</v>
      </c>
      <c r="BK379" t="s">
        <v>100</v>
      </c>
      <c r="BL379" t="s">
        <v>248</v>
      </c>
      <c r="BM379" t="s">
        <v>7173</v>
      </c>
      <c r="BN379" t="s">
        <v>74</v>
      </c>
      <c r="BO379" t="s">
        <v>74</v>
      </c>
      <c r="BP379" t="s">
        <v>74</v>
      </c>
      <c r="BQ379" t="s">
        <v>74</v>
      </c>
      <c r="BR379" t="s">
        <v>103</v>
      </c>
      <c r="BS379" t="s">
        <v>7174</v>
      </c>
      <c r="BT379" t="str">
        <f>HYPERLINK("https%3A%2F%2Fwww.webofscience.com%2Fwos%2Fwoscc%2Ffull-record%2FWOS:000293715600001","View Full Record in Web of Science")</f>
        <v>View Full Record in Web of Science</v>
      </c>
    </row>
    <row r="380" spans="1:72" x14ac:dyDescent="0.15">
      <c r="A380" t="s">
        <v>72</v>
      </c>
      <c r="B380" t="s">
        <v>7175</v>
      </c>
      <c r="C380" t="s">
        <v>74</v>
      </c>
      <c r="D380" t="s">
        <v>74</v>
      </c>
      <c r="E380" t="s">
        <v>74</v>
      </c>
      <c r="F380" t="s">
        <v>7176</v>
      </c>
      <c r="G380" t="s">
        <v>74</v>
      </c>
      <c r="H380" t="s">
        <v>74</v>
      </c>
      <c r="I380" t="s">
        <v>7177</v>
      </c>
      <c r="J380" t="s">
        <v>7157</v>
      </c>
      <c r="K380" t="s">
        <v>74</v>
      </c>
      <c r="L380" t="s">
        <v>74</v>
      </c>
      <c r="M380" t="s">
        <v>78</v>
      </c>
      <c r="N380" t="s">
        <v>79</v>
      </c>
      <c r="O380" t="s">
        <v>74</v>
      </c>
      <c r="P380" t="s">
        <v>74</v>
      </c>
      <c r="Q380" t="s">
        <v>74</v>
      </c>
      <c r="R380" t="s">
        <v>74</v>
      </c>
      <c r="S380" t="s">
        <v>74</v>
      </c>
      <c r="T380" t="s">
        <v>7178</v>
      </c>
      <c r="U380" t="s">
        <v>7179</v>
      </c>
      <c r="V380" t="s">
        <v>7180</v>
      </c>
      <c r="W380" t="s">
        <v>7181</v>
      </c>
      <c r="X380" t="s">
        <v>7182</v>
      </c>
      <c r="Y380" t="s">
        <v>7183</v>
      </c>
      <c r="Z380" t="s">
        <v>7184</v>
      </c>
      <c r="AA380" t="s">
        <v>74</v>
      </c>
      <c r="AB380" t="s">
        <v>74</v>
      </c>
      <c r="AC380" t="s">
        <v>7185</v>
      </c>
      <c r="AD380" t="s">
        <v>7186</v>
      </c>
      <c r="AE380" t="s">
        <v>7187</v>
      </c>
      <c r="AF380" t="s">
        <v>74</v>
      </c>
      <c r="AG380">
        <v>21</v>
      </c>
      <c r="AH380">
        <v>11</v>
      </c>
      <c r="AI380">
        <v>12</v>
      </c>
      <c r="AJ380">
        <v>0</v>
      </c>
      <c r="AK380">
        <v>19</v>
      </c>
      <c r="AL380" t="s">
        <v>1571</v>
      </c>
      <c r="AM380" t="s">
        <v>1572</v>
      </c>
      <c r="AN380" t="s">
        <v>1573</v>
      </c>
      <c r="AO380" t="s">
        <v>7168</v>
      </c>
      <c r="AP380" t="s">
        <v>7169</v>
      </c>
      <c r="AQ380" t="s">
        <v>74</v>
      </c>
      <c r="AR380" t="s">
        <v>7170</v>
      </c>
      <c r="AS380" t="s">
        <v>7171</v>
      </c>
      <c r="AT380" t="s">
        <v>7032</v>
      </c>
      <c r="AU380">
        <v>2011</v>
      </c>
      <c r="AV380">
        <v>25</v>
      </c>
      <c r="AW380">
        <v>3</v>
      </c>
      <c r="AX380" t="s">
        <v>74</v>
      </c>
      <c r="AY380" t="s">
        <v>74</v>
      </c>
      <c r="AZ380" t="s">
        <v>74</v>
      </c>
      <c r="BA380" t="s">
        <v>74</v>
      </c>
      <c r="BB380">
        <v>340</v>
      </c>
      <c r="BC380">
        <v>354</v>
      </c>
      <c r="BD380" t="s">
        <v>74</v>
      </c>
      <c r="BE380" t="s">
        <v>7188</v>
      </c>
      <c r="BF380" t="str">
        <f>HYPERLINK("http://dx.doi.org/10.1007/s13351-011-0309-z","http://dx.doi.org/10.1007/s13351-011-0309-z")</f>
        <v>http://dx.doi.org/10.1007/s13351-011-0309-z</v>
      </c>
      <c r="BG380" t="s">
        <v>74</v>
      </c>
      <c r="BH380" t="s">
        <v>74</v>
      </c>
      <c r="BI380">
        <v>15</v>
      </c>
      <c r="BJ380" t="s">
        <v>248</v>
      </c>
      <c r="BK380" t="s">
        <v>100</v>
      </c>
      <c r="BL380" t="s">
        <v>248</v>
      </c>
      <c r="BM380" t="s">
        <v>7173</v>
      </c>
      <c r="BN380" t="s">
        <v>74</v>
      </c>
      <c r="BO380" t="s">
        <v>74</v>
      </c>
      <c r="BP380" t="s">
        <v>74</v>
      </c>
      <c r="BQ380" t="s">
        <v>74</v>
      </c>
      <c r="BR380" t="s">
        <v>103</v>
      </c>
      <c r="BS380" t="s">
        <v>7189</v>
      </c>
      <c r="BT380" t="str">
        <f>HYPERLINK("https%3A%2F%2Fwww.webofscience.com%2Fwos%2Fwoscc%2Ffull-record%2FWOS:000293715600008","View Full Record in Web of Science")</f>
        <v>View Full Record in Web of Science</v>
      </c>
    </row>
    <row r="381" spans="1:72" x14ac:dyDescent="0.15">
      <c r="A381" t="s">
        <v>72</v>
      </c>
      <c r="B381" t="s">
        <v>7190</v>
      </c>
      <c r="C381" t="s">
        <v>74</v>
      </c>
      <c r="D381" t="s">
        <v>74</v>
      </c>
      <c r="E381" t="s">
        <v>74</v>
      </c>
      <c r="F381" t="s">
        <v>7191</v>
      </c>
      <c r="G381" t="s">
        <v>74</v>
      </c>
      <c r="H381" t="s">
        <v>74</v>
      </c>
      <c r="I381" t="s">
        <v>7192</v>
      </c>
      <c r="J381" t="s">
        <v>7193</v>
      </c>
      <c r="K381" t="s">
        <v>74</v>
      </c>
      <c r="L381" t="s">
        <v>74</v>
      </c>
      <c r="M381" t="s">
        <v>4016</v>
      </c>
      <c r="N381" t="s">
        <v>7194</v>
      </c>
      <c r="O381" t="s">
        <v>74</v>
      </c>
      <c r="P381" t="s">
        <v>74</v>
      </c>
      <c r="Q381" t="s">
        <v>74</v>
      </c>
      <c r="R381" t="s">
        <v>74</v>
      </c>
      <c r="S381" t="s">
        <v>74</v>
      </c>
      <c r="T381" t="s">
        <v>74</v>
      </c>
      <c r="U381" t="s">
        <v>7195</v>
      </c>
      <c r="V381" t="s">
        <v>74</v>
      </c>
      <c r="W381" t="s">
        <v>7196</v>
      </c>
      <c r="X381" t="s">
        <v>7197</v>
      </c>
      <c r="Y381" t="s">
        <v>7198</v>
      </c>
      <c r="Z381" t="s">
        <v>7199</v>
      </c>
      <c r="AA381" t="s">
        <v>7200</v>
      </c>
      <c r="AB381" t="s">
        <v>7201</v>
      </c>
      <c r="AC381" t="s">
        <v>74</v>
      </c>
      <c r="AD381" t="s">
        <v>74</v>
      </c>
      <c r="AE381" t="s">
        <v>74</v>
      </c>
      <c r="AF381" t="s">
        <v>74</v>
      </c>
      <c r="AG381">
        <v>13</v>
      </c>
      <c r="AH381">
        <v>0</v>
      </c>
      <c r="AI381">
        <v>0</v>
      </c>
      <c r="AJ381">
        <v>0</v>
      </c>
      <c r="AK381">
        <v>10</v>
      </c>
      <c r="AL381" t="s">
        <v>7202</v>
      </c>
      <c r="AM381" t="s">
        <v>7203</v>
      </c>
      <c r="AN381" t="s">
        <v>7204</v>
      </c>
      <c r="AO381" t="s">
        <v>7205</v>
      </c>
      <c r="AP381" t="s">
        <v>74</v>
      </c>
      <c r="AQ381" t="s">
        <v>74</v>
      </c>
      <c r="AR381" t="s">
        <v>7206</v>
      </c>
      <c r="AS381" t="s">
        <v>7207</v>
      </c>
      <c r="AT381" t="s">
        <v>7032</v>
      </c>
      <c r="AU381">
        <v>2011</v>
      </c>
      <c r="AV381">
        <v>84</v>
      </c>
      <c r="AW381">
        <v>2</v>
      </c>
      <c r="AX381" t="s">
        <v>74</v>
      </c>
      <c r="AY381" t="s">
        <v>74</v>
      </c>
      <c r="AZ381" t="s">
        <v>74</v>
      </c>
      <c r="BA381" t="s">
        <v>74</v>
      </c>
      <c r="BB381">
        <v>301</v>
      </c>
      <c r="BC381">
        <v>302</v>
      </c>
      <c r="BD381" t="s">
        <v>74</v>
      </c>
      <c r="BE381" t="s">
        <v>7208</v>
      </c>
      <c r="BF381" t="str">
        <f>HYPERLINK("http://dx.doi.org/10.4067/S0716-078X2011000200014","http://dx.doi.org/10.4067/S0716-078X2011000200014")</f>
        <v>http://dx.doi.org/10.4067/S0716-078X2011000200014</v>
      </c>
      <c r="BG381" t="s">
        <v>74</v>
      </c>
      <c r="BH381" t="s">
        <v>74</v>
      </c>
      <c r="BI381">
        <v>2</v>
      </c>
      <c r="BJ381" t="s">
        <v>1908</v>
      </c>
      <c r="BK381" t="s">
        <v>100</v>
      </c>
      <c r="BL381" t="s">
        <v>1909</v>
      </c>
      <c r="BM381" t="s">
        <v>7209</v>
      </c>
      <c r="BN381" t="s">
        <v>74</v>
      </c>
      <c r="BO381" t="s">
        <v>7210</v>
      </c>
      <c r="BP381" t="s">
        <v>74</v>
      </c>
      <c r="BQ381" t="s">
        <v>74</v>
      </c>
      <c r="BR381" t="s">
        <v>103</v>
      </c>
      <c r="BS381" t="s">
        <v>7211</v>
      </c>
      <c r="BT381" t="str">
        <f>HYPERLINK("https%3A%2F%2Fwww.webofscience.com%2Fwos%2Fwoscc%2Ffull-record%2FWOS:000293674900014","View Full Record in Web of Science")</f>
        <v>View Full Record in Web of Science</v>
      </c>
    </row>
    <row r="382" spans="1:72" x14ac:dyDescent="0.15">
      <c r="A382" t="s">
        <v>72</v>
      </c>
      <c r="B382" t="s">
        <v>7212</v>
      </c>
      <c r="C382" t="s">
        <v>74</v>
      </c>
      <c r="D382" t="s">
        <v>74</v>
      </c>
      <c r="E382" t="s">
        <v>74</v>
      </c>
      <c r="F382" t="s">
        <v>7213</v>
      </c>
      <c r="G382" t="s">
        <v>74</v>
      </c>
      <c r="H382" t="s">
        <v>74</v>
      </c>
      <c r="I382" t="s">
        <v>7214</v>
      </c>
      <c r="J382" t="s">
        <v>4435</v>
      </c>
      <c r="K382" t="s">
        <v>74</v>
      </c>
      <c r="L382" t="s">
        <v>74</v>
      </c>
      <c r="M382" t="s">
        <v>78</v>
      </c>
      <c r="N382" t="s">
        <v>79</v>
      </c>
      <c r="O382" t="s">
        <v>74</v>
      </c>
      <c r="P382" t="s">
        <v>74</v>
      </c>
      <c r="Q382" t="s">
        <v>74</v>
      </c>
      <c r="R382" t="s">
        <v>74</v>
      </c>
      <c r="S382" t="s">
        <v>74</v>
      </c>
      <c r="T382" t="s">
        <v>7215</v>
      </c>
      <c r="U382" t="s">
        <v>7216</v>
      </c>
      <c r="V382" t="s">
        <v>7217</v>
      </c>
      <c r="W382" t="s">
        <v>7218</v>
      </c>
      <c r="X382" t="s">
        <v>7219</v>
      </c>
      <c r="Y382" t="s">
        <v>7220</v>
      </c>
      <c r="Z382" t="s">
        <v>7221</v>
      </c>
      <c r="AA382" t="s">
        <v>7222</v>
      </c>
      <c r="AB382" t="s">
        <v>7223</v>
      </c>
      <c r="AC382" t="s">
        <v>74</v>
      </c>
      <c r="AD382" t="s">
        <v>74</v>
      </c>
      <c r="AE382" t="s">
        <v>74</v>
      </c>
      <c r="AF382" t="s">
        <v>74</v>
      </c>
      <c r="AG382">
        <v>65</v>
      </c>
      <c r="AH382">
        <v>18</v>
      </c>
      <c r="AI382">
        <v>18</v>
      </c>
      <c r="AJ382">
        <v>0</v>
      </c>
      <c r="AK382">
        <v>31</v>
      </c>
      <c r="AL382" t="s">
        <v>926</v>
      </c>
      <c r="AM382" t="s">
        <v>508</v>
      </c>
      <c r="AN382" t="s">
        <v>927</v>
      </c>
      <c r="AO382" t="s">
        <v>4448</v>
      </c>
      <c r="AP382" t="s">
        <v>4449</v>
      </c>
      <c r="AQ382" t="s">
        <v>74</v>
      </c>
      <c r="AR382" t="s">
        <v>4450</v>
      </c>
      <c r="AS382" t="s">
        <v>4451</v>
      </c>
      <c r="AT382" t="s">
        <v>7032</v>
      </c>
      <c r="AU382">
        <v>2011</v>
      </c>
      <c r="AV382">
        <v>45</v>
      </c>
      <c r="AW382">
        <v>20</v>
      </c>
      <c r="AX382" t="s">
        <v>74</v>
      </c>
      <c r="AY382" t="s">
        <v>74</v>
      </c>
      <c r="AZ382" t="s">
        <v>74</v>
      </c>
      <c r="BA382" t="s">
        <v>74</v>
      </c>
      <c r="BB382">
        <v>3508</v>
      </c>
      <c r="BC382">
        <v>3514</v>
      </c>
      <c r="BD382" t="s">
        <v>74</v>
      </c>
      <c r="BE382" t="s">
        <v>7224</v>
      </c>
      <c r="BF382" t="str">
        <f>HYPERLINK("http://dx.doi.org/10.1016/j.atmosenv.2011.03.059","http://dx.doi.org/10.1016/j.atmosenv.2011.03.059")</f>
        <v>http://dx.doi.org/10.1016/j.atmosenv.2011.03.059</v>
      </c>
      <c r="BG382" t="s">
        <v>74</v>
      </c>
      <c r="BH382" t="s">
        <v>74</v>
      </c>
      <c r="BI382">
        <v>7</v>
      </c>
      <c r="BJ382" t="s">
        <v>4453</v>
      </c>
      <c r="BK382" t="s">
        <v>100</v>
      </c>
      <c r="BL382" t="s">
        <v>4454</v>
      </c>
      <c r="BM382" t="s">
        <v>7225</v>
      </c>
      <c r="BN382" t="s">
        <v>74</v>
      </c>
      <c r="BO382" t="s">
        <v>74</v>
      </c>
      <c r="BP382" t="s">
        <v>74</v>
      </c>
      <c r="BQ382" t="s">
        <v>74</v>
      </c>
      <c r="BR382" t="s">
        <v>103</v>
      </c>
      <c r="BS382" t="s">
        <v>7226</v>
      </c>
      <c r="BT382" t="str">
        <f>HYPERLINK("https%3A%2F%2Fwww.webofscience.com%2Fwos%2Fwoscc%2Ffull-record%2FWOS:000292809300020","View Full Record in Web of Science")</f>
        <v>View Full Record in Web of Science</v>
      </c>
    </row>
    <row r="383" spans="1:72" x14ac:dyDescent="0.15">
      <c r="A383" t="s">
        <v>72</v>
      </c>
      <c r="B383" t="s">
        <v>7227</v>
      </c>
      <c r="C383" t="s">
        <v>74</v>
      </c>
      <c r="D383" t="s">
        <v>74</v>
      </c>
      <c r="E383" t="s">
        <v>74</v>
      </c>
      <c r="F383" t="s">
        <v>7228</v>
      </c>
      <c r="G383" t="s">
        <v>74</v>
      </c>
      <c r="H383" t="s">
        <v>74</v>
      </c>
      <c r="I383" t="s">
        <v>7229</v>
      </c>
      <c r="J383" t="s">
        <v>7230</v>
      </c>
      <c r="K383" t="s">
        <v>74</v>
      </c>
      <c r="L383" t="s">
        <v>74</v>
      </c>
      <c r="M383" t="s">
        <v>78</v>
      </c>
      <c r="N383" t="s">
        <v>79</v>
      </c>
      <c r="O383" t="s">
        <v>74</v>
      </c>
      <c r="P383" t="s">
        <v>74</v>
      </c>
      <c r="Q383" t="s">
        <v>74</v>
      </c>
      <c r="R383" t="s">
        <v>74</v>
      </c>
      <c r="S383" t="s">
        <v>74</v>
      </c>
      <c r="T383" t="s">
        <v>7231</v>
      </c>
      <c r="U383" t="s">
        <v>7232</v>
      </c>
      <c r="V383" t="s">
        <v>7233</v>
      </c>
      <c r="W383" t="s">
        <v>7234</v>
      </c>
      <c r="X383" t="s">
        <v>5338</v>
      </c>
      <c r="Y383" t="s">
        <v>7235</v>
      </c>
      <c r="Z383" t="s">
        <v>7236</v>
      </c>
      <c r="AA383" t="s">
        <v>74</v>
      </c>
      <c r="AB383" t="s">
        <v>74</v>
      </c>
      <c r="AC383" t="s">
        <v>74</v>
      </c>
      <c r="AD383" t="s">
        <v>74</v>
      </c>
      <c r="AE383" t="s">
        <v>74</v>
      </c>
      <c r="AF383" t="s">
        <v>74</v>
      </c>
      <c r="AG383">
        <v>89</v>
      </c>
      <c r="AH383">
        <v>30</v>
      </c>
      <c r="AI383">
        <v>39</v>
      </c>
      <c r="AJ383">
        <v>0</v>
      </c>
      <c r="AK383">
        <v>21</v>
      </c>
      <c r="AL383" t="s">
        <v>7237</v>
      </c>
      <c r="AM383" t="s">
        <v>7238</v>
      </c>
      <c r="AN383" t="s">
        <v>7239</v>
      </c>
      <c r="AO383" t="s">
        <v>7240</v>
      </c>
      <c r="AP383" t="s">
        <v>74</v>
      </c>
      <c r="AQ383" t="s">
        <v>74</v>
      </c>
      <c r="AR383" t="s">
        <v>7241</v>
      </c>
      <c r="AS383" t="s">
        <v>7242</v>
      </c>
      <c r="AT383" t="s">
        <v>7032</v>
      </c>
      <c r="AU383">
        <v>2011</v>
      </c>
      <c r="AV383">
        <v>19</v>
      </c>
      <c r="AW383">
        <v>3</v>
      </c>
      <c r="AX383" t="s">
        <v>74</v>
      </c>
      <c r="AY383" t="s">
        <v>74</v>
      </c>
      <c r="AZ383" t="s">
        <v>74</v>
      </c>
      <c r="BA383" t="s">
        <v>74</v>
      </c>
      <c r="BB383">
        <v>245</v>
      </c>
      <c r="BC383">
        <v>252</v>
      </c>
      <c r="BD383" t="s">
        <v>74</v>
      </c>
      <c r="BE383" t="s">
        <v>74</v>
      </c>
      <c r="BF383" t="s">
        <v>74</v>
      </c>
      <c r="BG383" t="s">
        <v>74</v>
      </c>
      <c r="BH383" t="s">
        <v>74</v>
      </c>
      <c r="BI383">
        <v>8</v>
      </c>
      <c r="BJ383" t="s">
        <v>7243</v>
      </c>
      <c r="BK383" t="s">
        <v>100</v>
      </c>
      <c r="BL383" t="s">
        <v>7244</v>
      </c>
      <c r="BM383" t="s">
        <v>7245</v>
      </c>
      <c r="BN383" t="s">
        <v>74</v>
      </c>
      <c r="BO383" t="s">
        <v>74</v>
      </c>
      <c r="BP383" t="s">
        <v>74</v>
      </c>
      <c r="BQ383" t="s">
        <v>74</v>
      </c>
      <c r="BR383" t="s">
        <v>103</v>
      </c>
      <c r="BS383" t="s">
        <v>7246</v>
      </c>
      <c r="BT383" t="str">
        <f>HYPERLINK("https%3A%2F%2Fwww.webofscience.com%2Fwos%2Fwoscc%2Ffull-record%2FWOS:000293195700002","View Full Record in Web of Science")</f>
        <v>View Full Record in Web of Science</v>
      </c>
    </row>
    <row r="384" spans="1:72" x14ac:dyDescent="0.15">
      <c r="A384" t="s">
        <v>72</v>
      </c>
      <c r="B384" t="s">
        <v>7247</v>
      </c>
      <c r="C384" t="s">
        <v>74</v>
      </c>
      <c r="D384" t="s">
        <v>74</v>
      </c>
      <c r="E384" t="s">
        <v>74</v>
      </c>
      <c r="F384" t="s">
        <v>7248</v>
      </c>
      <c r="G384" t="s">
        <v>74</v>
      </c>
      <c r="H384" t="s">
        <v>74</v>
      </c>
      <c r="I384" t="s">
        <v>7249</v>
      </c>
      <c r="J384" t="s">
        <v>7250</v>
      </c>
      <c r="K384" t="s">
        <v>74</v>
      </c>
      <c r="L384" t="s">
        <v>74</v>
      </c>
      <c r="M384" t="s">
        <v>78</v>
      </c>
      <c r="N384" t="s">
        <v>79</v>
      </c>
      <c r="O384" t="s">
        <v>74</v>
      </c>
      <c r="P384" t="s">
        <v>74</v>
      </c>
      <c r="Q384" t="s">
        <v>74</v>
      </c>
      <c r="R384" t="s">
        <v>74</v>
      </c>
      <c r="S384" t="s">
        <v>74</v>
      </c>
      <c r="T384" t="s">
        <v>7251</v>
      </c>
      <c r="U384" t="s">
        <v>7252</v>
      </c>
      <c r="V384" t="s">
        <v>7253</v>
      </c>
      <c r="W384" t="s">
        <v>7254</v>
      </c>
      <c r="X384" t="s">
        <v>7255</v>
      </c>
      <c r="Y384" t="s">
        <v>7256</v>
      </c>
      <c r="Z384" t="s">
        <v>7257</v>
      </c>
      <c r="AA384" t="s">
        <v>7258</v>
      </c>
      <c r="AB384" t="s">
        <v>7259</v>
      </c>
      <c r="AC384" t="s">
        <v>7260</v>
      </c>
      <c r="AD384" t="s">
        <v>7261</v>
      </c>
      <c r="AE384" t="s">
        <v>7262</v>
      </c>
      <c r="AF384" t="s">
        <v>74</v>
      </c>
      <c r="AG384">
        <v>58</v>
      </c>
      <c r="AH384">
        <v>29</v>
      </c>
      <c r="AI384">
        <v>31</v>
      </c>
      <c r="AJ384">
        <v>1</v>
      </c>
      <c r="AK384">
        <v>12</v>
      </c>
      <c r="AL384" t="s">
        <v>7263</v>
      </c>
      <c r="AM384" t="s">
        <v>7264</v>
      </c>
      <c r="AN384" t="s">
        <v>7265</v>
      </c>
      <c r="AO384" t="s">
        <v>7266</v>
      </c>
      <c r="AP384" t="s">
        <v>7267</v>
      </c>
      <c r="AQ384" t="s">
        <v>74</v>
      </c>
      <c r="AR384" t="s">
        <v>7268</v>
      </c>
      <c r="AS384" t="s">
        <v>7269</v>
      </c>
      <c r="AT384" t="s">
        <v>7032</v>
      </c>
      <c r="AU384">
        <v>2011</v>
      </c>
      <c r="AV384">
        <v>56</v>
      </c>
      <c r="AW384">
        <v>2</v>
      </c>
      <c r="AX384" t="s">
        <v>74</v>
      </c>
      <c r="AY384" t="s">
        <v>74</v>
      </c>
      <c r="AZ384" t="s">
        <v>74</v>
      </c>
      <c r="BA384" t="s">
        <v>74</v>
      </c>
      <c r="BB384">
        <v>269</v>
      </c>
      <c r="BC384">
        <v>277</v>
      </c>
      <c r="BD384" t="s">
        <v>74</v>
      </c>
      <c r="BE384" t="s">
        <v>7270</v>
      </c>
      <c r="BF384" t="str">
        <f>HYPERLINK("http://dx.doi.org/10.4202/app.2009.1107","http://dx.doi.org/10.4202/app.2009.1107")</f>
        <v>http://dx.doi.org/10.4202/app.2009.1107</v>
      </c>
      <c r="BG384" t="s">
        <v>74</v>
      </c>
      <c r="BH384" t="s">
        <v>74</v>
      </c>
      <c r="BI384">
        <v>9</v>
      </c>
      <c r="BJ384" t="s">
        <v>5921</v>
      </c>
      <c r="BK384" t="s">
        <v>100</v>
      </c>
      <c r="BL384" t="s">
        <v>5921</v>
      </c>
      <c r="BM384" t="s">
        <v>7271</v>
      </c>
      <c r="BN384" t="s">
        <v>74</v>
      </c>
      <c r="BO384" t="s">
        <v>7272</v>
      </c>
      <c r="BP384" t="s">
        <v>74</v>
      </c>
      <c r="BQ384" t="s">
        <v>74</v>
      </c>
      <c r="BR384" t="s">
        <v>103</v>
      </c>
      <c r="BS384" t="s">
        <v>7273</v>
      </c>
      <c r="BT384" t="str">
        <f>HYPERLINK("https%3A%2F%2Fwww.webofscience.com%2Fwos%2Fwoscc%2Ffull-record%2FWOS:000292754700004","View Full Record in Web of Science")</f>
        <v>View Full Record in Web of Science</v>
      </c>
    </row>
    <row r="385" spans="1:72" x14ac:dyDescent="0.15">
      <c r="A385" t="s">
        <v>72</v>
      </c>
      <c r="B385" t="s">
        <v>7274</v>
      </c>
      <c r="C385" t="s">
        <v>74</v>
      </c>
      <c r="D385" t="s">
        <v>74</v>
      </c>
      <c r="E385" t="s">
        <v>74</v>
      </c>
      <c r="F385" t="s">
        <v>7275</v>
      </c>
      <c r="G385" t="s">
        <v>74</v>
      </c>
      <c r="H385" t="s">
        <v>74</v>
      </c>
      <c r="I385" t="s">
        <v>7276</v>
      </c>
      <c r="J385" t="s">
        <v>3994</v>
      </c>
      <c r="K385" t="s">
        <v>74</v>
      </c>
      <c r="L385" t="s">
        <v>74</v>
      </c>
      <c r="M385" t="s">
        <v>78</v>
      </c>
      <c r="N385" t="s">
        <v>79</v>
      </c>
      <c r="O385" t="s">
        <v>74</v>
      </c>
      <c r="P385" t="s">
        <v>74</v>
      </c>
      <c r="Q385" t="s">
        <v>74</v>
      </c>
      <c r="R385" t="s">
        <v>74</v>
      </c>
      <c r="S385" t="s">
        <v>74</v>
      </c>
      <c r="T385" t="s">
        <v>7277</v>
      </c>
      <c r="U385" t="s">
        <v>7278</v>
      </c>
      <c r="V385" t="s">
        <v>7279</v>
      </c>
      <c r="W385" t="s">
        <v>7280</v>
      </c>
      <c r="X385" t="s">
        <v>7281</v>
      </c>
      <c r="Y385" t="s">
        <v>7282</v>
      </c>
      <c r="Z385" t="s">
        <v>7283</v>
      </c>
      <c r="AA385" t="s">
        <v>7284</v>
      </c>
      <c r="AB385" t="s">
        <v>7285</v>
      </c>
      <c r="AC385" t="s">
        <v>7286</v>
      </c>
      <c r="AD385" t="s">
        <v>7287</v>
      </c>
      <c r="AE385" t="s">
        <v>7288</v>
      </c>
      <c r="AF385" t="s">
        <v>74</v>
      </c>
      <c r="AG385">
        <v>92</v>
      </c>
      <c r="AH385">
        <v>57</v>
      </c>
      <c r="AI385">
        <v>61</v>
      </c>
      <c r="AJ385">
        <v>2</v>
      </c>
      <c r="AK385">
        <v>21</v>
      </c>
      <c r="AL385" t="s">
        <v>926</v>
      </c>
      <c r="AM385" t="s">
        <v>508</v>
      </c>
      <c r="AN385" t="s">
        <v>927</v>
      </c>
      <c r="AO385" t="s">
        <v>4005</v>
      </c>
      <c r="AP385" t="s">
        <v>74</v>
      </c>
      <c r="AQ385" t="s">
        <v>74</v>
      </c>
      <c r="AR385" t="s">
        <v>4006</v>
      </c>
      <c r="AS385" t="s">
        <v>4007</v>
      </c>
      <c r="AT385" t="s">
        <v>7032</v>
      </c>
      <c r="AU385">
        <v>2011</v>
      </c>
      <c r="AV385">
        <v>30</v>
      </c>
      <c r="AW385" t="s">
        <v>7289</v>
      </c>
      <c r="AX385" t="s">
        <v>74</v>
      </c>
      <c r="AY385" t="s">
        <v>74</v>
      </c>
      <c r="AZ385" t="s">
        <v>74</v>
      </c>
      <c r="BA385" t="s">
        <v>74</v>
      </c>
      <c r="BB385">
        <v>1583</v>
      </c>
      <c r="BC385">
        <v>1601</v>
      </c>
      <c r="BD385" t="s">
        <v>74</v>
      </c>
      <c r="BE385" t="s">
        <v>7290</v>
      </c>
      <c r="BF385" t="str">
        <f>HYPERLINK("http://dx.doi.org/10.1016/j.quascirev.2011.03.018","http://dx.doi.org/10.1016/j.quascirev.2011.03.018")</f>
        <v>http://dx.doi.org/10.1016/j.quascirev.2011.03.018</v>
      </c>
      <c r="BG385" t="s">
        <v>74</v>
      </c>
      <c r="BH385" t="s">
        <v>74</v>
      </c>
      <c r="BI385">
        <v>19</v>
      </c>
      <c r="BJ385" t="s">
        <v>1496</v>
      </c>
      <c r="BK385" t="s">
        <v>100</v>
      </c>
      <c r="BL385" t="s">
        <v>1497</v>
      </c>
      <c r="BM385" t="s">
        <v>7291</v>
      </c>
      <c r="BN385" t="s">
        <v>74</v>
      </c>
      <c r="BO385" t="s">
        <v>74</v>
      </c>
      <c r="BP385" t="s">
        <v>74</v>
      </c>
      <c r="BQ385" t="s">
        <v>74</v>
      </c>
      <c r="BR385" t="s">
        <v>103</v>
      </c>
      <c r="BS385" t="s">
        <v>7292</v>
      </c>
      <c r="BT385" t="str">
        <f>HYPERLINK("https%3A%2F%2Fwww.webofscience.com%2Fwos%2Fwoscc%2Ffull-record%2FWOS:000292946800004","View Full Record in Web of Science")</f>
        <v>View Full Record in Web of Science</v>
      </c>
    </row>
    <row r="386" spans="1:72" x14ac:dyDescent="0.15">
      <c r="A386" t="s">
        <v>72</v>
      </c>
      <c r="B386" t="s">
        <v>7293</v>
      </c>
      <c r="C386" t="s">
        <v>74</v>
      </c>
      <c r="D386" t="s">
        <v>74</v>
      </c>
      <c r="E386" t="s">
        <v>74</v>
      </c>
      <c r="F386" t="s">
        <v>7294</v>
      </c>
      <c r="G386" t="s">
        <v>74</v>
      </c>
      <c r="H386" t="s">
        <v>74</v>
      </c>
      <c r="I386" t="s">
        <v>7295</v>
      </c>
      <c r="J386" t="s">
        <v>3994</v>
      </c>
      <c r="K386" t="s">
        <v>74</v>
      </c>
      <c r="L386" t="s">
        <v>74</v>
      </c>
      <c r="M386" t="s">
        <v>78</v>
      </c>
      <c r="N386" t="s">
        <v>79</v>
      </c>
      <c r="O386" t="s">
        <v>74</v>
      </c>
      <c r="P386" t="s">
        <v>74</v>
      </c>
      <c r="Q386" t="s">
        <v>74</v>
      </c>
      <c r="R386" t="s">
        <v>74</v>
      </c>
      <c r="S386" t="s">
        <v>74</v>
      </c>
      <c r="T386" t="s">
        <v>74</v>
      </c>
      <c r="U386" t="s">
        <v>7296</v>
      </c>
      <c r="V386" t="s">
        <v>7297</v>
      </c>
      <c r="W386" t="s">
        <v>7298</v>
      </c>
      <c r="X386" t="s">
        <v>7299</v>
      </c>
      <c r="Y386" t="s">
        <v>7300</v>
      </c>
      <c r="Z386" t="s">
        <v>7301</v>
      </c>
      <c r="AA386" t="s">
        <v>7302</v>
      </c>
      <c r="AB386" t="s">
        <v>7303</v>
      </c>
      <c r="AC386" t="s">
        <v>7304</v>
      </c>
      <c r="AD386" t="s">
        <v>7305</v>
      </c>
      <c r="AE386" t="s">
        <v>7306</v>
      </c>
      <c r="AF386" t="s">
        <v>74</v>
      </c>
      <c r="AG386">
        <v>72</v>
      </c>
      <c r="AH386">
        <v>42</v>
      </c>
      <c r="AI386">
        <v>50</v>
      </c>
      <c r="AJ386">
        <v>0</v>
      </c>
      <c r="AK386">
        <v>23</v>
      </c>
      <c r="AL386" t="s">
        <v>926</v>
      </c>
      <c r="AM386" t="s">
        <v>508</v>
      </c>
      <c r="AN386" t="s">
        <v>927</v>
      </c>
      <c r="AO386" t="s">
        <v>4005</v>
      </c>
      <c r="AP386" t="s">
        <v>74</v>
      </c>
      <c r="AQ386" t="s">
        <v>74</v>
      </c>
      <c r="AR386" t="s">
        <v>4006</v>
      </c>
      <c r="AS386" t="s">
        <v>4007</v>
      </c>
      <c r="AT386" t="s">
        <v>7032</v>
      </c>
      <c r="AU386">
        <v>2011</v>
      </c>
      <c r="AV386">
        <v>30</v>
      </c>
      <c r="AW386" t="s">
        <v>7289</v>
      </c>
      <c r="AX386" t="s">
        <v>74</v>
      </c>
      <c r="AY386" t="s">
        <v>74</v>
      </c>
      <c r="AZ386" t="s">
        <v>74</v>
      </c>
      <c r="BA386" t="s">
        <v>74</v>
      </c>
      <c r="BB386">
        <v>1602</v>
      </c>
      <c r="BC386">
        <v>1614</v>
      </c>
      <c r="BD386" t="s">
        <v>74</v>
      </c>
      <c r="BE386" t="s">
        <v>7307</v>
      </c>
      <c r="BF386" t="str">
        <f>HYPERLINK("http://dx.doi.org/10.1016/j.quascirev.2011.03.015","http://dx.doi.org/10.1016/j.quascirev.2011.03.015")</f>
        <v>http://dx.doi.org/10.1016/j.quascirev.2011.03.015</v>
      </c>
      <c r="BG386" t="s">
        <v>74</v>
      </c>
      <c r="BH386" t="s">
        <v>74</v>
      </c>
      <c r="BI386">
        <v>13</v>
      </c>
      <c r="BJ386" t="s">
        <v>1496</v>
      </c>
      <c r="BK386" t="s">
        <v>100</v>
      </c>
      <c r="BL386" t="s">
        <v>1497</v>
      </c>
      <c r="BM386" t="s">
        <v>7291</v>
      </c>
      <c r="BN386" t="s">
        <v>74</v>
      </c>
      <c r="BO386" t="s">
        <v>74</v>
      </c>
      <c r="BP386" t="s">
        <v>74</v>
      </c>
      <c r="BQ386" t="s">
        <v>74</v>
      </c>
      <c r="BR386" t="s">
        <v>103</v>
      </c>
      <c r="BS386" t="s">
        <v>7308</v>
      </c>
      <c r="BT386" t="str">
        <f>HYPERLINK("https%3A%2F%2Fwww.webofscience.com%2Fwos%2Fwoscc%2Ffull-record%2FWOS:000292946800005","View Full Record in Web of Science")</f>
        <v>View Full Record in Web of Science</v>
      </c>
    </row>
    <row r="387" spans="1:72" x14ac:dyDescent="0.15">
      <c r="A387" t="s">
        <v>72</v>
      </c>
      <c r="B387" t="s">
        <v>7309</v>
      </c>
      <c r="C387" t="s">
        <v>74</v>
      </c>
      <c r="D387" t="s">
        <v>74</v>
      </c>
      <c r="E387" t="s">
        <v>74</v>
      </c>
      <c r="F387" t="s">
        <v>7310</v>
      </c>
      <c r="G387" t="s">
        <v>74</v>
      </c>
      <c r="H387" t="s">
        <v>74</v>
      </c>
      <c r="I387" t="s">
        <v>7311</v>
      </c>
      <c r="J387" t="s">
        <v>5177</v>
      </c>
      <c r="K387" t="s">
        <v>74</v>
      </c>
      <c r="L387" t="s">
        <v>74</v>
      </c>
      <c r="M387" t="s">
        <v>78</v>
      </c>
      <c r="N387" t="s">
        <v>79</v>
      </c>
      <c r="O387" t="s">
        <v>74</v>
      </c>
      <c r="P387" t="s">
        <v>74</v>
      </c>
      <c r="Q387" t="s">
        <v>74</v>
      </c>
      <c r="R387" t="s">
        <v>74</v>
      </c>
      <c r="S387" t="s">
        <v>74</v>
      </c>
      <c r="T387" t="s">
        <v>7312</v>
      </c>
      <c r="U387" t="s">
        <v>7313</v>
      </c>
      <c r="V387" t="s">
        <v>7314</v>
      </c>
      <c r="W387" t="s">
        <v>7315</v>
      </c>
      <c r="X387" t="s">
        <v>7316</v>
      </c>
      <c r="Y387" t="s">
        <v>7317</v>
      </c>
      <c r="Z387" t="s">
        <v>7318</v>
      </c>
      <c r="AA387" t="s">
        <v>7319</v>
      </c>
      <c r="AB387" t="s">
        <v>7320</v>
      </c>
      <c r="AC387" t="s">
        <v>7321</v>
      </c>
      <c r="AD387" t="s">
        <v>7322</v>
      </c>
      <c r="AE387" t="s">
        <v>7323</v>
      </c>
      <c r="AF387" t="s">
        <v>74</v>
      </c>
      <c r="AG387">
        <v>76</v>
      </c>
      <c r="AH387">
        <v>83</v>
      </c>
      <c r="AI387">
        <v>87</v>
      </c>
      <c r="AJ387">
        <v>1</v>
      </c>
      <c r="AK387">
        <v>59</v>
      </c>
      <c r="AL387" t="s">
        <v>7324</v>
      </c>
      <c r="AM387" t="s">
        <v>121</v>
      </c>
      <c r="AN387" t="s">
        <v>7325</v>
      </c>
      <c r="AO387" t="s">
        <v>5189</v>
      </c>
      <c r="AP387" t="s">
        <v>74</v>
      </c>
      <c r="AQ387" t="s">
        <v>74</v>
      </c>
      <c r="AR387" t="s">
        <v>5177</v>
      </c>
      <c r="AS387" t="s">
        <v>5191</v>
      </c>
      <c r="AT387" t="s">
        <v>7032</v>
      </c>
      <c r="AU387">
        <v>2011</v>
      </c>
      <c r="AV387">
        <v>92</v>
      </c>
      <c r="AW387">
        <v>6</v>
      </c>
      <c r="AX387" t="s">
        <v>74</v>
      </c>
      <c r="AY387" t="s">
        <v>74</v>
      </c>
      <c r="AZ387" t="s">
        <v>74</v>
      </c>
      <c r="BA387" t="s">
        <v>74</v>
      </c>
      <c r="BB387">
        <v>1258</v>
      </c>
      <c r="BC387">
        <v>1270</v>
      </c>
      <c r="BD387" t="s">
        <v>74</v>
      </c>
      <c r="BE387" t="s">
        <v>7326</v>
      </c>
      <c r="BF387" t="str">
        <f>HYPERLINK("http://dx.doi.org/10.1890/09-1299.1","http://dx.doi.org/10.1890/09-1299.1")</f>
        <v>http://dx.doi.org/10.1890/09-1299.1</v>
      </c>
      <c r="BG387" t="s">
        <v>74</v>
      </c>
      <c r="BH387" t="s">
        <v>74</v>
      </c>
      <c r="BI387">
        <v>13</v>
      </c>
      <c r="BJ387" t="s">
        <v>5191</v>
      </c>
      <c r="BK387" t="s">
        <v>100</v>
      </c>
      <c r="BL387" t="s">
        <v>5193</v>
      </c>
      <c r="BM387" t="s">
        <v>7327</v>
      </c>
      <c r="BN387">
        <v>21797154</v>
      </c>
      <c r="BO387" t="s">
        <v>74</v>
      </c>
      <c r="BP387" t="s">
        <v>74</v>
      </c>
      <c r="BQ387" t="s">
        <v>74</v>
      </c>
      <c r="BR387" t="s">
        <v>103</v>
      </c>
      <c r="BS387" t="s">
        <v>7328</v>
      </c>
      <c r="BT387" t="str">
        <f>HYPERLINK("https%3A%2F%2Fwww.webofscience.com%2Fwos%2Fwoscc%2Ffull-record%2FWOS:000292633900008","View Full Record in Web of Science")</f>
        <v>View Full Record in Web of Science</v>
      </c>
    </row>
    <row r="388" spans="1:72" x14ac:dyDescent="0.15">
      <c r="A388" t="s">
        <v>72</v>
      </c>
      <c r="B388" t="s">
        <v>7329</v>
      </c>
      <c r="C388" t="s">
        <v>74</v>
      </c>
      <c r="D388" t="s">
        <v>74</v>
      </c>
      <c r="E388" t="s">
        <v>74</v>
      </c>
      <c r="F388" t="s">
        <v>7330</v>
      </c>
      <c r="G388" t="s">
        <v>74</v>
      </c>
      <c r="H388" t="s">
        <v>74</v>
      </c>
      <c r="I388" t="s">
        <v>7331</v>
      </c>
      <c r="J388" t="s">
        <v>5731</v>
      </c>
      <c r="K388" t="s">
        <v>74</v>
      </c>
      <c r="L388" t="s">
        <v>74</v>
      </c>
      <c r="M388" t="s">
        <v>78</v>
      </c>
      <c r="N388" t="s">
        <v>79</v>
      </c>
      <c r="O388" t="s">
        <v>74</v>
      </c>
      <c r="P388" t="s">
        <v>74</v>
      </c>
      <c r="Q388" t="s">
        <v>74</v>
      </c>
      <c r="R388" t="s">
        <v>74</v>
      </c>
      <c r="S388" t="s">
        <v>74</v>
      </c>
      <c r="T388" t="s">
        <v>7332</v>
      </c>
      <c r="U388" t="s">
        <v>7333</v>
      </c>
      <c r="V388" t="s">
        <v>7334</v>
      </c>
      <c r="W388" t="s">
        <v>7335</v>
      </c>
      <c r="X388" t="s">
        <v>7336</v>
      </c>
      <c r="Y388" t="s">
        <v>7337</v>
      </c>
      <c r="Z388" t="s">
        <v>7338</v>
      </c>
      <c r="AA388" t="s">
        <v>74</v>
      </c>
      <c r="AB388" t="s">
        <v>7339</v>
      </c>
      <c r="AC388" t="s">
        <v>7340</v>
      </c>
      <c r="AD388" t="s">
        <v>7341</v>
      </c>
      <c r="AE388" t="s">
        <v>7342</v>
      </c>
      <c r="AF388" t="s">
        <v>74</v>
      </c>
      <c r="AG388">
        <v>55</v>
      </c>
      <c r="AH388">
        <v>21</v>
      </c>
      <c r="AI388">
        <v>23</v>
      </c>
      <c r="AJ388">
        <v>0</v>
      </c>
      <c r="AK388">
        <v>20</v>
      </c>
      <c r="AL388" t="s">
        <v>2669</v>
      </c>
      <c r="AM388" t="s">
        <v>309</v>
      </c>
      <c r="AN388" t="s">
        <v>2670</v>
      </c>
      <c r="AO388" t="s">
        <v>5743</v>
      </c>
      <c r="AP388" t="s">
        <v>5744</v>
      </c>
      <c r="AQ388" t="s">
        <v>74</v>
      </c>
      <c r="AR388" t="s">
        <v>5745</v>
      </c>
      <c r="AS388" t="s">
        <v>5746</v>
      </c>
      <c r="AT388" t="s">
        <v>7343</v>
      </c>
      <c r="AU388">
        <v>2011</v>
      </c>
      <c r="AV388">
        <v>284</v>
      </c>
      <c r="AW388" t="s">
        <v>3418</v>
      </c>
      <c r="AX388" t="s">
        <v>74</v>
      </c>
      <c r="AY388" t="s">
        <v>74</v>
      </c>
      <c r="AZ388" t="s">
        <v>74</v>
      </c>
      <c r="BA388" t="s">
        <v>74</v>
      </c>
      <c r="BB388">
        <v>1</v>
      </c>
      <c r="BC388">
        <v>12</v>
      </c>
      <c r="BD388" t="s">
        <v>74</v>
      </c>
      <c r="BE388" t="s">
        <v>7344</v>
      </c>
      <c r="BF388" t="str">
        <f>HYPERLINK("http://dx.doi.org/10.1016/j.margeo.2011.03.004","http://dx.doi.org/10.1016/j.margeo.2011.03.004")</f>
        <v>http://dx.doi.org/10.1016/j.margeo.2011.03.004</v>
      </c>
      <c r="BG388" t="s">
        <v>74</v>
      </c>
      <c r="BH388" t="s">
        <v>74</v>
      </c>
      <c r="BI388">
        <v>12</v>
      </c>
      <c r="BJ388" t="s">
        <v>5748</v>
      </c>
      <c r="BK388" t="s">
        <v>100</v>
      </c>
      <c r="BL388" t="s">
        <v>5749</v>
      </c>
      <c r="BM388" t="s">
        <v>7345</v>
      </c>
      <c r="BN388" t="s">
        <v>74</v>
      </c>
      <c r="BO388" t="s">
        <v>74</v>
      </c>
      <c r="BP388" t="s">
        <v>74</v>
      </c>
      <c r="BQ388" t="s">
        <v>74</v>
      </c>
      <c r="BR388" t="s">
        <v>103</v>
      </c>
      <c r="BS388" t="s">
        <v>7346</v>
      </c>
      <c r="BT388" t="str">
        <f>HYPERLINK("https%3A%2F%2Fwww.webofscience.com%2Fwos%2Fwoscc%2Ffull-record%2FWOS:000292359400001","View Full Record in Web of Science")</f>
        <v>View Full Record in Web of Science</v>
      </c>
    </row>
    <row r="389" spans="1:72" x14ac:dyDescent="0.15">
      <c r="A389" t="s">
        <v>72</v>
      </c>
      <c r="B389" t="s">
        <v>7347</v>
      </c>
      <c r="C389" t="s">
        <v>74</v>
      </c>
      <c r="D389" t="s">
        <v>74</v>
      </c>
      <c r="E389" t="s">
        <v>74</v>
      </c>
      <c r="F389" t="s">
        <v>7348</v>
      </c>
      <c r="G389" t="s">
        <v>74</v>
      </c>
      <c r="H389" t="s">
        <v>74</v>
      </c>
      <c r="I389" t="s">
        <v>7349</v>
      </c>
      <c r="J389" t="s">
        <v>5731</v>
      </c>
      <c r="K389" t="s">
        <v>74</v>
      </c>
      <c r="L389" t="s">
        <v>74</v>
      </c>
      <c r="M389" t="s">
        <v>78</v>
      </c>
      <c r="N389" t="s">
        <v>79</v>
      </c>
      <c r="O389" t="s">
        <v>74</v>
      </c>
      <c r="P389" t="s">
        <v>74</v>
      </c>
      <c r="Q389" t="s">
        <v>74</v>
      </c>
      <c r="R389" t="s">
        <v>74</v>
      </c>
      <c r="S389" t="s">
        <v>74</v>
      </c>
      <c r="T389" t="s">
        <v>7350</v>
      </c>
      <c r="U389" t="s">
        <v>7351</v>
      </c>
      <c r="V389" t="s">
        <v>7352</v>
      </c>
      <c r="W389" t="s">
        <v>7353</v>
      </c>
      <c r="X389" t="s">
        <v>7354</v>
      </c>
      <c r="Y389" t="s">
        <v>7355</v>
      </c>
      <c r="Z389" t="s">
        <v>7356</v>
      </c>
      <c r="AA389" t="s">
        <v>7357</v>
      </c>
      <c r="AB389" t="s">
        <v>7358</v>
      </c>
      <c r="AC389" t="s">
        <v>7359</v>
      </c>
      <c r="AD389" t="s">
        <v>7360</v>
      </c>
      <c r="AE389" t="s">
        <v>7361</v>
      </c>
      <c r="AF389" t="s">
        <v>74</v>
      </c>
      <c r="AG389">
        <v>151</v>
      </c>
      <c r="AH389">
        <v>21</v>
      </c>
      <c r="AI389">
        <v>25</v>
      </c>
      <c r="AJ389">
        <v>4</v>
      </c>
      <c r="AK389">
        <v>29</v>
      </c>
      <c r="AL389" t="s">
        <v>308</v>
      </c>
      <c r="AM389" t="s">
        <v>309</v>
      </c>
      <c r="AN389" t="s">
        <v>310</v>
      </c>
      <c r="AO389" t="s">
        <v>5743</v>
      </c>
      <c r="AP389" t="s">
        <v>5744</v>
      </c>
      <c r="AQ389" t="s">
        <v>74</v>
      </c>
      <c r="AR389" t="s">
        <v>5745</v>
      </c>
      <c r="AS389" t="s">
        <v>5746</v>
      </c>
      <c r="AT389" t="s">
        <v>7343</v>
      </c>
      <c r="AU389">
        <v>2011</v>
      </c>
      <c r="AV389">
        <v>284</v>
      </c>
      <c r="AW389" t="s">
        <v>3418</v>
      </c>
      <c r="AX389" t="s">
        <v>74</v>
      </c>
      <c r="AY389" t="s">
        <v>74</v>
      </c>
      <c r="AZ389" t="s">
        <v>74</v>
      </c>
      <c r="BA389" t="s">
        <v>74</v>
      </c>
      <c r="BB389">
        <v>96</v>
      </c>
      <c r="BC389">
        <v>113</v>
      </c>
      <c r="BD389" t="s">
        <v>74</v>
      </c>
      <c r="BE389" t="s">
        <v>7362</v>
      </c>
      <c r="BF389" t="str">
        <f>HYPERLINK("http://dx.doi.org/10.1016/j.margeo.2011.03.012","http://dx.doi.org/10.1016/j.margeo.2011.03.012")</f>
        <v>http://dx.doi.org/10.1016/j.margeo.2011.03.012</v>
      </c>
      <c r="BG389" t="s">
        <v>74</v>
      </c>
      <c r="BH389" t="s">
        <v>74</v>
      </c>
      <c r="BI389">
        <v>18</v>
      </c>
      <c r="BJ389" t="s">
        <v>5748</v>
      </c>
      <c r="BK389" t="s">
        <v>100</v>
      </c>
      <c r="BL389" t="s">
        <v>5749</v>
      </c>
      <c r="BM389" t="s">
        <v>7345</v>
      </c>
      <c r="BN389" t="s">
        <v>74</v>
      </c>
      <c r="BO389" t="s">
        <v>74</v>
      </c>
      <c r="BP389" t="s">
        <v>74</v>
      </c>
      <c r="BQ389" t="s">
        <v>74</v>
      </c>
      <c r="BR389" t="s">
        <v>103</v>
      </c>
      <c r="BS389" t="s">
        <v>7363</v>
      </c>
      <c r="BT389" t="str">
        <f>HYPERLINK("https%3A%2F%2Fwww.webofscience.com%2Fwos%2Fwoscc%2Ffull-record%2FWOS:000292359400008","View Full Record in Web of Science")</f>
        <v>View Full Record in Web of Science</v>
      </c>
    </row>
    <row r="390" spans="1:72" x14ac:dyDescent="0.15">
      <c r="A390" t="s">
        <v>72</v>
      </c>
      <c r="B390" t="s">
        <v>7364</v>
      </c>
      <c r="C390" t="s">
        <v>74</v>
      </c>
      <c r="D390" t="s">
        <v>74</v>
      </c>
      <c r="E390" t="s">
        <v>74</v>
      </c>
      <c r="F390" t="s">
        <v>7365</v>
      </c>
      <c r="G390" t="s">
        <v>74</v>
      </c>
      <c r="H390" t="s">
        <v>74</v>
      </c>
      <c r="I390" t="s">
        <v>7366</v>
      </c>
      <c r="J390" t="s">
        <v>1226</v>
      </c>
      <c r="K390" t="s">
        <v>74</v>
      </c>
      <c r="L390" t="s">
        <v>74</v>
      </c>
      <c r="M390" t="s">
        <v>1227</v>
      </c>
      <c r="N390" t="s">
        <v>79</v>
      </c>
      <c r="O390" t="s">
        <v>74</v>
      </c>
      <c r="P390" t="s">
        <v>74</v>
      </c>
      <c r="Q390" t="s">
        <v>74</v>
      </c>
      <c r="R390" t="s">
        <v>74</v>
      </c>
      <c r="S390" t="s">
        <v>74</v>
      </c>
      <c r="T390" t="s">
        <v>7367</v>
      </c>
      <c r="U390" t="s">
        <v>7368</v>
      </c>
      <c r="V390" t="s">
        <v>7369</v>
      </c>
      <c r="W390" t="s">
        <v>7370</v>
      </c>
      <c r="X390" t="s">
        <v>7371</v>
      </c>
      <c r="Y390" t="s">
        <v>7372</v>
      </c>
      <c r="Z390" t="s">
        <v>7373</v>
      </c>
      <c r="AA390" t="s">
        <v>7374</v>
      </c>
      <c r="AB390" t="s">
        <v>7375</v>
      </c>
      <c r="AC390" t="s">
        <v>74</v>
      </c>
      <c r="AD390" t="s">
        <v>74</v>
      </c>
      <c r="AE390" t="s">
        <v>74</v>
      </c>
      <c r="AF390" t="s">
        <v>74</v>
      </c>
      <c r="AG390">
        <v>29</v>
      </c>
      <c r="AH390">
        <v>7</v>
      </c>
      <c r="AI390">
        <v>18</v>
      </c>
      <c r="AJ390">
        <v>0</v>
      </c>
      <c r="AK390">
        <v>13</v>
      </c>
      <c r="AL390" t="s">
        <v>1237</v>
      </c>
      <c r="AM390" t="s">
        <v>1238</v>
      </c>
      <c r="AN390" t="s">
        <v>1239</v>
      </c>
      <c r="AO390" t="s">
        <v>1240</v>
      </c>
      <c r="AP390" t="s">
        <v>74</v>
      </c>
      <c r="AQ390" t="s">
        <v>74</v>
      </c>
      <c r="AR390" t="s">
        <v>1241</v>
      </c>
      <c r="AS390" t="s">
        <v>1242</v>
      </c>
      <c r="AT390" t="s">
        <v>7032</v>
      </c>
      <c r="AU390">
        <v>2011</v>
      </c>
      <c r="AV390">
        <v>54</v>
      </c>
      <c r="AW390">
        <v>6</v>
      </c>
      <c r="AX390" t="s">
        <v>74</v>
      </c>
      <c r="AY390" t="s">
        <v>74</v>
      </c>
      <c r="AZ390" t="s">
        <v>74</v>
      </c>
      <c r="BA390" t="s">
        <v>74</v>
      </c>
      <c r="BB390">
        <v>1466</v>
      </c>
      <c r="BC390">
        <v>1477</v>
      </c>
      <c r="BD390" t="s">
        <v>74</v>
      </c>
      <c r="BE390" t="s">
        <v>7376</v>
      </c>
      <c r="BF390" t="str">
        <f>HYPERLINK("http://dx.doi.org/10.3969/j.issn.0001-5733.2011.06.006","http://dx.doi.org/10.3969/j.issn.0001-5733.2011.06.006")</f>
        <v>http://dx.doi.org/10.3969/j.issn.0001-5733.2011.06.006</v>
      </c>
      <c r="BG390" t="s">
        <v>74</v>
      </c>
      <c r="BH390" t="s">
        <v>74</v>
      </c>
      <c r="BI390">
        <v>12</v>
      </c>
      <c r="BJ390" t="s">
        <v>488</v>
      </c>
      <c r="BK390" t="s">
        <v>100</v>
      </c>
      <c r="BL390" t="s">
        <v>488</v>
      </c>
      <c r="BM390" t="s">
        <v>7377</v>
      </c>
      <c r="BN390" t="s">
        <v>74</v>
      </c>
      <c r="BO390" t="s">
        <v>74</v>
      </c>
      <c r="BP390" t="s">
        <v>74</v>
      </c>
      <c r="BQ390" t="s">
        <v>74</v>
      </c>
      <c r="BR390" t="s">
        <v>103</v>
      </c>
      <c r="BS390" t="s">
        <v>7378</v>
      </c>
      <c r="BT390" t="str">
        <f>HYPERLINK("https%3A%2F%2Fwww.webofscience.com%2Fwos%2Fwoscc%2Ffull-record%2FWOS:000292366900006","View Full Record in Web of Science")</f>
        <v>View Full Record in Web of Science</v>
      </c>
    </row>
    <row r="391" spans="1:72" x14ac:dyDescent="0.15">
      <c r="A391" t="s">
        <v>72</v>
      </c>
      <c r="B391" t="s">
        <v>7379</v>
      </c>
      <c r="C391" t="s">
        <v>74</v>
      </c>
      <c r="D391" t="s">
        <v>74</v>
      </c>
      <c r="E391" t="s">
        <v>74</v>
      </c>
      <c r="F391" t="s">
        <v>7380</v>
      </c>
      <c r="G391" t="s">
        <v>74</v>
      </c>
      <c r="H391" t="s">
        <v>74</v>
      </c>
      <c r="I391" t="s">
        <v>7381</v>
      </c>
      <c r="J391" t="s">
        <v>4274</v>
      </c>
      <c r="K391" t="s">
        <v>74</v>
      </c>
      <c r="L391" t="s">
        <v>74</v>
      </c>
      <c r="M391" t="s">
        <v>78</v>
      </c>
      <c r="N391" t="s">
        <v>79</v>
      </c>
      <c r="O391" t="s">
        <v>74</v>
      </c>
      <c r="P391" t="s">
        <v>74</v>
      </c>
      <c r="Q391" t="s">
        <v>74</v>
      </c>
      <c r="R391" t="s">
        <v>74</v>
      </c>
      <c r="S391" t="s">
        <v>74</v>
      </c>
      <c r="T391" t="s">
        <v>7382</v>
      </c>
      <c r="U391" t="s">
        <v>7383</v>
      </c>
      <c r="V391" t="s">
        <v>7384</v>
      </c>
      <c r="W391" t="s">
        <v>7385</v>
      </c>
      <c r="X391" t="s">
        <v>7386</v>
      </c>
      <c r="Y391" t="s">
        <v>7387</v>
      </c>
      <c r="Z391" t="s">
        <v>7388</v>
      </c>
      <c r="AA391" t="s">
        <v>7389</v>
      </c>
      <c r="AB391" t="s">
        <v>7390</v>
      </c>
      <c r="AC391" t="s">
        <v>7391</v>
      </c>
      <c r="AD391" t="s">
        <v>7391</v>
      </c>
      <c r="AE391" t="s">
        <v>7392</v>
      </c>
      <c r="AF391" t="s">
        <v>74</v>
      </c>
      <c r="AG391">
        <v>102</v>
      </c>
      <c r="AH391">
        <v>27</v>
      </c>
      <c r="AI391">
        <v>31</v>
      </c>
      <c r="AJ391">
        <v>1</v>
      </c>
      <c r="AK391">
        <v>28</v>
      </c>
      <c r="AL391" t="s">
        <v>308</v>
      </c>
      <c r="AM391" t="s">
        <v>309</v>
      </c>
      <c r="AN391" t="s">
        <v>310</v>
      </c>
      <c r="AO391" t="s">
        <v>4283</v>
      </c>
      <c r="AP391" t="s">
        <v>4284</v>
      </c>
      <c r="AQ391" t="s">
        <v>74</v>
      </c>
      <c r="AR391" t="s">
        <v>4285</v>
      </c>
      <c r="AS391" t="s">
        <v>4286</v>
      </c>
      <c r="AT391" t="s">
        <v>7032</v>
      </c>
      <c r="AU391">
        <v>2011</v>
      </c>
      <c r="AV391">
        <v>77</v>
      </c>
      <c r="AW391" t="s">
        <v>315</v>
      </c>
      <c r="AX391" t="s">
        <v>74</v>
      </c>
      <c r="AY391" t="s">
        <v>74</v>
      </c>
      <c r="AZ391" t="s">
        <v>74</v>
      </c>
      <c r="BA391" t="s">
        <v>74</v>
      </c>
      <c r="BB391">
        <v>142</v>
      </c>
      <c r="BC391">
        <v>152</v>
      </c>
      <c r="BD391" t="s">
        <v>74</v>
      </c>
      <c r="BE391" t="s">
        <v>7393</v>
      </c>
      <c r="BF391" t="str">
        <f>HYPERLINK("http://dx.doi.org/10.1016/j.gloplacha.2011.04.004","http://dx.doi.org/10.1016/j.gloplacha.2011.04.004")</f>
        <v>http://dx.doi.org/10.1016/j.gloplacha.2011.04.004</v>
      </c>
      <c r="BG391" t="s">
        <v>74</v>
      </c>
      <c r="BH391" t="s">
        <v>74</v>
      </c>
      <c r="BI391">
        <v>11</v>
      </c>
      <c r="BJ391" t="s">
        <v>1496</v>
      </c>
      <c r="BK391" t="s">
        <v>100</v>
      </c>
      <c r="BL391" t="s">
        <v>1497</v>
      </c>
      <c r="BM391" t="s">
        <v>7394</v>
      </c>
      <c r="BN391" t="s">
        <v>74</v>
      </c>
      <c r="BO391" t="s">
        <v>74</v>
      </c>
      <c r="BP391" t="s">
        <v>74</v>
      </c>
      <c r="BQ391" t="s">
        <v>74</v>
      </c>
      <c r="BR391" t="s">
        <v>103</v>
      </c>
      <c r="BS391" t="s">
        <v>7395</v>
      </c>
      <c r="BT391" t="str">
        <f>HYPERLINK("https%3A%2F%2Fwww.webofscience.com%2Fwos%2Fwoscc%2Ffull-record%2FWOS:000292491100004","View Full Record in Web of Science")</f>
        <v>View Full Record in Web of Science</v>
      </c>
    </row>
    <row r="392" spans="1:72" x14ac:dyDescent="0.15">
      <c r="A392" t="s">
        <v>72</v>
      </c>
      <c r="B392" t="s">
        <v>7396</v>
      </c>
      <c r="C392" t="s">
        <v>74</v>
      </c>
      <c r="D392" t="s">
        <v>74</v>
      </c>
      <c r="E392" t="s">
        <v>74</v>
      </c>
      <c r="F392" t="s">
        <v>7397</v>
      </c>
      <c r="G392" t="s">
        <v>74</v>
      </c>
      <c r="H392" t="s">
        <v>74</v>
      </c>
      <c r="I392" t="s">
        <v>7398</v>
      </c>
      <c r="J392" t="s">
        <v>1289</v>
      </c>
      <c r="K392" t="s">
        <v>74</v>
      </c>
      <c r="L392" t="s">
        <v>74</v>
      </c>
      <c r="M392" t="s">
        <v>78</v>
      </c>
      <c r="N392" t="s">
        <v>79</v>
      </c>
      <c r="O392" t="s">
        <v>74</v>
      </c>
      <c r="P392" t="s">
        <v>74</v>
      </c>
      <c r="Q392" t="s">
        <v>74</v>
      </c>
      <c r="R392" t="s">
        <v>74</v>
      </c>
      <c r="S392" t="s">
        <v>74</v>
      </c>
      <c r="T392" t="s">
        <v>74</v>
      </c>
      <c r="U392" t="s">
        <v>7399</v>
      </c>
      <c r="V392" t="s">
        <v>7400</v>
      </c>
      <c r="W392" t="s">
        <v>7401</v>
      </c>
      <c r="X392" t="s">
        <v>7402</v>
      </c>
      <c r="Y392" t="s">
        <v>7403</v>
      </c>
      <c r="Z392" t="s">
        <v>7404</v>
      </c>
      <c r="AA392" t="s">
        <v>7405</v>
      </c>
      <c r="AB392" t="s">
        <v>7406</v>
      </c>
      <c r="AC392" t="s">
        <v>7407</v>
      </c>
      <c r="AD392" t="s">
        <v>7408</v>
      </c>
      <c r="AE392" t="s">
        <v>7409</v>
      </c>
      <c r="AF392" t="s">
        <v>74</v>
      </c>
      <c r="AG392">
        <v>68</v>
      </c>
      <c r="AH392">
        <v>177</v>
      </c>
      <c r="AI392">
        <v>196</v>
      </c>
      <c r="AJ392">
        <v>0</v>
      </c>
      <c r="AK392">
        <v>30</v>
      </c>
      <c r="AL392" t="s">
        <v>1275</v>
      </c>
      <c r="AM392" t="s">
        <v>1276</v>
      </c>
      <c r="AN392" t="s">
        <v>1277</v>
      </c>
      <c r="AO392" t="s">
        <v>1301</v>
      </c>
      <c r="AP392" t="s">
        <v>1302</v>
      </c>
      <c r="AQ392" t="s">
        <v>74</v>
      </c>
      <c r="AR392" t="s">
        <v>1303</v>
      </c>
      <c r="AS392" t="s">
        <v>1304</v>
      </c>
      <c r="AT392" t="s">
        <v>7032</v>
      </c>
      <c r="AU392">
        <v>2011</v>
      </c>
      <c r="AV392">
        <v>41</v>
      </c>
      <c r="AW392">
        <v>6</v>
      </c>
      <c r="AX392" t="s">
        <v>74</v>
      </c>
      <c r="AY392" t="s">
        <v>74</v>
      </c>
      <c r="AZ392" t="s">
        <v>74</v>
      </c>
      <c r="BA392" t="s">
        <v>74</v>
      </c>
      <c r="BB392">
        <v>1057</v>
      </c>
      <c r="BC392">
        <v>1076</v>
      </c>
      <c r="BD392" t="s">
        <v>74</v>
      </c>
      <c r="BE392" t="s">
        <v>7410</v>
      </c>
      <c r="BF392" t="str">
        <f>HYPERLINK("http://dx.doi.org/10.1175/2011JPO4404.1","http://dx.doi.org/10.1175/2011JPO4404.1")</f>
        <v>http://dx.doi.org/10.1175/2011JPO4404.1</v>
      </c>
      <c r="BG392" t="s">
        <v>74</v>
      </c>
      <c r="BH392" t="s">
        <v>74</v>
      </c>
      <c r="BI392">
        <v>20</v>
      </c>
      <c r="BJ392" t="s">
        <v>271</v>
      </c>
      <c r="BK392" t="s">
        <v>100</v>
      </c>
      <c r="BL392" t="s">
        <v>271</v>
      </c>
      <c r="BM392" t="s">
        <v>7411</v>
      </c>
      <c r="BN392" t="s">
        <v>74</v>
      </c>
      <c r="BO392" t="s">
        <v>74</v>
      </c>
      <c r="BP392" t="s">
        <v>74</v>
      </c>
      <c r="BQ392" t="s">
        <v>74</v>
      </c>
      <c r="BR392" t="s">
        <v>103</v>
      </c>
      <c r="BS392" t="s">
        <v>7412</v>
      </c>
      <c r="BT392" t="str">
        <f>HYPERLINK("https%3A%2F%2Fwww.webofscience.com%2Fwos%2Fwoscc%2Ffull-record%2FWOS:000292405500002","View Full Record in Web of Science")</f>
        <v>View Full Record in Web of Science</v>
      </c>
    </row>
    <row r="393" spans="1:72" x14ac:dyDescent="0.15">
      <c r="A393" t="s">
        <v>72</v>
      </c>
      <c r="B393" t="s">
        <v>7413</v>
      </c>
      <c r="C393" t="s">
        <v>74</v>
      </c>
      <c r="D393" t="s">
        <v>74</v>
      </c>
      <c r="E393" t="s">
        <v>74</v>
      </c>
      <c r="F393" t="s">
        <v>7414</v>
      </c>
      <c r="G393" t="s">
        <v>74</v>
      </c>
      <c r="H393" t="s">
        <v>74</v>
      </c>
      <c r="I393" t="s">
        <v>7415</v>
      </c>
      <c r="J393" t="s">
        <v>1289</v>
      </c>
      <c r="K393" t="s">
        <v>74</v>
      </c>
      <c r="L393" t="s">
        <v>74</v>
      </c>
      <c r="M393" t="s">
        <v>78</v>
      </c>
      <c r="N393" t="s">
        <v>79</v>
      </c>
      <c r="O393" t="s">
        <v>74</v>
      </c>
      <c r="P393" t="s">
        <v>74</v>
      </c>
      <c r="Q393" t="s">
        <v>74</v>
      </c>
      <c r="R393" t="s">
        <v>74</v>
      </c>
      <c r="S393" t="s">
        <v>74</v>
      </c>
      <c r="T393" t="s">
        <v>74</v>
      </c>
      <c r="U393" t="s">
        <v>7416</v>
      </c>
      <c r="V393" t="s">
        <v>7417</v>
      </c>
      <c r="W393" t="s">
        <v>7418</v>
      </c>
      <c r="X393" t="s">
        <v>7419</v>
      </c>
      <c r="Y393" t="s">
        <v>7420</v>
      </c>
      <c r="Z393" t="s">
        <v>7421</v>
      </c>
      <c r="AA393" t="s">
        <v>7422</v>
      </c>
      <c r="AB393" t="s">
        <v>7423</v>
      </c>
      <c r="AC393" t="s">
        <v>7424</v>
      </c>
      <c r="AD393" t="s">
        <v>7425</v>
      </c>
      <c r="AE393" t="s">
        <v>7426</v>
      </c>
      <c r="AF393" t="s">
        <v>74</v>
      </c>
      <c r="AG393">
        <v>65</v>
      </c>
      <c r="AH393">
        <v>23</v>
      </c>
      <c r="AI393">
        <v>24</v>
      </c>
      <c r="AJ393">
        <v>0</v>
      </c>
      <c r="AK393">
        <v>16</v>
      </c>
      <c r="AL393" t="s">
        <v>1275</v>
      </c>
      <c r="AM393" t="s">
        <v>1276</v>
      </c>
      <c r="AN393" t="s">
        <v>1277</v>
      </c>
      <c r="AO393" t="s">
        <v>1301</v>
      </c>
      <c r="AP393" t="s">
        <v>1302</v>
      </c>
      <c r="AQ393" t="s">
        <v>74</v>
      </c>
      <c r="AR393" t="s">
        <v>1303</v>
      </c>
      <c r="AS393" t="s">
        <v>1304</v>
      </c>
      <c r="AT393" t="s">
        <v>7032</v>
      </c>
      <c r="AU393">
        <v>2011</v>
      </c>
      <c r="AV393">
        <v>41</v>
      </c>
      <c r="AW393">
        <v>6</v>
      </c>
      <c r="AX393" t="s">
        <v>74</v>
      </c>
      <c r="AY393" t="s">
        <v>74</v>
      </c>
      <c r="AZ393" t="s">
        <v>74</v>
      </c>
      <c r="BA393" t="s">
        <v>74</v>
      </c>
      <c r="BB393">
        <v>1144</v>
      </c>
      <c r="BC393">
        <v>1159</v>
      </c>
      <c r="BD393" t="s">
        <v>74</v>
      </c>
      <c r="BE393" t="s">
        <v>7427</v>
      </c>
      <c r="BF393" t="str">
        <f>HYPERLINK("http://dx.doi.org/10.1175/2011JPO4543.1","http://dx.doi.org/10.1175/2011JPO4543.1")</f>
        <v>http://dx.doi.org/10.1175/2011JPO4543.1</v>
      </c>
      <c r="BG393" t="s">
        <v>74</v>
      </c>
      <c r="BH393" t="s">
        <v>74</v>
      </c>
      <c r="BI393">
        <v>16</v>
      </c>
      <c r="BJ393" t="s">
        <v>271</v>
      </c>
      <c r="BK393" t="s">
        <v>100</v>
      </c>
      <c r="BL393" t="s">
        <v>271</v>
      </c>
      <c r="BM393" t="s">
        <v>7411</v>
      </c>
      <c r="BN393" t="s">
        <v>74</v>
      </c>
      <c r="BO393" t="s">
        <v>152</v>
      </c>
      <c r="BP393" t="s">
        <v>74</v>
      </c>
      <c r="BQ393" t="s">
        <v>74</v>
      </c>
      <c r="BR393" t="s">
        <v>103</v>
      </c>
      <c r="BS393" t="s">
        <v>7428</v>
      </c>
      <c r="BT393" t="str">
        <f>HYPERLINK("https%3A%2F%2Fwww.webofscience.com%2Fwos%2Fwoscc%2Ffull-record%2FWOS:000292405500007","View Full Record in Web of Science")</f>
        <v>View Full Record in Web of Science</v>
      </c>
    </row>
    <row r="394" spans="1:72" x14ac:dyDescent="0.15">
      <c r="A394" t="s">
        <v>72</v>
      </c>
      <c r="B394" t="s">
        <v>7429</v>
      </c>
      <c r="C394" t="s">
        <v>74</v>
      </c>
      <c r="D394" t="s">
        <v>74</v>
      </c>
      <c r="E394" t="s">
        <v>74</v>
      </c>
      <c r="F394" t="s">
        <v>7430</v>
      </c>
      <c r="G394" t="s">
        <v>74</v>
      </c>
      <c r="H394" t="s">
        <v>74</v>
      </c>
      <c r="I394" t="s">
        <v>7431</v>
      </c>
      <c r="J394" t="s">
        <v>4460</v>
      </c>
      <c r="K394" t="s">
        <v>74</v>
      </c>
      <c r="L394" t="s">
        <v>74</v>
      </c>
      <c r="M394" t="s">
        <v>78</v>
      </c>
      <c r="N394" t="s">
        <v>79</v>
      </c>
      <c r="O394" t="s">
        <v>74</v>
      </c>
      <c r="P394" t="s">
        <v>74</v>
      </c>
      <c r="Q394" t="s">
        <v>74</v>
      </c>
      <c r="R394" t="s">
        <v>74</v>
      </c>
      <c r="S394" t="s">
        <v>74</v>
      </c>
      <c r="T394" t="s">
        <v>7432</v>
      </c>
      <c r="U394" t="s">
        <v>7433</v>
      </c>
      <c r="V394" t="s">
        <v>7434</v>
      </c>
      <c r="W394" t="s">
        <v>7435</v>
      </c>
      <c r="X394" t="s">
        <v>7436</v>
      </c>
      <c r="Y394" t="s">
        <v>7437</v>
      </c>
      <c r="Z394" t="s">
        <v>7438</v>
      </c>
      <c r="AA394" t="s">
        <v>74</v>
      </c>
      <c r="AB394" t="s">
        <v>74</v>
      </c>
      <c r="AC394" t="s">
        <v>7439</v>
      </c>
      <c r="AD394" t="s">
        <v>7440</v>
      </c>
      <c r="AE394" t="s">
        <v>7441</v>
      </c>
      <c r="AF394" t="s">
        <v>74</v>
      </c>
      <c r="AG394">
        <v>75</v>
      </c>
      <c r="AH394">
        <v>27</v>
      </c>
      <c r="AI394">
        <v>29</v>
      </c>
      <c r="AJ394">
        <v>1</v>
      </c>
      <c r="AK394">
        <v>33</v>
      </c>
      <c r="AL394" t="s">
        <v>926</v>
      </c>
      <c r="AM394" t="s">
        <v>508</v>
      </c>
      <c r="AN394" t="s">
        <v>927</v>
      </c>
      <c r="AO394" t="s">
        <v>4472</v>
      </c>
      <c r="AP394" t="s">
        <v>4473</v>
      </c>
      <c r="AQ394" t="s">
        <v>74</v>
      </c>
      <c r="AR394" t="s">
        <v>4474</v>
      </c>
      <c r="AS394" t="s">
        <v>4475</v>
      </c>
      <c r="AT394" t="s">
        <v>7032</v>
      </c>
      <c r="AU394">
        <v>2011</v>
      </c>
      <c r="AV394">
        <v>58</v>
      </c>
      <c r="AW394" t="s">
        <v>4068</v>
      </c>
      <c r="AX394" t="s">
        <v>74</v>
      </c>
      <c r="AY394" t="s">
        <v>74</v>
      </c>
      <c r="AZ394" t="s">
        <v>74</v>
      </c>
      <c r="BA394" t="s">
        <v>74</v>
      </c>
      <c r="BB394">
        <v>1436</v>
      </c>
      <c r="BC394">
        <v>1450</v>
      </c>
      <c r="BD394" t="s">
        <v>74</v>
      </c>
      <c r="BE394" t="s">
        <v>7442</v>
      </c>
      <c r="BF394" t="str">
        <f>HYPERLINK("http://dx.doi.org/10.1016/j.dsr2.2010.11.023","http://dx.doi.org/10.1016/j.dsr2.2010.11.023")</f>
        <v>http://dx.doi.org/10.1016/j.dsr2.2010.11.023</v>
      </c>
      <c r="BG394" t="s">
        <v>74</v>
      </c>
      <c r="BH394" t="s">
        <v>74</v>
      </c>
      <c r="BI394">
        <v>15</v>
      </c>
      <c r="BJ394" t="s">
        <v>271</v>
      </c>
      <c r="BK394" t="s">
        <v>100</v>
      </c>
      <c r="BL394" t="s">
        <v>271</v>
      </c>
      <c r="BM394" t="s">
        <v>7443</v>
      </c>
      <c r="BN394" t="s">
        <v>74</v>
      </c>
      <c r="BO394" t="s">
        <v>702</v>
      </c>
      <c r="BP394" t="s">
        <v>74</v>
      </c>
      <c r="BQ394" t="s">
        <v>74</v>
      </c>
      <c r="BR394" t="s">
        <v>103</v>
      </c>
      <c r="BS394" t="s">
        <v>7444</v>
      </c>
      <c r="BT394" t="str">
        <f>HYPERLINK("https%3A%2F%2Fwww.webofscience.com%2Fwos%2Fwoscc%2Ffull-record%2FWOS:000291079800015","View Full Record in Web of Science")</f>
        <v>View Full Record in Web of Science</v>
      </c>
    </row>
    <row r="395" spans="1:72" x14ac:dyDescent="0.15">
      <c r="A395" t="s">
        <v>72</v>
      </c>
      <c r="B395" t="s">
        <v>7445</v>
      </c>
      <c r="C395" t="s">
        <v>74</v>
      </c>
      <c r="D395" t="s">
        <v>74</v>
      </c>
      <c r="E395" t="s">
        <v>74</v>
      </c>
      <c r="F395" t="s">
        <v>7446</v>
      </c>
      <c r="G395" t="s">
        <v>74</v>
      </c>
      <c r="H395" t="s">
        <v>74</v>
      </c>
      <c r="I395" t="s">
        <v>7447</v>
      </c>
      <c r="J395" t="s">
        <v>4460</v>
      </c>
      <c r="K395" t="s">
        <v>74</v>
      </c>
      <c r="L395" t="s">
        <v>74</v>
      </c>
      <c r="M395" t="s">
        <v>78</v>
      </c>
      <c r="N395" t="s">
        <v>79</v>
      </c>
      <c r="O395" t="s">
        <v>74</v>
      </c>
      <c r="P395" t="s">
        <v>74</v>
      </c>
      <c r="Q395" t="s">
        <v>74</v>
      </c>
      <c r="R395" t="s">
        <v>74</v>
      </c>
      <c r="S395" t="s">
        <v>74</v>
      </c>
      <c r="T395" t="s">
        <v>7448</v>
      </c>
      <c r="U395" t="s">
        <v>7449</v>
      </c>
      <c r="V395" t="s">
        <v>7450</v>
      </c>
      <c r="W395" t="s">
        <v>7451</v>
      </c>
      <c r="X395" t="s">
        <v>7452</v>
      </c>
      <c r="Y395" t="s">
        <v>7453</v>
      </c>
      <c r="Z395" t="s">
        <v>7454</v>
      </c>
      <c r="AA395" t="s">
        <v>7455</v>
      </c>
      <c r="AB395" t="s">
        <v>7456</v>
      </c>
      <c r="AC395" t="s">
        <v>7457</v>
      </c>
      <c r="AD395" t="s">
        <v>7458</v>
      </c>
      <c r="AE395" t="s">
        <v>7459</v>
      </c>
      <c r="AF395" t="s">
        <v>74</v>
      </c>
      <c r="AG395">
        <v>66</v>
      </c>
      <c r="AH395">
        <v>19</v>
      </c>
      <c r="AI395">
        <v>21</v>
      </c>
      <c r="AJ395">
        <v>0</v>
      </c>
      <c r="AK395">
        <v>23</v>
      </c>
      <c r="AL395" t="s">
        <v>926</v>
      </c>
      <c r="AM395" t="s">
        <v>508</v>
      </c>
      <c r="AN395" t="s">
        <v>927</v>
      </c>
      <c r="AO395" t="s">
        <v>4472</v>
      </c>
      <c r="AP395" t="s">
        <v>4473</v>
      </c>
      <c r="AQ395" t="s">
        <v>74</v>
      </c>
      <c r="AR395" t="s">
        <v>4474</v>
      </c>
      <c r="AS395" t="s">
        <v>4475</v>
      </c>
      <c r="AT395" t="s">
        <v>7032</v>
      </c>
      <c r="AU395">
        <v>2011</v>
      </c>
      <c r="AV395">
        <v>58</v>
      </c>
      <c r="AW395" t="s">
        <v>4068</v>
      </c>
      <c r="AX395" t="s">
        <v>74</v>
      </c>
      <c r="AY395" t="s">
        <v>74</v>
      </c>
      <c r="AZ395" t="s">
        <v>74</v>
      </c>
      <c r="BA395" t="s">
        <v>74</v>
      </c>
      <c r="BB395">
        <v>1469</v>
      </c>
      <c r="BC395">
        <v>1484</v>
      </c>
      <c r="BD395" t="s">
        <v>74</v>
      </c>
      <c r="BE395" t="s">
        <v>7460</v>
      </c>
      <c r="BF395" t="str">
        <f>HYPERLINK("http://dx.doi.org/10.1016/j.dsr2.2010.11.026","http://dx.doi.org/10.1016/j.dsr2.2010.11.026")</f>
        <v>http://dx.doi.org/10.1016/j.dsr2.2010.11.026</v>
      </c>
      <c r="BG395" t="s">
        <v>74</v>
      </c>
      <c r="BH395" t="s">
        <v>74</v>
      </c>
      <c r="BI395">
        <v>16</v>
      </c>
      <c r="BJ395" t="s">
        <v>271</v>
      </c>
      <c r="BK395" t="s">
        <v>100</v>
      </c>
      <c r="BL395" t="s">
        <v>271</v>
      </c>
      <c r="BM395" t="s">
        <v>7443</v>
      </c>
      <c r="BN395" t="s">
        <v>74</v>
      </c>
      <c r="BO395" t="s">
        <v>74</v>
      </c>
      <c r="BP395" t="s">
        <v>74</v>
      </c>
      <c r="BQ395" t="s">
        <v>74</v>
      </c>
      <c r="BR395" t="s">
        <v>103</v>
      </c>
      <c r="BS395" t="s">
        <v>7461</v>
      </c>
      <c r="BT395" t="str">
        <f>HYPERLINK("https%3A%2F%2Fwww.webofscience.com%2Fwos%2Fwoscc%2Ffull-record%2FWOS:000291079800018","View Full Record in Web of Science")</f>
        <v>View Full Record in Web of Science</v>
      </c>
    </row>
    <row r="396" spans="1:72" x14ac:dyDescent="0.15">
      <c r="A396" t="s">
        <v>72</v>
      </c>
      <c r="B396" t="s">
        <v>7462</v>
      </c>
      <c r="C396" t="s">
        <v>74</v>
      </c>
      <c r="D396" t="s">
        <v>74</v>
      </c>
      <c r="E396" t="s">
        <v>74</v>
      </c>
      <c r="F396" t="s">
        <v>7463</v>
      </c>
      <c r="G396" t="s">
        <v>74</v>
      </c>
      <c r="H396" t="s">
        <v>74</v>
      </c>
      <c r="I396" t="s">
        <v>7464</v>
      </c>
      <c r="J396" t="s">
        <v>5701</v>
      </c>
      <c r="K396" t="s">
        <v>74</v>
      </c>
      <c r="L396" t="s">
        <v>74</v>
      </c>
      <c r="M396" t="s">
        <v>78</v>
      </c>
      <c r="N396" t="s">
        <v>79</v>
      </c>
      <c r="O396" t="s">
        <v>74</v>
      </c>
      <c r="P396" t="s">
        <v>74</v>
      </c>
      <c r="Q396" t="s">
        <v>74</v>
      </c>
      <c r="R396" t="s">
        <v>74</v>
      </c>
      <c r="S396" t="s">
        <v>74</v>
      </c>
      <c r="T396" t="s">
        <v>7465</v>
      </c>
      <c r="U396" t="s">
        <v>7466</v>
      </c>
      <c r="V396" t="s">
        <v>7467</v>
      </c>
      <c r="W396" t="s">
        <v>7468</v>
      </c>
      <c r="X396" t="s">
        <v>7469</v>
      </c>
      <c r="Y396" t="s">
        <v>7470</v>
      </c>
      <c r="Z396" t="s">
        <v>7471</v>
      </c>
      <c r="AA396" t="s">
        <v>7472</v>
      </c>
      <c r="AB396" t="s">
        <v>7473</v>
      </c>
      <c r="AC396" t="s">
        <v>74</v>
      </c>
      <c r="AD396" t="s">
        <v>74</v>
      </c>
      <c r="AE396" t="s">
        <v>74</v>
      </c>
      <c r="AF396" t="s">
        <v>74</v>
      </c>
      <c r="AG396">
        <v>81</v>
      </c>
      <c r="AH396">
        <v>24</v>
      </c>
      <c r="AI396">
        <v>24</v>
      </c>
      <c r="AJ396">
        <v>0</v>
      </c>
      <c r="AK396">
        <v>15</v>
      </c>
      <c r="AL396" t="s">
        <v>308</v>
      </c>
      <c r="AM396" t="s">
        <v>309</v>
      </c>
      <c r="AN396" t="s">
        <v>310</v>
      </c>
      <c r="AO396" t="s">
        <v>5713</v>
      </c>
      <c r="AP396" t="s">
        <v>7474</v>
      </c>
      <c r="AQ396" t="s">
        <v>74</v>
      </c>
      <c r="AR396" t="s">
        <v>5701</v>
      </c>
      <c r="AS396" t="s">
        <v>5714</v>
      </c>
      <c r="AT396" t="s">
        <v>7032</v>
      </c>
      <c r="AU396">
        <v>2011</v>
      </c>
      <c r="AV396">
        <v>124</v>
      </c>
      <c r="AW396" t="s">
        <v>315</v>
      </c>
      <c r="AX396" t="s">
        <v>74</v>
      </c>
      <c r="AY396" t="s">
        <v>74</v>
      </c>
      <c r="AZ396" t="s">
        <v>864</v>
      </c>
      <c r="BA396" t="s">
        <v>74</v>
      </c>
      <c r="BB396">
        <v>319</v>
      </c>
      <c r="BC396">
        <v>330</v>
      </c>
      <c r="BD396" t="s">
        <v>74</v>
      </c>
      <c r="BE396" t="s">
        <v>7475</v>
      </c>
      <c r="BF396" t="str">
        <f>HYPERLINK("http://dx.doi.org/10.1016/j.lithos.2010.11.012","http://dx.doi.org/10.1016/j.lithos.2010.11.012")</f>
        <v>http://dx.doi.org/10.1016/j.lithos.2010.11.012</v>
      </c>
      <c r="BG396" t="s">
        <v>74</v>
      </c>
      <c r="BH396" t="s">
        <v>74</v>
      </c>
      <c r="BI396">
        <v>12</v>
      </c>
      <c r="BJ396" t="s">
        <v>5716</v>
      </c>
      <c r="BK396" t="s">
        <v>100</v>
      </c>
      <c r="BL396" t="s">
        <v>5716</v>
      </c>
      <c r="BM396" t="s">
        <v>7476</v>
      </c>
      <c r="BN396" t="s">
        <v>74</v>
      </c>
      <c r="BO396" t="s">
        <v>74</v>
      </c>
      <c r="BP396" t="s">
        <v>74</v>
      </c>
      <c r="BQ396" t="s">
        <v>74</v>
      </c>
      <c r="BR396" t="s">
        <v>103</v>
      </c>
      <c r="BS396" t="s">
        <v>7477</v>
      </c>
      <c r="BT396" t="str">
        <f>HYPERLINK("https%3A%2F%2Fwww.webofscience.com%2Fwos%2Fwoscc%2Ffull-record%2FWOS:000291669800012","View Full Record in Web of Science")</f>
        <v>View Full Record in Web of Science</v>
      </c>
    </row>
    <row r="397" spans="1:72" x14ac:dyDescent="0.15">
      <c r="A397" t="s">
        <v>72</v>
      </c>
      <c r="B397" t="s">
        <v>7478</v>
      </c>
      <c r="C397" t="s">
        <v>74</v>
      </c>
      <c r="D397" t="s">
        <v>74</v>
      </c>
      <c r="E397" t="s">
        <v>74</v>
      </c>
      <c r="F397" t="s">
        <v>7479</v>
      </c>
      <c r="G397" t="s">
        <v>74</v>
      </c>
      <c r="H397" t="s">
        <v>74</v>
      </c>
      <c r="I397" t="s">
        <v>7480</v>
      </c>
      <c r="J397" t="s">
        <v>1263</v>
      </c>
      <c r="K397" t="s">
        <v>74</v>
      </c>
      <c r="L397" t="s">
        <v>74</v>
      </c>
      <c r="M397" t="s">
        <v>78</v>
      </c>
      <c r="N397" t="s">
        <v>79</v>
      </c>
      <c r="O397" t="s">
        <v>74</v>
      </c>
      <c r="P397" t="s">
        <v>74</v>
      </c>
      <c r="Q397" t="s">
        <v>74</v>
      </c>
      <c r="R397" t="s">
        <v>74</v>
      </c>
      <c r="S397" t="s">
        <v>74</v>
      </c>
      <c r="T397" t="s">
        <v>74</v>
      </c>
      <c r="U397" t="s">
        <v>7481</v>
      </c>
      <c r="V397" t="s">
        <v>7482</v>
      </c>
      <c r="W397" t="s">
        <v>7483</v>
      </c>
      <c r="X397" t="s">
        <v>7484</v>
      </c>
      <c r="Y397" t="s">
        <v>7485</v>
      </c>
      <c r="Z397" t="s">
        <v>7486</v>
      </c>
      <c r="AA397" t="s">
        <v>7487</v>
      </c>
      <c r="AB397" t="s">
        <v>74</v>
      </c>
      <c r="AC397" t="s">
        <v>7488</v>
      </c>
      <c r="AD397" t="s">
        <v>7489</v>
      </c>
      <c r="AE397" t="s">
        <v>7490</v>
      </c>
      <c r="AF397" t="s">
        <v>74</v>
      </c>
      <c r="AG397">
        <v>56</v>
      </c>
      <c r="AH397">
        <v>59</v>
      </c>
      <c r="AI397">
        <v>66</v>
      </c>
      <c r="AJ397">
        <v>0</v>
      </c>
      <c r="AK397">
        <v>17</v>
      </c>
      <c r="AL397" t="s">
        <v>1275</v>
      </c>
      <c r="AM397" t="s">
        <v>1276</v>
      </c>
      <c r="AN397" t="s">
        <v>1277</v>
      </c>
      <c r="AO397" t="s">
        <v>1278</v>
      </c>
      <c r="AP397" t="s">
        <v>74</v>
      </c>
      <c r="AQ397" t="s">
        <v>74</v>
      </c>
      <c r="AR397" t="s">
        <v>1280</v>
      </c>
      <c r="AS397" t="s">
        <v>1281</v>
      </c>
      <c r="AT397" t="s">
        <v>7343</v>
      </c>
      <c r="AU397">
        <v>2011</v>
      </c>
      <c r="AV397">
        <v>24</v>
      </c>
      <c r="AW397">
        <v>11</v>
      </c>
      <c r="AX397" t="s">
        <v>74</v>
      </c>
      <c r="AY397" t="s">
        <v>74</v>
      </c>
      <c r="AZ397" t="s">
        <v>74</v>
      </c>
      <c r="BA397" t="s">
        <v>74</v>
      </c>
      <c r="BB397">
        <v>2861</v>
      </c>
      <c r="BC397">
        <v>2879</v>
      </c>
      <c r="BD397" t="s">
        <v>74</v>
      </c>
      <c r="BE397" t="s">
        <v>7491</v>
      </c>
      <c r="BF397" t="str">
        <f>HYPERLINK("http://dx.doi.org/10.1175/2010JCLI4090.1","http://dx.doi.org/10.1175/2010JCLI4090.1")</f>
        <v>http://dx.doi.org/10.1175/2010JCLI4090.1</v>
      </c>
      <c r="BG397" t="s">
        <v>74</v>
      </c>
      <c r="BH397" t="s">
        <v>74</v>
      </c>
      <c r="BI397">
        <v>19</v>
      </c>
      <c r="BJ397" t="s">
        <v>248</v>
      </c>
      <c r="BK397" t="s">
        <v>100</v>
      </c>
      <c r="BL397" t="s">
        <v>248</v>
      </c>
      <c r="BM397" t="s">
        <v>7492</v>
      </c>
      <c r="BN397" t="s">
        <v>74</v>
      </c>
      <c r="BO397" t="s">
        <v>1284</v>
      </c>
      <c r="BP397" t="s">
        <v>74</v>
      </c>
      <c r="BQ397" t="s">
        <v>74</v>
      </c>
      <c r="BR397" t="s">
        <v>103</v>
      </c>
      <c r="BS397" t="s">
        <v>7493</v>
      </c>
      <c r="BT397" t="str">
        <f>HYPERLINK("https%3A%2F%2Fwww.webofscience.com%2Fwos%2Fwoscc%2Ffull-record%2FWOS:000291507800016","View Full Record in Web of Science")</f>
        <v>View Full Record in Web of Science</v>
      </c>
    </row>
    <row r="398" spans="1:72" x14ac:dyDescent="0.15">
      <c r="A398" t="s">
        <v>72</v>
      </c>
      <c r="B398" t="s">
        <v>7494</v>
      </c>
      <c r="C398" t="s">
        <v>74</v>
      </c>
      <c r="D398" t="s">
        <v>74</v>
      </c>
      <c r="E398" t="s">
        <v>74</v>
      </c>
      <c r="F398" t="s">
        <v>7495</v>
      </c>
      <c r="G398" t="s">
        <v>74</v>
      </c>
      <c r="H398" t="s">
        <v>74</v>
      </c>
      <c r="I398" t="s">
        <v>7496</v>
      </c>
      <c r="J398" t="s">
        <v>7497</v>
      </c>
      <c r="K398" t="s">
        <v>74</v>
      </c>
      <c r="L398" t="s">
        <v>74</v>
      </c>
      <c r="M398" t="s">
        <v>78</v>
      </c>
      <c r="N398" t="s">
        <v>79</v>
      </c>
      <c r="O398" t="s">
        <v>74</v>
      </c>
      <c r="P398" t="s">
        <v>74</v>
      </c>
      <c r="Q398" t="s">
        <v>74</v>
      </c>
      <c r="R398" t="s">
        <v>74</v>
      </c>
      <c r="S398" t="s">
        <v>74</v>
      </c>
      <c r="T398" t="s">
        <v>7498</v>
      </c>
      <c r="U398" t="s">
        <v>7499</v>
      </c>
      <c r="V398" t="s">
        <v>7500</v>
      </c>
      <c r="W398" t="s">
        <v>7501</v>
      </c>
      <c r="X398" t="s">
        <v>7502</v>
      </c>
      <c r="Y398" t="s">
        <v>7503</v>
      </c>
      <c r="Z398" t="s">
        <v>7504</v>
      </c>
      <c r="AA398" t="s">
        <v>7505</v>
      </c>
      <c r="AB398" t="s">
        <v>7506</v>
      </c>
      <c r="AC398" t="s">
        <v>74</v>
      </c>
      <c r="AD398" t="s">
        <v>74</v>
      </c>
      <c r="AE398" t="s">
        <v>74</v>
      </c>
      <c r="AF398" t="s">
        <v>74</v>
      </c>
      <c r="AG398">
        <v>101</v>
      </c>
      <c r="AH398">
        <v>108</v>
      </c>
      <c r="AI398">
        <v>112</v>
      </c>
      <c r="AJ398">
        <v>0</v>
      </c>
      <c r="AK398">
        <v>18</v>
      </c>
      <c r="AL398" t="s">
        <v>2669</v>
      </c>
      <c r="AM398" t="s">
        <v>309</v>
      </c>
      <c r="AN398" t="s">
        <v>2670</v>
      </c>
      <c r="AO398" t="s">
        <v>7507</v>
      </c>
      <c r="AP398" t="s">
        <v>7508</v>
      </c>
      <c r="AQ398" t="s">
        <v>74</v>
      </c>
      <c r="AR398" t="s">
        <v>7509</v>
      </c>
      <c r="AS398" t="s">
        <v>7510</v>
      </c>
      <c r="AT398" t="s">
        <v>7032</v>
      </c>
      <c r="AU398">
        <v>2011</v>
      </c>
      <c r="AV398">
        <v>187</v>
      </c>
      <c r="AW398" t="s">
        <v>315</v>
      </c>
      <c r="AX398" t="s">
        <v>74</v>
      </c>
      <c r="AY398" t="s">
        <v>74</v>
      </c>
      <c r="AZ398" t="s">
        <v>74</v>
      </c>
      <c r="BA398" t="s">
        <v>74</v>
      </c>
      <c r="BB398">
        <v>223</v>
      </c>
      <c r="BC398">
        <v>247</v>
      </c>
      <c r="BD398" t="s">
        <v>74</v>
      </c>
      <c r="BE398" t="s">
        <v>7511</v>
      </c>
      <c r="BF398" t="str">
        <f>HYPERLINK("http://dx.doi.org/10.1016/j.precamres.2011.03.002","http://dx.doi.org/10.1016/j.precamres.2011.03.002")</f>
        <v>http://dx.doi.org/10.1016/j.precamres.2011.03.002</v>
      </c>
      <c r="BG398" t="s">
        <v>74</v>
      </c>
      <c r="BH398" t="s">
        <v>74</v>
      </c>
      <c r="BI398">
        <v>25</v>
      </c>
      <c r="BJ398" t="s">
        <v>130</v>
      </c>
      <c r="BK398" t="s">
        <v>100</v>
      </c>
      <c r="BL398" t="s">
        <v>131</v>
      </c>
      <c r="BM398" t="s">
        <v>7512</v>
      </c>
      <c r="BN398" t="s">
        <v>74</v>
      </c>
      <c r="BO398" t="s">
        <v>74</v>
      </c>
      <c r="BP398" t="s">
        <v>74</v>
      </c>
      <c r="BQ398" t="s">
        <v>74</v>
      </c>
      <c r="BR398" t="s">
        <v>103</v>
      </c>
      <c r="BS398" t="s">
        <v>7513</v>
      </c>
      <c r="BT398" t="str">
        <f>HYPERLINK("https%3A%2F%2Fwww.webofscience.com%2Fwos%2Fwoscc%2Ffull-record%2FWOS:000291513300001","View Full Record in Web of Science")</f>
        <v>View Full Record in Web of Science</v>
      </c>
    </row>
    <row r="399" spans="1:72" x14ac:dyDescent="0.15">
      <c r="A399" t="s">
        <v>72</v>
      </c>
      <c r="B399" t="s">
        <v>7514</v>
      </c>
      <c r="C399" t="s">
        <v>74</v>
      </c>
      <c r="D399" t="s">
        <v>74</v>
      </c>
      <c r="E399" t="s">
        <v>74</v>
      </c>
      <c r="F399" t="s">
        <v>7515</v>
      </c>
      <c r="G399" t="s">
        <v>74</v>
      </c>
      <c r="H399" t="s">
        <v>74</v>
      </c>
      <c r="I399" t="s">
        <v>7516</v>
      </c>
      <c r="J399" t="s">
        <v>7517</v>
      </c>
      <c r="K399" t="s">
        <v>74</v>
      </c>
      <c r="L399" t="s">
        <v>74</v>
      </c>
      <c r="M399" t="s">
        <v>78</v>
      </c>
      <c r="N399" t="s">
        <v>79</v>
      </c>
      <c r="O399" t="s">
        <v>74</v>
      </c>
      <c r="P399" t="s">
        <v>74</v>
      </c>
      <c r="Q399" t="s">
        <v>74</v>
      </c>
      <c r="R399" t="s">
        <v>74</v>
      </c>
      <c r="S399" t="s">
        <v>74</v>
      </c>
      <c r="T399" t="s">
        <v>7518</v>
      </c>
      <c r="U399" t="s">
        <v>7519</v>
      </c>
      <c r="V399" t="s">
        <v>7520</v>
      </c>
      <c r="W399" t="s">
        <v>7521</v>
      </c>
      <c r="X399" t="s">
        <v>7522</v>
      </c>
      <c r="Y399" t="s">
        <v>7523</v>
      </c>
      <c r="Z399" t="s">
        <v>7524</v>
      </c>
      <c r="AA399" t="s">
        <v>7525</v>
      </c>
      <c r="AB399" t="s">
        <v>7526</v>
      </c>
      <c r="AC399" t="s">
        <v>7527</v>
      </c>
      <c r="AD399" t="s">
        <v>7528</v>
      </c>
      <c r="AE399" t="s">
        <v>7529</v>
      </c>
      <c r="AF399" t="s">
        <v>74</v>
      </c>
      <c r="AG399">
        <v>35</v>
      </c>
      <c r="AH399">
        <v>25</v>
      </c>
      <c r="AI399">
        <v>25</v>
      </c>
      <c r="AJ399">
        <v>0</v>
      </c>
      <c r="AK399">
        <v>8</v>
      </c>
      <c r="AL399" t="s">
        <v>507</v>
      </c>
      <c r="AM399" t="s">
        <v>508</v>
      </c>
      <c r="AN399" t="s">
        <v>509</v>
      </c>
      <c r="AO399" t="s">
        <v>7530</v>
      </c>
      <c r="AP399" t="s">
        <v>7531</v>
      </c>
      <c r="AQ399" t="s">
        <v>74</v>
      </c>
      <c r="AR399" t="s">
        <v>7532</v>
      </c>
      <c r="AS399" t="s">
        <v>7533</v>
      </c>
      <c r="AT399" t="s">
        <v>7534</v>
      </c>
      <c r="AU399">
        <v>2011</v>
      </c>
      <c r="AV399">
        <v>6</v>
      </c>
      <c r="AW399" t="s">
        <v>315</v>
      </c>
      <c r="AX399" t="s">
        <v>74</v>
      </c>
      <c r="AY399" t="s">
        <v>74</v>
      </c>
      <c r="AZ399" t="s">
        <v>74</v>
      </c>
      <c r="BA399" t="s">
        <v>74</v>
      </c>
      <c r="BB399">
        <v>289</v>
      </c>
      <c r="BC399">
        <v>294</v>
      </c>
      <c r="BD399" t="s">
        <v>74</v>
      </c>
      <c r="BE399" t="s">
        <v>7535</v>
      </c>
      <c r="BF399" t="str">
        <f>HYPERLINK("http://dx.doi.org/10.1016/j.quageo.2011.03.004","http://dx.doi.org/10.1016/j.quageo.2011.03.004")</f>
        <v>http://dx.doi.org/10.1016/j.quageo.2011.03.004</v>
      </c>
      <c r="BG399" t="s">
        <v>74</v>
      </c>
      <c r="BH399" t="s">
        <v>74</v>
      </c>
      <c r="BI399">
        <v>6</v>
      </c>
      <c r="BJ399" t="s">
        <v>1496</v>
      </c>
      <c r="BK399" t="s">
        <v>100</v>
      </c>
      <c r="BL399" t="s">
        <v>1497</v>
      </c>
      <c r="BM399" t="s">
        <v>7536</v>
      </c>
      <c r="BN399" t="s">
        <v>74</v>
      </c>
      <c r="BO399" t="s">
        <v>74</v>
      </c>
      <c r="BP399" t="s">
        <v>74</v>
      </c>
      <c r="BQ399" t="s">
        <v>74</v>
      </c>
      <c r="BR399" t="s">
        <v>103</v>
      </c>
      <c r="BS399" t="s">
        <v>7537</v>
      </c>
      <c r="BT399" t="str">
        <f>HYPERLINK("https%3A%2F%2Fwww.webofscience.com%2Fwos%2Fwoscc%2Ffull-record%2FWOS:000291576000001","View Full Record in Web of Science")</f>
        <v>View Full Record in Web of Science</v>
      </c>
    </row>
    <row r="400" spans="1:72" x14ac:dyDescent="0.15">
      <c r="A400" t="s">
        <v>72</v>
      </c>
      <c r="B400" t="s">
        <v>7538</v>
      </c>
      <c r="C400" t="s">
        <v>74</v>
      </c>
      <c r="D400" t="s">
        <v>74</v>
      </c>
      <c r="E400" t="s">
        <v>74</v>
      </c>
      <c r="F400" t="s">
        <v>7539</v>
      </c>
      <c r="G400" t="s">
        <v>74</v>
      </c>
      <c r="H400" t="s">
        <v>74</v>
      </c>
      <c r="I400" t="s">
        <v>7540</v>
      </c>
      <c r="J400" t="s">
        <v>7541</v>
      </c>
      <c r="K400" t="s">
        <v>74</v>
      </c>
      <c r="L400" t="s">
        <v>74</v>
      </c>
      <c r="M400" t="s">
        <v>78</v>
      </c>
      <c r="N400" t="s">
        <v>79</v>
      </c>
      <c r="O400" t="s">
        <v>74</v>
      </c>
      <c r="P400" t="s">
        <v>74</v>
      </c>
      <c r="Q400" t="s">
        <v>74</v>
      </c>
      <c r="R400" t="s">
        <v>74</v>
      </c>
      <c r="S400" t="s">
        <v>74</v>
      </c>
      <c r="T400" t="s">
        <v>74</v>
      </c>
      <c r="U400" t="s">
        <v>7542</v>
      </c>
      <c r="V400" t="s">
        <v>7543</v>
      </c>
      <c r="W400" t="s">
        <v>7544</v>
      </c>
      <c r="X400" t="s">
        <v>7545</v>
      </c>
      <c r="Y400" t="s">
        <v>7546</v>
      </c>
      <c r="Z400" t="s">
        <v>74</v>
      </c>
      <c r="AA400" t="s">
        <v>7547</v>
      </c>
      <c r="AB400" t="s">
        <v>74</v>
      </c>
      <c r="AC400" t="s">
        <v>7548</v>
      </c>
      <c r="AD400" t="s">
        <v>7549</v>
      </c>
      <c r="AE400" t="s">
        <v>7550</v>
      </c>
      <c r="AF400" t="s">
        <v>74</v>
      </c>
      <c r="AG400">
        <v>50</v>
      </c>
      <c r="AH400">
        <v>22</v>
      </c>
      <c r="AI400">
        <v>25</v>
      </c>
      <c r="AJ400">
        <v>0</v>
      </c>
      <c r="AK400">
        <v>6</v>
      </c>
      <c r="AL400" t="s">
        <v>7551</v>
      </c>
      <c r="AM400" t="s">
        <v>91</v>
      </c>
      <c r="AN400" t="s">
        <v>7552</v>
      </c>
      <c r="AO400" t="s">
        <v>7553</v>
      </c>
      <c r="AP400" t="s">
        <v>7554</v>
      </c>
      <c r="AQ400" t="s">
        <v>74</v>
      </c>
      <c r="AR400" t="s">
        <v>7555</v>
      </c>
      <c r="AS400" t="s">
        <v>7556</v>
      </c>
      <c r="AT400" t="s">
        <v>7343</v>
      </c>
      <c r="AU400">
        <v>2011</v>
      </c>
      <c r="AV400" t="s">
        <v>74</v>
      </c>
      <c r="AW400">
        <v>3718</v>
      </c>
      <c r="AX400" t="s">
        <v>74</v>
      </c>
      <c r="AY400" t="s">
        <v>74</v>
      </c>
      <c r="AZ400" t="s">
        <v>74</v>
      </c>
      <c r="BA400" t="s">
        <v>74</v>
      </c>
      <c r="BB400">
        <v>1</v>
      </c>
      <c r="BC400">
        <v>16</v>
      </c>
      <c r="BD400" t="s">
        <v>74</v>
      </c>
      <c r="BE400" t="s">
        <v>7557</v>
      </c>
      <c r="BF400" t="str">
        <f>HYPERLINK("http://dx.doi.org/10.1206/3718.2","http://dx.doi.org/10.1206/3718.2")</f>
        <v>http://dx.doi.org/10.1206/3718.2</v>
      </c>
      <c r="BG400" t="s">
        <v>74</v>
      </c>
      <c r="BH400" t="s">
        <v>74</v>
      </c>
      <c r="BI400">
        <v>16</v>
      </c>
      <c r="BJ400" t="s">
        <v>7558</v>
      </c>
      <c r="BK400" t="s">
        <v>100</v>
      </c>
      <c r="BL400" t="s">
        <v>7559</v>
      </c>
      <c r="BM400" t="s">
        <v>7560</v>
      </c>
      <c r="BN400" t="s">
        <v>74</v>
      </c>
      <c r="BO400" t="s">
        <v>7561</v>
      </c>
      <c r="BP400" t="s">
        <v>74</v>
      </c>
      <c r="BQ400" t="s">
        <v>74</v>
      </c>
      <c r="BR400" t="s">
        <v>103</v>
      </c>
      <c r="BS400" t="s">
        <v>7562</v>
      </c>
      <c r="BT400" t="str">
        <f>HYPERLINK("https%3A%2F%2Fwww.webofscience.com%2Fwos%2Fwoscc%2Ffull-record%2FWOS:000291323700001","View Full Record in Web of Science")</f>
        <v>View Full Record in Web of Science</v>
      </c>
    </row>
    <row r="401" spans="1:72" x14ac:dyDescent="0.15">
      <c r="A401" t="s">
        <v>72</v>
      </c>
      <c r="B401" t="s">
        <v>7563</v>
      </c>
      <c r="C401" t="s">
        <v>74</v>
      </c>
      <c r="D401" t="s">
        <v>74</v>
      </c>
      <c r="E401" t="s">
        <v>74</v>
      </c>
      <c r="F401" t="s">
        <v>7564</v>
      </c>
      <c r="G401" t="s">
        <v>74</v>
      </c>
      <c r="H401" t="s">
        <v>74</v>
      </c>
      <c r="I401" t="s">
        <v>7565</v>
      </c>
      <c r="J401" t="s">
        <v>7566</v>
      </c>
      <c r="K401" t="s">
        <v>74</v>
      </c>
      <c r="L401" t="s">
        <v>74</v>
      </c>
      <c r="M401" t="s">
        <v>78</v>
      </c>
      <c r="N401" t="s">
        <v>79</v>
      </c>
      <c r="O401" t="s">
        <v>74</v>
      </c>
      <c r="P401" t="s">
        <v>74</v>
      </c>
      <c r="Q401" t="s">
        <v>74</v>
      </c>
      <c r="R401" t="s">
        <v>74</v>
      </c>
      <c r="S401" t="s">
        <v>74</v>
      </c>
      <c r="T401" t="s">
        <v>74</v>
      </c>
      <c r="U401" t="s">
        <v>7567</v>
      </c>
      <c r="V401" t="s">
        <v>7568</v>
      </c>
      <c r="W401" t="s">
        <v>7569</v>
      </c>
      <c r="X401" t="s">
        <v>7570</v>
      </c>
      <c r="Y401" t="s">
        <v>7571</v>
      </c>
      <c r="Z401" t="s">
        <v>7572</v>
      </c>
      <c r="AA401" t="s">
        <v>7573</v>
      </c>
      <c r="AB401" t="s">
        <v>7574</v>
      </c>
      <c r="AC401" t="s">
        <v>7575</v>
      </c>
      <c r="AD401" t="s">
        <v>7575</v>
      </c>
      <c r="AE401" t="s">
        <v>7576</v>
      </c>
      <c r="AF401" t="s">
        <v>74</v>
      </c>
      <c r="AG401">
        <v>47</v>
      </c>
      <c r="AH401">
        <v>85</v>
      </c>
      <c r="AI401">
        <v>97</v>
      </c>
      <c r="AJ401">
        <v>1</v>
      </c>
      <c r="AK401">
        <v>100</v>
      </c>
      <c r="AL401" t="s">
        <v>7577</v>
      </c>
      <c r="AM401" t="s">
        <v>121</v>
      </c>
      <c r="AN401" t="s">
        <v>7578</v>
      </c>
      <c r="AO401" t="s">
        <v>7579</v>
      </c>
      <c r="AP401" t="s">
        <v>74</v>
      </c>
      <c r="AQ401" t="s">
        <v>74</v>
      </c>
      <c r="AR401" t="s">
        <v>7580</v>
      </c>
      <c r="AS401" t="s">
        <v>7581</v>
      </c>
      <c r="AT401" t="s">
        <v>7032</v>
      </c>
      <c r="AU401">
        <v>2011</v>
      </c>
      <c r="AV401">
        <v>77</v>
      </c>
      <c r="AW401">
        <v>12</v>
      </c>
      <c r="AX401" t="s">
        <v>74</v>
      </c>
      <c r="AY401" t="s">
        <v>74</v>
      </c>
      <c r="AZ401" t="s">
        <v>74</v>
      </c>
      <c r="BA401" t="s">
        <v>74</v>
      </c>
      <c r="BB401">
        <v>4163</v>
      </c>
      <c r="BC401">
        <v>4171</v>
      </c>
      <c r="BD401" t="s">
        <v>74</v>
      </c>
      <c r="BE401" t="s">
        <v>7582</v>
      </c>
      <c r="BF401" t="str">
        <f>HYPERLINK("http://dx.doi.org/10.1128/AEM.00172-11","http://dx.doi.org/10.1128/AEM.00172-11")</f>
        <v>http://dx.doi.org/10.1128/AEM.00172-11</v>
      </c>
      <c r="BG401" t="s">
        <v>74</v>
      </c>
      <c r="BH401" t="s">
        <v>74</v>
      </c>
      <c r="BI401">
        <v>9</v>
      </c>
      <c r="BJ401" t="s">
        <v>4406</v>
      </c>
      <c r="BK401" t="s">
        <v>100</v>
      </c>
      <c r="BL401" t="s">
        <v>4406</v>
      </c>
      <c r="BM401" t="s">
        <v>7583</v>
      </c>
      <c r="BN401">
        <v>21498745</v>
      </c>
      <c r="BO401" t="s">
        <v>702</v>
      </c>
      <c r="BP401" t="s">
        <v>74</v>
      </c>
      <c r="BQ401" t="s">
        <v>74</v>
      </c>
      <c r="BR401" t="s">
        <v>103</v>
      </c>
      <c r="BS401" t="s">
        <v>7584</v>
      </c>
      <c r="BT401" t="str">
        <f>HYPERLINK("https%3A%2F%2Fwww.webofscience.com%2Fwos%2Fwoscc%2Ffull-record%2FWOS:000291341800030","View Full Record in Web of Science")</f>
        <v>View Full Record in Web of Science</v>
      </c>
    </row>
    <row r="402" spans="1:72" x14ac:dyDescent="0.15">
      <c r="A402" t="s">
        <v>72</v>
      </c>
      <c r="B402" t="s">
        <v>7585</v>
      </c>
      <c r="C402" t="s">
        <v>74</v>
      </c>
      <c r="D402" t="s">
        <v>74</v>
      </c>
      <c r="E402" t="s">
        <v>74</v>
      </c>
      <c r="F402" t="s">
        <v>7586</v>
      </c>
      <c r="G402" t="s">
        <v>74</v>
      </c>
      <c r="H402" t="s">
        <v>74</v>
      </c>
      <c r="I402" t="s">
        <v>7587</v>
      </c>
      <c r="J402" t="s">
        <v>7588</v>
      </c>
      <c r="K402" t="s">
        <v>74</v>
      </c>
      <c r="L402" t="s">
        <v>74</v>
      </c>
      <c r="M402" t="s">
        <v>78</v>
      </c>
      <c r="N402" t="s">
        <v>79</v>
      </c>
      <c r="O402" t="s">
        <v>74</v>
      </c>
      <c r="P402" t="s">
        <v>74</v>
      </c>
      <c r="Q402" t="s">
        <v>74</v>
      </c>
      <c r="R402" t="s">
        <v>74</v>
      </c>
      <c r="S402" t="s">
        <v>74</v>
      </c>
      <c r="T402" t="s">
        <v>7589</v>
      </c>
      <c r="U402" t="s">
        <v>7590</v>
      </c>
      <c r="V402" t="s">
        <v>7591</v>
      </c>
      <c r="W402" t="s">
        <v>7592</v>
      </c>
      <c r="X402" t="s">
        <v>7593</v>
      </c>
      <c r="Y402" t="s">
        <v>7594</v>
      </c>
      <c r="Z402" t="s">
        <v>7595</v>
      </c>
      <c r="AA402" t="s">
        <v>74</v>
      </c>
      <c r="AB402" t="s">
        <v>74</v>
      </c>
      <c r="AC402" t="s">
        <v>74</v>
      </c>
      <c r="AD402" t="s">
        <v>74</v>
      </c>
      <c r="AE402" t="s">
        <v>74</v>
      </c>
      <c r="AF402" t="s">
        <v>74</v>
      </c>
      <c r="AG402">
        <v>52</v>
      </c>
      <c r="AH402">
        <v>117</v>
      </c>
      <c r="AI402">
        <v>131</v>
      </c>
      <c r="AJ402">
        <v>0</v>
      </c>
      <c r="AK402">
        <v>10</v>
      </c>
      <c r="AL402" t="s">
        <v>2968</v>
      </c>
      <c r="AM402" t="s">
        <v>508</v>
      </c>
      <c r="AN402" t="s">
        <v>2969</v>
      </c>
      <c r="AO402" t="s">
        <v>7596</v>
      </c>
      <c r="AP402" t="s">
        <v>7597</v>
      </c>
      <c r="AQ402" t="s">
        <v>74</v>
      </c>
      <c r="AR402" t="s">
        <v>7598</v>
      </c>
      <c r="AS402" t="s">
        <v>7599</v>
      </c>
      <c r="AT402" t="s">
        <v>7032</v>
      </c>
      <c r="AU402">
        <v>2011</v>
      </c>
      <c r="AV402">
        <v>103</v>
      </c>
      <c r="AW402">
        <v>2</v>
      </c>
      <c r="AX402" t="s">
        <v>74</v>
      </c>
      <c r="AY402" t="s">
        <v>74</v>
      </c>
      <c r="AZ402" t="s">
        <v>74</v>
      </c>
      <c r="BA402" t="s">
        <v>74</v>
      </c>
      <c r="BB402">
        <v>269</v>
      </c>
      <c r="BC402">
        <v>288</v>
      </c>
      <c r="BD402" t="s">
        <v>74</v>
      </c>
      <c r="BE402" t="s">
        <v>7600</v>
      </c>
      <c r="BF402" t="str">
        <f>HYPERLINK("http://dx.doi.org/10.1111/j.1095-8312.2011.01649.x","http://dx.doi.org/10.1111/j.1095-8312.2011.01649.x")</f>
        <v>http://dx.doi.org/10.1111/j.1095-8312.2011.01649.x</v>
      </c>
      <c r="BG402" t="s">
        <v>74</v>
      </c>
      <c r="BH402" t="s">
        <v>74</v>
      </c>
      <c r="BI402">
        <v>20</v>
      </c>
      <c r="BJ402" t="s">
        <v>7601</v>
      </c>
      <c r="BK402" t="s">
        <v>100</v>
      </c>
      <c r="BL402" t="s">
        <v>7601</v>
      </c>
      <c r="BM402" t="s">
        <v>7602</v>
      </c>
      <c r="BN402" t="s">
        <v>74</v>
      </c>
      <c r="BO402" t="s">
        <v>152</v>
      </c>
      <c r="BP402" t="s">
        <v>74</v>
      </c>
      <c r="BQ402" t="s">
        <v>74</v>
      </c>
      <c r="BR402" t="s">
        <v>103</v>
      </c>
      <c r="BS402" t="s">
        <v>7603</v>
      </c>
      <c r="BT402" t="str">
        <f>HYPERLINK("https%3A%2F%2Fwww.webofscience.com%2Fwos%2Fwoscc%2Ffull-record%2FWOS:000291162800004","View Full Record in Web of Science")</f>
        <v>View Full Record in Web of Science</v>
      </c>
    </row>
    <row r="403" spans="1:72" x14ac:dyDescent="0.15">
      <c r="A403" t="s">
        <v>72</v>
      </c>
      <c r="B403" t="s">
        <v>7604</v>
      </c>
      <c r="C403" t="s">
        <v>74</v>
      </c>
      <c r="D403" t="s">
        <v>74</v>
      </c>
      <c r="E403" t="s">
        <v>74</v>
      </c>
      <c r="F403" t="s">
        <v>7605</v>
      </c>
      <c r="G403" t="s">
        <v>74</v>
      </c>
      <c r="H403" t="s">
        <v>74</v>
      </c>
      <c r="I403" t="s">
        <v>7606</v>
      </c>
      <c r="J403" t="s">
        <v>7588</v>
      </c>
      <c r="K403" t="s">
        <v>74</v>
      </c>
      <c r="L403" t="s">
        <v>74</v>
      </c>
      <c r="M403" t="s">
        <v>78</v>
      </c>
      <c r="N403" t="s">
        <v>79</v>
      </c>
      <c r="O403" t="s">
        <v>74</v>
      </c>
      <c r="P403" t="s">
        <v>74</v>
      </c>
      <c r="Q403" t="s">
        <v>74</v>
      </c>
      <c r="R403" t="s">
        <v>74</v>
      </c>
      <c r="S403" t="s">
        <v>74</v>
      </c>
      <c r="T403" t="s">
        <v>7607</v>
      </c>
      <c r="U403" t="s">
        <v>7608</v>
      </c>
      <c r="V403" t="s">
        <v>7609</v>
      </c>
      <c r="W403" t="s">
        <v>7610</v>
      </c>
      <c r="X403" t="s">
        <v>7611</v>
      </c>
      <c r="Y403" t="s">
        <v>7612</v>
      </c>
      <c r="Z403" t="s">
        <v>7613</v>
      </c>
      <c r="AA403" t="s">
        <v>74</v>
      </c>
      <c r="AB403" t="s">
        <v>74</v>
      </c>
      <c r="AC403" t="s">
        <v>74</v>
      </c>
      <c r="AD403" t="s">
        <v>74</v>
      </c>
      <c r="AE403" t="s">
        <v>74</v>
      </c>
      <c r="AF403" t="s">
        <v>74</v>
      </c>
      <c r="AG403">
        <v>80</v>
      </c>
      <c r="AH403">
        <v>34</v>
      </c>
      <c r="AI403">
        <v>38</v>
      </c>
      <c r="AJ403">
        <v>0</v>
      </c>
      <c r="AK403">
        <v>18</v>
      </c>
      <c r="AL403" t="s">
        <v>2968</v>
      </c>
      <c r="AM403" t="s">
        <v>508</v>
      </c>
      <c r="AN403" t="s">
        <v>2969</v>
      </c>
      <c r="AO403" t="s">
        <v>7596</v>
      </c>
      <c r="AP403" t="s">
        <v>7597</v>
      </c>
      <c r="AQ403" t="s">
        <v>74</v>
      </c>
      <c r="AR403" t="s">
        <v>7598</v>
      </c>
      <c r="AS403" t="s">
        <v>7599</v>
      </c>
      <c r="AT403" t="s">
        <v>7032</v>
      </c>
      <c r="AU403">
        <v>2011</v>
      </c>
      <c r="AV403">
        <v>103</v>
      </c>
      <c r="AW403">
        <v>2</v>
      </c>
      <c r="AX403" t="s">
        <v>74</v>
      </c>
      <c r="AY403" t="s">
        <v>74</v>
      </c>
      <c r="AZ403" t="s">
        <v>74</v>
      </c>
      <c r="BA403" t="s">
        <v>74</v>
      </c>
      <c r="BB403">
        <v>346</v>
      </c>
      <c r="BC403">
        <v>362</v>
      </c>
      <c r="BD403" t="s">
        <v>74</v>
      </c>
      <c r="BE403" t="s">
        <v>7614</v>
      </c>
      <c r="BF403" t="str">
        <f>HYPERLINK("http://dx.doi.org/10.1111/j.1095-8312.2011.01683.x","http://dx.doi.org/10.1111/j.1095-8312.2011.01683.x")</f>
        <v>http://dx.doi.org/10.1111/j.1095-8312.2011.01683.x</v>
      </c>
      <c r="BG403" t="s">
        <v>74</v>
      </c>
      <c r="BH403" t="s">
        <v>74</v>
      </c>
      <c r="BI403">
        <v>17</v>
      </c>
      <c r="BJ403" t="s">
        <v>7601</v>
      </c>
      <c r="BK403" t="s">
        <v>100</v>
      </c>
      <c r="BL403" t="s">
        <v>7601</v>
      </c>
      <c r="BM403" t="s">
        <v>7602</v>
      </c>
      <c r="BN403" t="s">
        <v>74</v>
      </c>
      <c r="BO403" t="s">
        <v>1051</v>
      </c>
      <c r="BP403" t="s">
        <v>74</v>
      </c>
      <c r="BQ403" t="s">
        <v>74</v>
      </c>
      <c r="BR403" t="s">
        <v>103</v>
      </c>
      <c r="BS403" t="s">
        <v>7615</v>
      </c>
      <c r="BT403" t="str">
        <f>HYPERLINK("https%3A%2F%2Fwww.webofscience.com%2Fwos%2Fwoscc%2Ffull-record%2FWOS:000291162800009","View Full Record in Web of Science")</f>
        <v>View Full Record in Web of Science</v>
      </c>
    </row>
    <row r="404" spans="1:72" x14ac:dyDescent="0.15">
      <c r="A404" t="s">
        <v>72</v>
      </c>
      <c r="B404" t="s">
        <v>7616</v>
      </c>
      <c r="C404" t="s">
        <v>74</v>
      </c>
      <c r="D404" t="s">
        <v>74</v>
      </c>
      <c r="E404" t="s">
        <v>74</v>
      </c>
      <c r="F404" t="s">
        <v>7617</v>
      </c>
      <c r="G404" t="s">
        <v>74</v>
      </c>
      <c r="H404" t="s">
        <v>74</v>
      </c>
      <c r="I404" t="s">
        <v>7618</v>
      </c>
      <c r="J404" t="s">
        <v>1538</v>
      </c>
      <c r="K404" t="s">
        <v>74</v>
      </c>
      <c r="L404" t="s">
        <v>74</v>
      </c>
      <c r="M404" t="s">
        <v>78</v>
      </c>
      <c r="N404" t="s">
        <v>79</v>
      </c>
      <c r="O404" t="s">
        <v>74</v>
      </c>
      <c r="P404" t="s">
        <v>74</v>
      </c>
      <c r="Q404" t="s">
        <v>74</v>
      </c>
      <c r="R404" t="s">
        <v>74</v>
      </c>
      <c r="S404" t="s">
        <v>74</v>
      </c>
      <c r="T404" t="s">
        <v>7619</v>
      </c>
      <c r="U404" t="s">
        <v>7620</v>
      </c>
      <c r="V404" t="s">
        <v>7621</v>
      </c>
      <c r="W404" t="s">
        <v>7622</v>
      </c>
      <c r="X404" t="s">
        <v>7623</v>
      </c>
      <c r="Y404" t="s">
        <v>7624</v>
      </c>
      <c r="Z404" t="s">
        <v>7625</v>
      </c>
      <c r="AA404" t="s">
        <v>74</v>
      </c>
      <c r="AB404" t="s">
        <v>74</v>
      </c>
      <c r="AC404" t="s">
        <v>7626</v>
      </c>
      <c r="AD404" t="s">
        <v>7627</v>
      </c>
      <c r="AE404" t="s">
        <v>7628</v>
      </c>
      <c r="AF404" t="s">
        <v>74</v>
      </c>
      <c r="AG404">
        <v>39</v>
      </c>
      <c r="AH404">
        <v>27</v>
      </c>
      <c r="AI404">
        <v>31</v>
      </c>
      <c r="AJ404">
        <v>1</v>
      </c>
      <c r="AK404">
        <v>29</v>
      </c>
      <c r="AL404" t="s">
        <v>1237</v>
      </c>
      <c r="AM404" t="s">
        <v>1238</v>
      </c>
      <c r="AN404" t="s">
        <v>1239</v>
      </c>
      <c r="AO404" t="s">
        <v>1551</v>
      </c>
      <c r="AP404" t="s">
        <v>1552</v>
      </c>
      <c r="AQ404" t="s">
        <v>74</v>
      </c>
      <c r="AR404" t="s">
        <v>1553</v>
      </c>
      <c r="AS404" t="s">
        <v>1554</v>
      </c>
      <c r="AT404" t="s">
        <v>7032</v>
      </c>
      <c r="AU404">
        <v>2011</v>
      </c>
      <c r="AV404">
        <v>56</v>
      </c>
      <c r="AW404">
        <v>17</v>
      </c>
      <c r="AX404" t="s">
        <v>74</v>
      </c>
      <c r="AY404" t="s">
        <v>74</v>
      </c>
      <c r="AZ404" t="s">
        <v>74</v>
      </c>
      <c r="BA404" t="s">
        <v>74</v>
      </c>
      <c r="BB404">
        <v>1821</v>
      </c>
      <c r="BC404">
        <v>1827</v>
      </c>
      <c r="BD404" t="s">
        <v>74</v>
      </c>
      <c r="BE404" t="s">
        <v>7629</v>
      </c>
      <c r="BF404" t="str">
        <f>HYPERLINK("http://dx.doi.org/10.1007/s11434-011-4497-9","http://dx.doi.org/10.1007/s11434-011-4497-9")</f>
        <v>http://dx.doi.org/10.1007/s11434-011-4497-9</v>
      </c>
      <c r="BG404" t="s">
        <v>74</v>
      </c>
      <c r="BH404" t="s">
        <v>74</v>
      </c>
      <c r="BI404">
        <v>7</v>
      </c>
      <c r="BJ404" t="s">
        <v>177</v>
      </c>
      <c r="BK404" t="s">
        <v>100</v>
      </c>
      <c r="BL404" t="s">
        <v>178</v>
      </c>
      <c r="BM404" t="s">
        <v>7630</v>
      </c>
      <c r="BN404" t="s">
        <v>74</v>
      </c>
      <c r="BO404" t="s">
        <v>152</v>
      </c>
      <c r="BP404" t="s">
        <v>74</v>
      </c>
      <c r="BQ404" t="s">
        <v>74</v>
      </c>
      <c r="BR404" t="s">
        <v>103</v>
      </c>
      <c r="BS404" t="s">
        <v>7631</v>
      </c>
      <c r="BT404" t="str">
        <f>HYPERLINK("https%3A%2F%2Fwww.webofscience.com%2Fwos%2Fwoscc%2Ffull-record%2FWOS:000291259300009","View Full Record in Web of Science")</f>
        <v>View Full Record in Web of Science</v>
      </c>
    </row>
    <row r="405" spans="1:72" x14ac:dyDescent="0.15">
      <c r="A405" t="s">
        <v>72</v>
      </c>
      <c r="B405" t="s">
        <v>7632</v>
      </c>
      <c r="C405" t="s">
        <v>74</v>
      </c>
      <c r="D405" t="s">
        <v>74</v>
      </c>
      <c r="E405" t="s">
        <v>74</v>
      </c>
      <c r="F405" t="s">
        <v>7633</v>
      </c>
      <c r="G405" t="s">
        <v>74</v>
      </c>
      <c r="H405" t="s">
        <v>74</v>
      </c>
      <c r="I405" t="s">
        <v>7634</v>
      </c>
      <c r="J405" t="s">
        <v>5011</v>
      </c>
      <c r="K405" t="s">
        <v>74</v>
      </c>
      <c r="L405" t="s">
        <v>74</v>
      </c>
      <c r="M405" t="s">
        <v>78</v>
      </c>
      <c r="N405" t="s">
        <v>79</v>
      </c>
      <c r="O405" t="s">
        <v>74</v>
      </c>
      <c r="P405" t="s">
        <v>74</v>
      </c>
      <c r="Q405" t="s">
        <v>74</v>
      </c>
      <c r="R405" t="s">
        <v>74</v>
      </c>
      <c r="S405" t="s">
        <v>74</v>
      </c>
      <c r="T405" t="s">
        <v>7635</v>
      </c>
      <c r="U405" t="s">
        <v>7636</v>
      </c>
      <c r="V405" t="s">
        <v>7637</v>
      </c>
      <c r="W405" t="s">
        <v>7638</v>
      </c>
      <c r="X405" t="s">
        <v>7639</v>
      </c>
      <c r="Y405" t="s">
        <v>7640</v>
      </c>
      <c r="Z405" t="s">
        <v>7641</v>
      </c>
      <c r="AA405" t="s">
        <v>74</v>
      </c>
      <c r="AB405" t="s">
        <v>7642</v>
      </c>
      <c r="AC405" t="s">
        <v>7643</v>
      </c>
      <c r="AD405" t="s">
        <v>7644</v>
      </c>
      <c r="AE405" t="s">
        <v>7645</v>
      </c>
      <c r="AF405" t="s">
        <v>74</v>
      </c>
      <c r="AG405">
        <v>93</v>
      </c>
      <c r="AH405">
        <v>58</v>
      </c>
      <c r="AI405">
        <v>66</v>
      </c>
      <c r="AJ405">
        <v>1</v>
      </c>
      <c r="AK405">
        <v>36</v>
      </c>
      <c r="AL405" t="s">
        <v>1441</v>
      </c>
      <c r="AM405" t="s">
        <v>91</v>
      </c>
      <c r="AN405" t="s">
        <v>1595</v>
      </c>
      <c r="AO405" t="s">
        <v>5024</v>
      </c>
      <c r="AP405" t="s">
        <v>5025</v>
      </c>
      <c r="AQ405" t="s">
        <v>74</v>
      </c>
      <c r="AR405" t="s">
        <v>5026</v>
      </c>
      <c r="AS405" t="s">
        <v>5027</v>
      </c>
      <c r="AT405" t="s">
        <v>7032</v>
      </c>
      <c r="AU405">
        <v>2011</v>
      </c>
      <c r="AV405">
        <v>36</v>
      </c>
      <c r="AW405" t="s">
        <v>4068</v>
      </c>
      <c r="AX405" t="s">
        <v>74</v>
      </c>
      <c r="AY405" t="s">
        <v>74</v>
      </c>
      <c r="AZ405" t="s">
        <v>74</v>
      </c>
      <c r="BA405" t="s">
        <v>74</v>
      </c>
      <c r="BB405">
        <v>2171</v>
      </c>
      <c r="BC405">
        <v>2199</v>
      </c>
      <c r="BD405" t="s">
        <v>74</v>
      </c>
      <c r="BE405" t="s">
        <v>7646</v>
      </c>
      <c r="BF405" t="str">
        <f>HYPERLINK("http://dx.doi.org/10.1007/s00382-010-0825-z","http://dx.doi.org/10.1007/s00382-010-0825-z")</f>
        <v>http://dx.doi.org/10.1007/s00382-010-0825-z</v>
      </c>
      <c r="BG405" t="s">
        <v>74</v>
      </c>
      <c r="BH405" t="s">
        <v>74</v>
      </c>
      <c r="BI405">
        <v>29</v>
      </c>
      <c r="BJ405" t="s">
        <v>248</v>
      </c>
      <c r="BK405" t="s">
        <v>100</v>
      </c>
      <c r="BL405" t="s">
        <v>248</v>
      </c>
      <c r="BM405" t="s">
        <v>7647</v>
      </c>
      <c r="BN405" t="s">
        <v>74</v>
      </c>
      <c r="BO405" t="s">
        <v>1025</v>
      </c>
      <c r="BP405" t="s">
        <v>74</v>
      </c>
      <c r="BQ405" t="s">
        <v>74</v>
      </c>
      <c r="BR405" t="s">
        <v>103</v>
      </c>
      <c r="BS405" t="s">
        <v>7648</v>
      </c>
      <c r="BT405" t="str">
        <f>HYPERLINK("https%3A%2F%2Fwww.webofscience.com%2Fwos%2Fwoscc%2Ffull-record%2FWOS:000291165900010","View Full Record in Web of Science")</f>
        <v>View Full Record in Web of Science</v>
      </c>
    </row>
    <row r="406" spans="1:72" x14ac:dyDescent="0.15">
      <c r="A406" t="s">
        <v>72</v>
      </c>
      <c r="B406" t="s">
        <v>7649</v>
      </c>
      <c r="C406" t="s">
        <v>74</v>
      </c>
      <c r="D406" t="s">
        <v>74</v>
      </c>
      <c r="E406" t="s">
        <v>74</v>
      </c>
      <c r="F406" t="s">
        <v>7650</v>
      </c>
      <c r="G406" t="s">
        <v>74</v>
      </c>
      <c r="H406" t="s">
        <v>74</v>
      </c>
      <c r="I406" t="s">
        <v>7651</v>
      </c>
      <c r="J406" t="s">
        <v>5011</v>
      </c>
      <c r="K406" t="s">
        <v>74</v>
      </c>
      <c r="L406" t="s">
        <v>74</v>
      </c>
      <c r="M406" t="s">
        <v>78</v>
      </c>
      <c r="N406" t="s">
        <v>79</v>
      </c>
      <c r="O406" t="s">
        <v>74</v>
      </c>
      <c r="P406" t="s">
        <v>74</v>
      </c>
      <c r="Q406" t="s">
        <v>74</v>
      </c>
      <c r="R406" t="s">
        <v>74</v>
      </c>
      <c r="S406" t="s">
        <v>74</v>
      </c>
      <c r="T406" t="s">
        <v>7652</v>
      </c>
      <c r="U406" t="s">
        <v>7653</v>
      </c>
      <c r="V406" t="s">
        <v>7654</v>
      </c>
      <c r="W406" t="s">
        <v>7655</v>
      </c>
      <c r="X406" t="s">
        <v>7656</v>
      </c>
      <c r="Y406" t="s">
        <v>7657</v>
      </c>
      <c r="Z406" t="s">
        <v>7658</v>
      </c>
      <c r="AA406" t="s">
        <v>7659</v>
      </c>
      <c r="AB406" t="s">
        <v>7660</v>
      </c>
      <c r="AC406" t="s">
        <v>7661</v>
      </c>
      <c r="AD406" t="s">
        <v>7662</v>
      </c>
      <c r="AE406" t="s">
        <v>7663</v>
      </c>
      <c r="AF406" t="s">
        <v>74</v>
      </c>
      <c r="AG406">
        <v>78</v>
      </c>
      <c r="AH406">
        <v>146</v>
      </c>
      <c r="AI406">
        <v>158</v>
      </c>
      <c r="AJ406">
        <v>4</v>
      </c>
      <c r="AK406">
        <v>66</v>
      </c>
      <c r="AL406" t="s">
        <v>1441</v>
      </c>
      <c r="AM406" t="s">
        <v>91</v>
      </c>
      <c r="AN406" t="s">
        <v>1902</v>
      </c>
      <c r="AO406" t="s">
        <v>5024</v>
      </c>
      <c r="AP406" t="s">
        <v>5025</v>
      </c>
      <c r="AQ406" t="s">
        <v>74</v>
      </c>
      <c r="AR406" t="s">
        <v>5026</v>
      </c>
      <c r="AS406" t="s">
        <v>5027</v>
      </c>
      <c r="AT406" t="s">
        <v>7032</v>
      </c>
      <c r="AU406">
        <v>2011</v>
      </c>
      <c r="AV406">
        <v>36</v>
      </c>
      <c r="AW406" t="s">
        <v>4068</v>
      </c>
      <c r="AX406" t="s">
        <v>74</v>
      </c>
      <c r="AY406" t="s">
        <v>74</v>
      </c>
      <c r="AZ406" t="s">
        <v>74</v>
      </c>
      <c r="BA406" t="s">
        <v>74</v>
      </c>
      <c r="BB406">
        <v>2201</v>
      </c>
      <c r="BC406">
        <v>2218</v>
      </c>
      <c r="BD406" t="s">
        <v>74</v>
      </c>
      <c r="BE406" t="s">
        <v>7664</v>
      </c>
      <c r="BF406" t="str">
        <f>HYPERLINK("http://dx.doi.org/10.1007/s00382-010-0795-1","http://dx.doi.org/10.1007/s00382-010-0795-1")</f>
        <v>http://dx.doi.org/10.1007/s00382-010-0795-1</v>
      </c>
      <c r="BG406" t="s">
        <v>74</v>
      </c>
      <c r="BH406" t="s">
        <v>74</v>
      </c>
      <c r="BI406">
        <v>18</v>
      </c>
      <c r="BJ406" t="s">
        <v>248</v>
      </c>
      <c r="BK406" t="s">
        <v>100</v>
      </c>
      <c r="BL406" t="s">
        <v>248</v>
      </c>
      <c r="BM406" t="s">
        <v>7647</v>
      </c>
      <c r="BN406" t="s">
        <v>74</v>
      </c>
      <c r="BO406" t="s">
        <v>74</v>
      </c>
      <c r="BP406" t="s">
        <v>74</v>
      </c>
      <c r="BQ406" t="s">
        <v>74</v>
      </c>
      <c r="BR406" t="s">
        <v>103</v>
      </c>
      <c r="BS406" t="s">
        <v>7665</v>
      </c>
      <c r="BT406" t="str">
        <f>HYPERLINK("https%3A%2F%2Fwww.webofscience.com%2Fwos%2Fwoscc%2Ffull-record%2FWOS:000291165900011","View Full Record in Web of Science")</f>
        <v>View Full Record in Web of Science</v>
      </c>
    </row>
    <row r="407" spans="1:72" x14ac:dyDescent="0.15">
      <c r="A407" t="s">
        <v>72</v>
      </c>
      <c r="B407" t="s">
        <v>7666</v>
      </c>
      <c r="C407" t="s">
        <v>74</v>
      </c>
      <c r="D407" t="s">
        <v>74</v>
      </c>
      <c r="E407" t="s">
        <v>74</v>
      </c>
      <c r="F407" t="s">
        <v>7667</v>
      </c>
      <c r="G407" t="s">
        <v>74</v>
      </c>
      <c r="H407" t="s">
        <v>74</v>
      </c>
      <c r="I407" t="s">
        <v>7668</v>
      </c>
      <c r="J407" t="s">
        <v>1311</v>
      </c>
      <c r="K407" t="s">
        <v>74</v>
      </c>
      <c r="L407" t="s">
        <v>74</v>
      </c>
      <c r="M407" t="s">
        <v>78</v>
      </c>
      <c r="N407" t="s">
        <v>79</v>
      </c>
      <c r="O407" t="s">
        <v>74</v>
      </c>
      <c r="P407" t="s">
        <v>74</v>
      </c>
      <c r="Q407" t="s">
        <v>74</v>
      </c>
      <c r="R407" t="s">
        <v>74</v>
      </c>
      <c r="S407" t="s">
        <v>74</v>
      </c>
      <c r="T407" t="s">
        <v>74</v>
      </c>
      <c r="U407" t="s">
        <v>7669</v>
      </c>
      <c r="V407" t="s">
        <v>7670</v>
      </c>
      <c r="W407" t="s">
        <v>7671</v>
      </c>
      <c r="X407" t="s">
        <v>7672</v>
      </c>
      <c r="Y407" t="s">
        <v>7673</v>
      </c>
      <c r="Z407" t="s">
        <v>7674</v>
      </c>
      <c r="AA407" t="s">
        <v>7675</v>
      </c>
      <c r="AB407" t="s">
        <v>7676</v>
      </c>
      <c r="AC407" t="s">
        <v>7677</v>
      </c>
      <c r="AD407" t="s">
        <v>7678</v>
      </c>
      <c r="AE407" t="s">
        <v>7679</v>
      </c>
      <c r="AF407" t="s">
        <v>74</v>
      </c>
      <c r="AG407">
        <v>33</v>
      </c>
      <c r="AH407">
        <v>38</v>
      </c>
      <c r="AI407">
        <v>41</v>
      </c>
      <c r="AJ407">
        <v>3</v>
      </c>
      <c r="AK407">
        <v>50</v>
      </c>
      <c r="AL407" t="s">
        <v>1323</v>
      </c>
      <c r="AM407" t="s">
        <v>1324</v>
      </c>
      <c r="AN407" t="s">
        <v>1325</v>
      </c>
      <c r="AO407" t="s">
        <v>1326</v>
      </c>
      <c r="AP407" t="s">
        <v>1327</v>
      </c>
      <c r="AQ407" t="s">
        <v>74</v>
      </c>
      <c r="AR407" t="s">
        <v>1328</v>
      </c>
      <c r="AS407" t="s">
        <v>1329</v>
      </c>
      <c r="AT407" t="s">
        <v>7032</v>
      </c>
      <c r="AU407">
        <v>2011</v>
      </c>
      <c r="AV407">
        <v>13</v>
      </c>
      <c r="AW407">
        <v>6</v>
      </c>
      <c r="AX407" t="s">
        <v>74</v>
      </c>
      <c r="AY407" t="s">
        <v>74</v>
      </c>
      <c r="AZ407" t="s">
        <v>74</v>
      </c>
      <c r="BA407" t="s">
        <v>74</v>
      </c>
      <c r="BB407">
        <v>1524</v>
      </c>
      <c r="BC407">
        <v>1533</v>
      </c>
      <c r="BD407" t="s">
        <v>74</v>
      </c>
      <c r="BE407" t="s">
        <v>7680</v>
      </c>
      <c r="BF407" t="str">
        <f>HYPERLINK("http://dx.doi.org/10.1111/j.1462-2920.2011.02457.x","http://dx.doi.org/10.1111/j.1462-2920.2011.02457.x")</f>
        <v>http://dx.doi.org/10.1111/j.1462-2920.2011.02457.x</v>
      </c>
      <c r="BG407" t="s">
        <v>74</v>
      </c>
      <c r="BH407" t="s">
        <v>74</v>
      </c>
      <c r="BI407">
        <v>10</v>
      </c>
      <c r="BJ407" t="s">
        <v>892</v>
      </c>
      <c r="BK407" t="s">
        <v>100</v>
      </c>
      <c r="BL407" t="s">
        <v>892</v>
      </c>
      <c r="BM407" t="s">
        <v>7681</v>
      </c>
      <c r="BN407">
        <v>21418496</v>
      </c>
      <c r="BO407" t="s">
        <v>74</v>
      </c>
      <c r="BP407" t="s">
        <v>74</v>
      </c>
      <c r="BQ407" t="s">
        <v>74</v>
      </c>
      <c r="BR407" t="s">
        <v>103</v>
      </c>
      <c r="BS407" t="s">
        <v>7682</v>
      </c>
      <c r="BT407" t="str">
        <f>HYPERLINK("https%3A%2F%2Fwww.webofscience.com%2Fwos%2Fwoscc%2Ffull-record%2FWOS:000291268900013","View Full Record in Web of Science")</f>
        <v>View Full Record in Web of Science</v>
      </c>
    </row>
    <row r="408" spans="1:72" x14ac:dyDescent="0.15">
      <c r="A408" t="s">
        <v>72</v>
      </c>
      <c r="B408" t="s">
        <v>7683</v>
      </c>
      <c r="C408" t="s">
        <v>74</v>
      </c>
      <c r="D408" t="s">
        <v>74</v>
      </c>
      <c r="E408" t="s">
        <v>74</v>
      </c>
      <c r="F408" t="s">
        <v>7684</v>
      </c>
      <c r="G408" t="s">
        <v>74</v>
      </c>
      <c r="H408" t="s">
        <v>74</v>
      </c>
      <c r="I408" t="s">
        <v>7685</v>
      </c>
      <c r="J408" t="s">
        <v>1722</v>
      </c>
      <c r="K408" t="s">
        <v>74</v>
      </c>
      <c r="L408" t="s">
        <v>74</v>
      </c>
      <c r="M408" t="s">
        <v>78</v>
      </c>
      <c r="N408" t="s">
        <v>79</v>
      </c>
      <c r="O408" t="s">
        <v>74</v>
      </c>
      <c r="P408" t="s">
        <v>74</v>
      </c>
      <c r="Q408" t="s">
        <v>74</v>
      </c>
      <c r="R408" t="s">
        <v>74</v>
      </c>
      <c r="S408" t="s">
        <v>74</v>
      </c>
      <c r="T408" t="s">
        <v>74</v>
      </c>
      <c r="U408" t="s">
        <v>7686</v>
      </c>
      <c r="V408" t="s">
        <v>7687</v>
      </c>
      <c r="W408" t="s">
        <v>7688</v>
      </c>
      <c r="X408" t="s">
        <v>7689</v>
      </c>
      <c r="Y408" t="s">
        <v>7690</v>
      </c>
      <c r="Z408" t="s">
        <v>7691</v>
      </c>
      <c r="AA408" t="s">
        <v>74</v>
      </c>
      <c r="AB408" t="s">
        <v>7692</v>
      </c>
      <c r="AC408" t="s">
        <v>7693</v>
      </c>
      <c r="AD408" t="s">
        <v>7694</v>
      </c>
      <c r="AE408" t="s">
        <v>7695</v>
      </c>
      <c r="AF408" t="s">
        <v>74</v>
      </c>
      <c r="AG408">
        <v>49</v>
      </c>
      <c r="AH408">
        <v>44</v>
      </c>
      <c r="AI408">
        <v>51</v>
      </c>
      <c r="AJ408">
        <v>2</v>
      </c>
      <c r="AK408">
        <v>80</v>
      </c>
      <c r="AL408" t="s">
        <v>216</v>
      </c>
      <c r="AM408" t="s">
        <v>121</v>
      </c>
      <c r="AN408" t="s">
        <v>217</v>
      </c>
      <c r="AO408" t="s">
        <v>1734</v>
      </c>
      <c r="AP408" t="s">
        <v>3588</v>
      </c>
      <c r="AQ408" t="s">
        <v>74</v>
      </c>
      <c r="AR408" t="s">
        <v>1735</v>
      </c>
      <c r="AS408" t="s">
        <v>1736</v>
      </c>
      <c r="AT408" t="s">
        <v>7343</v>
      </c>
      <c r="AU408">
        <v>2011</v>
      </c>
      <c r="AV408">
        <v>45</v>
      </c>
      <c r="AW408">
        <v>11</v>
      </c>
      <c r="AX408" t="s">
        <v>74</v>
      </c>
      <c r="AY408" t="s">
        <v>74</v>
      </c>
      <c r="AZ408" t="s">
        <v>74</v>
      </c>
      <c r="BA408" t="s">
        <v>74</v>
      </c>
      <c r="BB408">
        <v>4710</v>
      </c>
      <c r="BC408">
        <v>4717</v>
      </c>
      <c r="BD408" t="s">
        <v>74</v>
      </c>
      <c r="BE408" t="s">
        <v>7696</v>
      </c>
      <c r="BF408" t="str">
        <f>HYPERLINK("http://dx.doi.org/10.1021/es200697c","http://dx.doi.org/10.1021/es200697c")</f>
        <v>http://dx.doi.org/10.1021/es200697c</v>
      </c>
      <c r="BG408" t="s">
        <v>74</v>
      </c>
      <c r="BH408" t="s">
        <v>74</v>
      </c>
      <c r="BI408">
        <v>8</v>
      </c>
      <c r="BJ408" t="s">
        <v>1739</v>
      </c>
      <c r="BK408" t="s">
        <v>100</v>
      </c>
      <c r="BL408" t="s">
        <v>1740</v>
      </c>
      <c r="BM408" t="s">
        <v>7697</v>
      </c>
      <c r="BN408">
        <v>21542577</v>
      </c>
      <c r="BO408" t="s">
        <v>74</v>
      </c>
      <c r="BP408" t="s">
        <v>74</v>
      </c>
      <c r="BQ408" t="s">
        <v>74</v>
      </c>
      <c r="BR408" t="s">
        <v>103</v>
      </c>
      <c r="BS408" t="s">
        <v>7698</v>
      </c>
      <c r="BT408" t="str">
        <f>HYPERLINK("https%3A%2F%2Fwww.webofscience.com%2Fwos%2Fwoscc%2Ffull-record%2FWOS:000291128700010","View Full Record in Web of Science")</f>
        <v>View Full Record in Web of Science</v>
      </c>
    </row>
    <row r="409" spans="1:72" x14ac:dyDescent="0.15">
      <c r="A409" t="s">
        <v>72</v>
      </c>
      <c r="B409" t="s">
        <v>7699</v>
      </c>
      <c r="C409" t="s">
        <v>74</v>
      </c>
      <c r="D409" t="s">
        <v>74</v>
      </c>
      <c r="E409" t="s">
        <v>74</v>
      </c>
      <c r="F409" t="s">
        <v>7700</v>
      </c>
      <c r="G409" t="s">
        <v>74</v>
      </c>
      <c r="H409" t="s">
        <v>74</v>
      </c>
      <c r="I409" t="s">
        <v>7701</v>
      </c>
      <c r="J409" t="s">
        <v>5300</v>
      </c>
      <c r="K409" t="s">
        <v>74</v>
      </c>
      <c r="L409" t="s">
        <v>74</v>
      </c>
      <c r="M409" t="s">
        <v>78</v>
      </c>
      <c r="N409" t="s">
        <v>79</v>
      </c>
      <c r="O409" t="s">
        <v>74</v>
      </c>
      <c r="P409" t="s">
        <v>74</v>
      </c>
      <c r="Q409" t="s">
        <v>74</v>
      </c>
      <c r="R409" t="s">
        <v>74</v>
      </c>
      <c r="S409" t="s">
        <v>74</v>
      </c>
      <c r="T409" t="s">
        <v>74</v>
      </c>
      <c r="U409" t="s">
        <v>7702</v>
      </c>
      <c r="V409" t="s">
        <v>7703</v>
      </c>
      <c r="W409" t="s">
        <v>7704</v>
      </c>
      <c r="X409" t="s">
        <v>7705</v>
      </c>
      <c r="Y409" t="s">
        <v>7706</v>
      </c>
      <c r="Z409" t="s">
        <v>74</v>
      </c>
      <c r="AA409" t="s">
        <v>7707</v>
      </c>
      <c r="AB409" t="s">
        <v>7708</v>
      </c>
      <c r="AC409" t="s">
        <v>7709</v>
      </c>
      <c r="AD409" t="s">
        <v>2753</v>
      </c>
      <c r="AE409" t="s">
        <v>7710</v>
      </c>
      <c r="AF409" t="s">
        <v>74</v>
      </c>
      <c r="AG409">
        <v>30</v>
      </c>
      <c r="AH409">
        <v>29</v>
      </c>
      <c r="AI409">
        <v>30</v>
      </c>
      <c r="AJ409">
        <v>0</v>
      </c>
      <c r="AK409">
        <v>9</v>
      </c>
      <c r="AL409" t="s">
        <v>1712</v>
      </c>
      <c r="AM409" t="s">
        <v>1036</v>
      </c>
      <c r="AN409" t="s">
        <v>1713</v>
      </c>
      <c r="AO409" t="s">
        <v>5311</v>
      </c>
      <c r="AP409" t="s">
        <v>74</v>
      </c>
      <c r="AQ409" t="s">
        <v>74</v>
      </c>
      <c r="AR409" t="s">
        <v>5300</v>
      </c>
      <c r="AS409" t="s">
        <v>131</v>
      </c>
      <c r="AT409" t="s">
        <v>7032</v>
      </c>
      <c r="AU409">
        <v>2011</v>
      </c>
      <c r="AV409">
        <v>39</v>
      </c>
      <c r="AW409">
        <v>6</v>
      </c>
      <c r="AX409" t="s">
        <v>74</v>
      </c>
      <c r="AY409" t="s">
        <v>74</v>
      </c>
      <c r="AZ409" t="s">
        <v>74</v>
      </c>
      <c r="BA409" t="s">
        <v>74</v>
      </c>
      <c r="BB409">
        <v>567</v>
      </c>
      <c r="BC409">
        <v>570</v>
      </c>
      <c r="BD409" t="s">
        <v>74</v>
      </c>
      <c r="BE409" t="s">
        <v>7711</v>
      </c>
      <c r="BF409" t="str">
        <f>HYPERLINK("http://dx.doi.org/10.1130/G31866.1","http://dx.doi.org/10.1130/G31866.1")</f>
        <v>http://dx.doi.org/10.1130/G31866.1</v>
      </c>
      <c r="BG409" t="s">
        <v>74</v>
      </c>
      <c r="BH409" t="s">
        <v>74</v>
      </c>
      <c r="BI409">
        <v>4</v>
      </c>
      <c r="BJ409" t="s">
        <v>131</v>
      </c>
      <c r="BK409" t="s">
        <v>100</v>
      </c>
      <c r="BL409" t="s">
        <v>131</v>
      </c>
      <c r="BM409" t="s">
        <v>7712</v>
      </c>
      <c r="BN409" t="s">
        <v>74</v>
      </c>
      <c r="BO409" t="s">
        <v>74</v>
      </c>
      <c r="BP409" t="s">
        <v>74</v>
      </c>
      <c r="BQ409" t="s">
        <v>74</v>
      </c>
      <c r="BR409" t="s">
        <v>103</v>
      </c>
      <c r="BS409" t="s">
        <v>7713</v>
      </c>
      <c r="BT409" t="str">
        <f>HYPERLINK("https%3A%2F%2Fwww.webofscience.com%2Fwos%2Fwoscc%2Ffull-record%2FWOS:000291096300014","View Full Record in Web of Science")</f>
        <v>View Full Record in Web of Science</v>
      </c>
    </row>
    <row r="410" spans="1:72" x14ac:dyDescent="0.15">
      <c r="A410" t="s">
        <v>72</v>
      </c>
      <c r="B410" t="s">
        <v>7714</v>
      </c>
      <c r="C410" t="s">
        <v>74</v>
      </c>
      <c r="D410" t="s">
        <v>74</v>
      </c>
      <c r="E410" t="s">
        <v>74</v>
      </c>
      <c r="F410" t="s">
        <v>7715</v>
      </c>
      <c r="G410" t="s">
        <v>74</v>
      </c>
      <c r="H410" t="s">
        <v>74</v>
      </c>
      <c r="I410" t="s">
        <v>7716</v>
      </c>
      <c r="J410" t="s">
        <v>617</v>
      </c>
      <c r="K410" t="s">
        <v>74</v>
      </c>
      <c r="L410" t="s">
        <v>74</v>
      </c>
      <c r="M410" t="s">
        <v>78</v>
      </c>
      <c r="N410" t="s">
        <v>79</v>
      </c>
      <c r="O410" t="s">
        <v>74</v>
      </c>
      <c r="P410" t="s">
        <v>74</v>
      </c>
      <c r="Q410" t="s">
        <v>74</v>
      </c>
      <c r="R410" t="s">
        <v>74</v>
      </c>
      <c r="S410" t="s">
        <v>74</v>
      </c>
      <c r="T410" t="s">
        <v>74</v>
      </c>
      <c r="U410" t="s">
        <v>7717</v>
      </c>
      <c r="V410" t="s">
        <v>7718</v>
      </c>
      <c r="W410" t="s">
        <v>7719</v>
      </c>
      <c r="X410" t="s">
        <v>7720</v>
      </c>
      <c r="Y410" t="s">
        <v>7721</v>
      </c>
      <c r="Z410" t="s">
        <v>74</v>
      </c>
      <c r="AA410" t="s">
        <v>7722</v>
      </c>
      <c r="AB410" t="s">
        <v>7723</v>
      </c>
      <c r="AC410" t="s">
        <v>7724</v>
      </c>
      <c r="AD410" t="s">
        <v>7725</v>
      </c>
      <c r="AE410" t="s">
        <v>7726</v>
      </c>
      <c r="AF410" t="s">
        <v>74</v>
      </c>
      <c r="AG410">
        <v>21</v>
      </c>
      <c r="AH410">
        <v>6</v>
      </c>
      <c r="AI410">
        <v>6</v>
      </c>
      <c r="AJ410">
        <v>0</v>
      </c>
      <c r="AK410">
        <v>2</v>
      </c>
      <c r="AL410" t="s">
        <v>624</v>
      </c>
      <c r="AM410" t="s">
        <v>91</v>
      </c>
      <c r="AN410" t="s">
        <v>625</v>
      </c>
      <c r="AO410" t="s">
        <v>626</v>
      </c>
      <c r="AP410" t="s">
        <v>74</v>
      </c>
      <c r="AQ410" t="s">
        <v>74</v>
      </c>
      <c r="AR410" t="s">
        <v>627</v>
      </c>
      <c r="AS410" t="s">
        <v>628</v>
      </c>
      <c r="AT410" t="s">
        <v>7032</v>
      </c>
      <c r="AU410">
        <v>2011</v>
      </c>
      <c r="AV410">
        <v>51</v>
      </c>
      <c r="AW410">
        <v>3</v>
      </c>
      <c r="AX410" t="s">
        <v>74</v>
      </c>
      <c r="AY410" t="s">
        <v>74</v>
      </c>
      <c r="AZ410" t="s">
        <v>74</v>
      </c>
      <c r="BA410" t="s">
        <v>74</v>
      </c>
      <c r="BB410">
        <v>383</v>
      </c>
      <c r="BC410">
        <v>393</v>
      </c>
      <c r="BD410" t="s">
        <v>74</v>
      </c>
      <c r="BE410" t="s">
        <v>7727</v>
      </c>
      <c r="BF410" t="str">
        <f>HYPERLINK("http://dx.doi.org/10.1134/S0016793211030121","http://dx.doi.org/10.1134/S0016793211030121")</f>
        <v>http://dx.doi.org/10.1134/S0016793211030121</v>
      </c>
      <c r="BG410" t="s">
        <v>74</v>
      </c>
      <c r="BH410" t="s">
        <v>74</v>
      </c>
      <c r="BI410">
        <v>11</v>
      </c>
      <c r="BJ410" t="s">
        <v>488</v>
      </c>
      <c r="BK410" t="s">
        <v>100</v>
      </c>
      <c r="BL410" t="s">
        <v>488</v>
      </c>
      <c r="BM410" t="s">
        <v>7728</v>
      </c>
      <c r="BN410" t="s">
        <v>74</v>
      </c>
      <c r="BO410" t="s">
        <v>74</v>
      </c>
      <c r="BP410" t="s">
        <v>74</v>
      </c>
      <c r="BQ410" t="s">
        <v>74</v>
      </c>
      <c r="BR410" t="s">
        <v>103</v>
      </c>
      <c r="BS410" t="s">
        <v>7729</v>
      </c>
      <c r="BT410" t="str">
        <f>HYPERLINK("https%3A%2F%2Fwww.webofscience.com%2Fwos%2Fwoscc%2Ffull-record%2FWOS:000291394900011","View Full Record in Web of Science")</f>
        <v>View Full Record in Web of Science</v>
      </c>
    </row>
    <row r="411" spans="1:72" x14ac:dyDescent="0.15">
      <c r="A411" t="s">
        <v>72</v>
      </c>
      <c r="B411" t="s">
        <v>7730</v>
      </c>
      <c r="C411" t="s">
        <v>74</v>
      </c>
      <c r="D411" t="s">
        <v>74</v>
      </c>
      <c r="E411" t="s">
        <v>74</v>
      </c>
      <c r="F411" t="s">
        <v>7731</v>
      </c>
      <c r="G411" t="s">
        <v>74</v>
      </c>
      <c r="H411" t="s">
        <v>74</v>
      </c>
      <c r="I411" t="s">
        <v>7732</v>
      </c>
      <c r="J411" t="s">
        <v>617</v>
      </c>
      <c r="K411" t="s">
        <v>74</v>
      </c>
      <c r="L411" t="s">
        <v>74</v>
      </c>
      <c r="M411" t="s">
        <v>78</v>
      </c>
      <c r="N411" t="s">
        <v>79</v>
      </c>
      <c r="O411" t="s">
        <v>74</v>
      </c>
      <c r="P411" t="s">
        <v>74</v>
      </c>
      <c r="Q411" t="s">
        <v>74</v>
      </c>
      <c r="R411" t="s">
        <v>74</v>
      </c>
      <c r="S411" t="s">
        <v>74</v>
      </c>
      <c r="T411" t="s">
        <v>74</v>
      </c>
      <c r="U411" t="s">
        <v>7733</v>
      </c>
      <c r="V411" t="s">
        <v>7734</v>
      </c>
      <c r="W411" t="s">
        <v>7735</v>
      </c>
      <c r="X411" t="s">
        <v>7736</v>
      </c>
      <c r="Y411" t="s">
        <v>7737</v>
      </c>
      <c r="Z411" t="s">
        <v>74</v>
      </c>
      <c r="AA411" t="s">
        <v>7738</v>
      </c>
      <c r="AB411" t="s">
        <v>74</v>
      </c>
      <c r="AC411" t="s">
        <v>74</v>
      </c>
      <c r="AD411" t="s">
        <v>74</v>
      </c>
      <c r="AE411" t="s">
        <v>74</v>
      </c>
      <c r="AF411" t="s">
        <v>74</v>
      </c>
      <c r="AG411">
        <v>32</v>
      </c>
      <c r="AH411">
        <v>1</v>
      </c>
      <c r="AI411">
        <v>1</v>
      </c>
      <c r="AJ411">
        <v>0</v>
      </c>
      <c r="AK411">
        <v>7</v>
      </c>
      <c r="AL411" t="s">
        <v>624</v>
      </c>
      <c r="AM411" t="s">
        <v>91</v>
      </c>
      <c r="AN411" t="s">
        <v>625</v>
      </c>
      <c r="AO411" t="s">
        <v>626</v>
      </c>
      <c r="AP411" t="s">
        <v>74</v>
      </c>
      <c r="AQ411" t="s">
        <v>74</v>
      </c>
      <c r="AR411" t="s">
        <v>627</v>
      </c>
      <c r="AS411" t="s">
        <v>628</v>
      </c>
      <c r="AT411" t="s">
        <v>7032</v>
      </c>
      <c r="AU411">
        <v>2011</v>
      </c>
      <c r="AV411">
        <v>51</v>
      </c>
      <c r="AW411">
        <v>3</v>
      </c>
      <c r="AX411" t="s">
        <v>74</v>
      </c>
      <c r="AY411" t="s">
        <v>74</v>
      </c>
      <c r="AZ411" t="s">
        <v>74</v>
      </c>
      <c r="BA411" t="s">
        <v>74</v>
      </c>
      <c r="BB411">
        <v>421</v>
      </c>
      <c r="BC411">
        <v>428</v>
      </c>
      <c r="BD411" t="s">
        <v>74</v>
      </c>
      <c r="BE411" t="s">
        <v>7739</v>
      </c>
      <c r="BF411" t="str">
        <f>HYPERLINK("http://dx.doi.org/10.1134/S0016793211020113","http://dx.doi.org/10.1134/S0016793211020113")</f>
        <v>http://dx.doi.org/10.1134/S0016793211020113</v>
      </c>
      <c r="BG411" t="s">
        <v>74</v>
      </c>
      <c r="BH411" t="s">
        <v>74</v>
      </c>
      <c r="BI411">
        <v>8</v>
      </c>
      <c r="BJ411" t="s">
        <v>488</v>
      </c>
      <c r="BK411" t="s">
        <v>100</v>
      </c>
      <c r="BL411" t="s">
        <v>488</v>
      </c>
      <c r="BM411" t="s">
        <v>7728</v>
      </c>
      <c r="BN411" t="s">
        <v>74</v>
      </c>
      <c r="BO411" t="s">
        <v>1025</v>
      </c>
      <c r="BP411" t="s">
        <v>74</v>
      </c>
      <c r="BQ411" t="s">
        <v>74</v>
      </c>
      <c r="BR411" t="s">
        <v>103</v>
      </c>
      <c r="BS411" t="s">
        <v>7740</v>
      </c>
      <c r="BT411" t="str">
        <f>HYPERLINK("https%3A%2F%2Fwww.webofscience.com%2Fwos%2Fwoscc%2Ffull-record%2FWOS:000291394900016","View Full Record in Web of Science")</f>
        <v>View Full Record in Web of Science</v>
      </c>
    </row>
    <row r="412" spans="1:72" x14ac:dyDescent="0.15">
      <c r="A412" t="s">
        <v>72</v>
      </c>
      <c r="B412" t="s">
        <v>7741</v>
      </c>
      <c r="C412" t="s">
        <v>74</v>
      </c>
      <c r="D412" t="s">
        <v>74</v>
      </c>
      <c r="E412" t="s">
        <v>74</v>
      </c>
      <c r="F412" t="s">
        <v>7742</v>
      </c>
      <c r="G412" t="s">
        <v>74</v>
      </c>
      <c r="H412" t="s">
        <v>74</v>
      </c>
      <c r="I412" t="s">
        <v>7743</v>
      </c>
      <c r="J412" t="s">
        <v>1701</v>
      </c>
      <c r="K412" t="s">
        <v>74</v>
      </c>
      <c r="L412" t="s">
        <v>74</v>
      </c>
      <c r="M412" t="s">
        <v>78</v>
      </c>
      <c r="N412" t="s">
        <v>79</v>
      </c>
      <c r="O412" t="s">
        <v>74</v>
      </c>
      <c r="P412" t="s">
        <v>74</v>
      </c>
      <c r="Q412" t="s">
        <v>74</v>
      </c>
      <c r="R412" t="s">
        <v>74</v>
      </c>
      <c r="S412" t="s">
        <v>74</v>
      </c>
      <c r="T412" t="s">
        <v>74</v>
      </c>
      <c r="U412" t="s">
        <v>7744</v>
      </c>
      <c r="V412" t="s">
        <v>7745</v>
      </c>
      <c r="W412" t="s">
        <v>7746</v>
      </c>
      <c r="X412" t="s">
        <v>7747</v>
      </c>
      <c r="Y412" t="s">
        <v>7748</v>
      </c>
      <c r="Z412" t="s">
        <v>74</v>
      </c>
      <c r="AA412" t="s">
        <v>74</v>
      </c>
      <c r="AB412" t="s">
        <v>7749</v>
      </c>
      <c r="AC412" t="s">
        <v>74</v>
      </c>
      <c r="AD412" t="s">
        <v>74</v>
      </c>
      <c r="AE412" t="s">
        <v>74</v>
      </c>
      <c r="AF412" t="s">
        <v>74</v>
      </c>
      <c r="AG412">
        <v>68</v>
      </c>
      <c r="AH412">
        <v>13</v>
      </c>
      <c r="AI412">
        <v>15</v>
      </c>
      <c r="AJ412">
        <v>2</v>
      </c>
      <c r="AK412">
        <v>11</v>
      </c>
      <c r="AL412" t="s">
        <v>1712</v>
      </c>
      <c r="AM412" t="s">
        <v>1036</v>
      </c>
      <c r="AN412" t="s">
        <v>1713</v>
      </c>
      <c r="AO412" t="s">
        <v>1714</v>
      </c>
      <c r="AP412" t="s">
        <v>74</v>
      </c>
      <c r="AQ412" t="s">
        <v>74</v>
      </c>
      <c r="AR412" t="s">
        <v>1701</v>
      </c>
      <c r="AS412" t="s">
        <v>1715</v>
      </c>
      <c r="AT412" t="s">
        <v>7032</v>
      </c>
      <c r="AU412">
        <v>2011</v>
      </c>
      <c r="AV412">
        <v>7</v>
      </c>
      <c r="AW412">
        <v>3</v>
      </c>
      <c r="AX412" t="s">
        <v>74</v>
      </c>
      <c r="AY412" t="s">
        <v>74</v>
      </c>
      <c r="AZ412" t="s">
        <v>74</v>
      </c>
      <c r="BA412" t="s">
        <v>74</v>
      </c>
      <c r="BB412">
        <v>629</v>
      </c>
      <c r="BC412">
        <v>657</v>
      </c>
      <c r="BD412" t="s">
        <v>74</v>
      </c>
      <c r="BE412" t="s">
        <v>7750</v>
      </c>
      <c r="BF412" t="str">
        <f>HYPERLINK("http://dx.doi.org/10.1130/GES00625.1","http://dx.doi.org/10.1130/GES00625.1")</f>
        <v>http://dx.doi.org/10.1130/GES00625.1</v>
      </c>
      <c r="BG412" t="s">
        <v>74</v>
      </c>
      <c r="BH412" t="s">
        <v>74</v>
      </c>
      <c r="BI412">
        <v>29</v>
      </c>
      <c r="BJ412" t="s">
        <v>130</v>
      </c>
      <c r="BK412" t="s">
        <v>100</v>
      </c>
      <c r="BL412" t="s">
        <v>131</v>
      </c>
      <c r="BM412" t="s">
        <v>7751</v>
      </c>
      <c r="BN412" t="s">
        <v>74</v>
      </c>
      <c r="BO412" t="s">
        <v>152</v>
      </c>
      <c r="BP412" t="s">
        <v>74</v>
      </c>
      <c r="BQ412" t="s">
        <v>74</v>
      </c>
      <c r="BR412" t="s">
        <v>103</v>
      </c>
      <c r="BS412" t="s">
        <v>7752</v>
      </c>
      <c r="BT412" t="str">
        <f>HYPERLINK("https%3A%2F%2Fwww.webofscience.com%2Fwos%2Fwoscc%2Ffull-record%2FWOS:000291208700003","View Full Record in Web of Science")</f>
        <v>View Full Record in Web of Science</v>
      </c>
    </row>
    <row r="413" spans="1:72" x14ac:dyDescent="0.15">
      <c r="A413" t="s">
        <v>72</v>
      </c>
      <c r="B413" t="s">
        <v>7753</v>
      </c>
      <c r="C413" t="s">
        <v>74</v>
      </c>
      <c r="D413" t="s">
        <v>74</v>
      </c>
      <c r="E413" t="s">
        <v>74</v>
      </c>
      <c r="F413" t="s">
        <v>7754</v>
      </c>
      <c r="G413" t="s">
        <v>74</v>
      </c>
      <c r="H413" t="s">
        <v>74</v>
      </c>
      <c r="I413" t="s">
        <v>7755</v>
      </c>
      <c r="J413" t="s">
        <v>7756</v>
      </c>
      <c r="K413" t="s">
        <v>74</v>
      </c>
      <c r="L413" t="s">
        <v>74</v>
      </c>
      <c r="M413" t="s">
        <v>78</v>
      </c>
      <c r="N413" t="s">
        <v>79</v>
      </c>
      <c r="O413" t="s">
        <v>74</v>
      </c>
      <c r="P413" t="s">
        <v>74</v>
      </c>
      <c r="Q413" t="s">
        <v>74</v>
      </c>
      <c r="R413" t="s">
        <v>74</v>
      </c>
      <c r="S413" t="s">
        <v>74</v>
      </c>
      <c r="T413" t="s">
        <v>7757</v>
      </c>
      <c r="U413" t="s">
        <v>7758</v>
      </c>
      <c r="V413" t="s">
        <v>7759</v>
      </c>
      <c r="W413" t="s">
        <v>7760</v>
      </c>
      <c r="X413" t="s">
        <v>7761</v>
      </c>
      <c r="Y413" t="s">
        <v>7762</v>
      </c>
      <c r="Z413" t="s">
        <v>7763</v>
      </c>
      <c r="AA413" t="s">
        <v>7764</v>
      </c>
      <c r="AB413" t="s">
        <v>7765</v>
      </c>
      <c r="AC413" t="s">
        <v>7766</v>
      </c>
      <c r="AD413" t="s">
        <v>7767</v>
      </c>
      <c r="AE413" t="s">
        <v>7768</v>
      </c>
      <c r="AF413" t="s">
        <v>74</v>
      </c>
      <c r="AG413">
        <v>30</v>
      </c>
      <c r="AH413">
        <v>36</v>
      </c>
      <c r="AI413">
        <v>40</v>
      </c>
      <c r="AJ413">
        <v>0</v>
      </c>
      <c r="AK413">
        <v>29</v>
      </c>
      <c r="AL413" t="s">
        <v>1441</v>
      </c>
      <c r="AM413" t="s">
        <v>91</v>
      </c>
      <c r="AN413" t="s">
        <v>1595</v>
      </c>
      <c r="AO413" t="s">
        <v>7769</v>
      </c>
      <c r="AP413" t="s">
        <v>7770</v>
      </c>
      <c r="AQ413" t="s">
        <v>74</v>
      </c>
      <c r="AR413" t="s">
        <v>7771</v>
      </c>
      <c r="AS413" t="s">
        <v>7772</v>
      </c>
      <c r="AT413" t="s">
        <v>7032</v>
      </c>
      <c r="AU413">
        <v>2011</v>
      </c>
      <c r="AV413">
        <v>13</v>
      </c>
      <c r="AW413">
        <v>3</v>
      </c>
      <c r="AX413" t="s">
        <v>74</v>
      </c>
      <c r="AY413" t="s">
        <v>74</v>
      </c>
      <c r="AZ413" t="s">
        <v>74</v>
      </c>
      <c r="BA413" t="s">
        <v>74</v>
      </c>
      <c r="BB413">
        <v>393</v>
      </c>
      <c r="BC413">
        <v>401</v>
      </c>
      <c r="BD413" t="s">
        <v>74</v>
      </c>
      <c r="BE413" t="s">
        <v>7773</v>
      </c>
      <c r="BF413" t="str">
        <f>HYPERLINK("http://dx.doi.org/10.1007/s10126-010-9309-8","http://dx.doi.org/10.1007/s10126-010-9309-8")</f>
        <v>http://dx.doi.org/10.1007/s10126-010-9309-8</v>
      </c>
      <c r="BG413" t="s">
        <v>74</v>
      </c>
      <c r="BH413" t="s">
        <v>74</v>
      </c>
      <c r="BI413">
        <v>9</v>
      </c>
      <c r="BJ413" t="s">
        <v>7774</v>
      </c>
      <c r="BK413" t="s">
        <v>100</v>
      </c>
      <c r="BL413" t="s">
        <v>7774</v>
      </c>
      <c r="BM413" t="s">
        <v>7775</v>
      </c>
      <c r="BN413">
        <v>20668899</v>
      </c>
      <c r="BO413" t="s">
        <v>74</v>
      </c>
      <c r="BP413" t="s">
        <v>74</v>
      </c>
      <c r="BQ413" t="s">
        <v>74</v>
      </c>
      <c r="BR413" t="s">
        <v>103</v>
      </c>
      <c r="BS413" t="s">
        <v>7776</v>
      </c>
      <c r="BT413" t="str">
        <f>HYPERLINK("https%3A%2F%2Fwww.webofscience.com%2Fwos%2Fwoscc%2Ffull-record%2FWOS:000291168500005","View Full Record in Web of Science")</f>
        <v>View Full Record in Web of Science</v>
      </c>
    </row>
    <row r="414" spans="1:72" x14ac:dyDescent="0.15">
      <c r="A414" t="s">
        <v>72</v>
      </c>
      <c r="B414" t="s">
        <v>7777</v>
      </c>
      <c r="C414" t="s">
        <v>74</v>
      </c>
      <c r="D414" t="s">
        <v>74</v>
      </c>
      <c r="E414" t="s">
        <v>74</v>
      </c>
      <c r="F414" t="s">
        <v>7778</v>
      </c>
      <c r="G414" t="s">
        <v>74</v>
      </c>
      <c r="H414" t="s">
        <v>74</v>
      </c>
      <c r="I414" t="s">
        <v>7779</v>
      </c>
      <c r="J414" t="s">
        <v>7780</v>
      </c>
      <c r="K414" t="s">
        <v>74</v>
      </c>
      <c r="L414" t="s">
        <v>74</v>
      </c>
      <c r="M414" t="s">
        <v>78</v>
      </c>
      <c r="N414" t="s">
        <v>79</v>
      </c>
      <c r="O414" t="s">
        <v>74</v>
      </c>
      <c r="P414" t="s">
        <v>74</v>
      </c>
      <c r="Q414" t="s">
        <v>74</v>
      </c>
      <c r="R414" t="s">
        <v>74</v>
      </c>
      <c r="S414" t="s">
        <v>74</v>
      </c>
      <c r="T414" t="s">
        <v>74</v>
      </c>
      <c r="U414" t="s">
        <v>7781</v>
      </c>
      <c r="V414" t="s">
        <v>7782</v>
      </c>
      <c r="W414" t="s">
        <v>7783</v>
      </c>
      <c r="X414" t="s">
        <v>7784</v>
      </c>
      <c r="Y414" t="s">
        <v>7785</v>
      </c>
      <c r="Z414" t="s">
        <v>7786</v>
      </c>
      <c r="AA414" t="s">
        <v>7787</v>
      </c>
      <c r="AB414" t="s">
        <v>7788</v>
      </c>
      <c r="AC414" t="s">
        <v>7789</v>
      </c>
      <c r="AD414" t="s">
        <v>7790</v>
      </c>
      <c r="AE414" t="s">
        <v>7791</v>
      </c>
      <c r="AF414" t="s">
        <v>74</v>
      </c>
      <c r="AG414">
        <v>59</v>
      </c>
      <c r="AH414">
        <v>18</v>
      </c>
      <c r="AI414">
        <v>18</v>
      </c>
      <c r="AJ414">
        <v>1</v>
      </c>
      <c r="AK414">
        <v>7</v>
      </c>
      <c r="AL414" t="s">
        <v>7792</v>
      </c>
      <c r="AM414" t="s">
        <v>7793</v>
      </c>
      <c r="AN414" t="s">
        <v>7794</v>
      </c>
      <c r="AO414" t="s">
        <v>7795</v>
      </c>
      <c r="AP414" t="s">
        <v>7796</v>
      </c>
      <c r="AQ414" t="s">
        <v>74</v>
      </c>
      <c r="AR414" t="s">
        <v>7797</v>
      </c>
      <c r="AS414" t="s">
        <v>7798</v>
      </c>
      <c r="AT414" t="s">
        <v>7032</v>
      </c>
      <c r="AU414">
        <v>2011</v>
      </c>
      <c r="AV414">
        <v>10</v>
      </c>
      <c r="AW414">
        <v>6</v>
      </c>
      <c r="AX414" t="s">
        <v>74</v>
      </c>
      <c r="AY414" t="s">
        <v>74</v>
      </c>
      <c r="AZ414" t="s">
        <v>74</v>
      </c>
      <c r="BA414" t="s">
        <v>74</v>
      </c>
      <c r="BB414" t="s">
        <v>74</v>
      </c>
      <c r="BC414" t="s">
        <v>74</v>
      </c>
      <c r="BD414" t="s">
        <v>74</v>
      </c>
      <c r="BE414" t="s">
        <v>7799</v>
      </c>
      <c r="BF414" t="str">
        <f>HYPERLINK("http://dx.doi.org/10.1074/mcp.M110.004549","http://dx.doi.org/10.1074/mcp.M110.004549")</f>
        <v>http://dx.doi.org/10.1074/mcp.M110.004549</v>
      </c>
      <c r="BG414" t="s">
        <v>74</v>
      </c>
      <c r="BH414" t="s">
        <v>74</v>
      </c>
      <c r="BI414">
        <v>8</v>
      </c>
      <c r="BJ414" t="s">
        <v>7800</v>
      </c>
      <c r="BK414" t="s">
        <v>100</v>
      </c>
      <c r="BL414" t="s">
        <v>2949</v>
      </c>
      <c r="BM414" t="s">
        <v>7801</v>
      </c>
      <c r="BN414">
        <v>21447709</v>
      </c>
      <c r="BO414" t="s">
        <v>2678</v>
      </c>
      <c r="BP414" t="s">
        <v>74</v>
      </c>
      <c r="BQ414" t="s">
        <v>74</v>
      </c>
      <c r="BR414" t="s">
        <v>103</v>
      </c>
      <c r="BS414" t="s">
        <v>7802</v>
      </c>
      <c r="BT414" t="str">
        <f>HYPERLINK("https%3A%2F%2Fwww.webofscience.com%2Fwos%2Fwoscc%2Ffull-record%2FWOS:000291204700007","View Full Record in Web of Science")</f>
        <v>View Full Record in Web of Science</v>
      </c>
    </row>
    <row r="415" spans="1:72" x14ac:dyDescent="0.15">
      <c r="A415" t="s">
        <v>72</v>
      </c>
      <c r="B415" t="s">
        <v>7803</v>
      </c>
      <c r="C415" t="s">
        <v>74</v>
      </c>
      <c r="D415" t="s">
        <v>74</v>
      </c>
      <c r="E415" t="s">
        <v>74</v>
      </c>
      <c r="F415" t="s">
        <v>7804</v>
      </c>
      <c r="G415" t="s">
        <v>74</v>
      </c>
      <c r="H415" t="s">
        <v>74</v>
      </c>
      <c r="I415" t="s">
        <v>7805</v>
      </c>
      <c r="J415" t="s">
        <v>2565</v>
      </c>
      <c r="K415" t="s">
        <v>74</v>
      </c>
      <c r="L415" t="s">
        <v>74</v>
      </c>
      <c r="M415" t="s">
        <v>78</v>
      </c>
      <c r="N415" t="s">
        <v>79</v>
      </c>
      <c r="O415" t="s">
        <v>74</v>
      </c>
      <c r="P415" t="s">
        <v>74</v>
      </c>
      <c r="Q415" t="s">
        <v>74</v>
      </c>
      <c r="R415" t="s">
        <v>74</v>
      </c>
      <c r="S415" t="s">
        <v>74</v>
      </c>
      <c r="T415" t="s">
        <v>74</v>
      </c>
      <c r="U415" t="s">
        <v>7806</v>
      </c>
      <c r="V415" t="s">
        <v>7807</v>
      </c>
      <c r="W415" t="s">
        <v>7808</v>
      </c>
      <c r="X415" t="s">
        <v>7809</v>
      </c>
      <c r="Y415" t="s">
        <v>7810</v>
      </c>
      <c r="Z415" t="s">
        <v>7811</v>
      </c>
      <c r="AA415" t="s">
        <v>4713</v>
      </c>
      <c r="AB415" t="s">
        <v>4714</v>
      </c>
      <c r="AC415" t="s">
        <v>7812</v>
      </c>
      <c r="AD415" t="s">
        <v>7813</v>
      </c>
      <c r="AE415" t="s">
        <v>7814</v>
      </c>
      <c r="AF415" t="s">
        <v>74</v>
      </c>
      <c r="AG415">
        <v>30</v>
      </c>
      <c r="AH415">
        <v>95</v>
      </c>
      <c r="AI415">
        <v>117</v>
      </c>
      <c r="AJ415">
        <v>0</v>
      </c>
      <c r="AK415">
        <v>62</v>
      </c>
      <c r="AL415" t="s">
        <v>2577</v>
      </c>
      <c r="AM415" t="s">
        <v>91</v>
      </c>
      <c r="AN415" t="s">
        <v>2578</v>
      </c>
      <c r="AO415" t="s">
        <v>2579</v>
      </c>
      <c r="AP415" t="s">
        <v>74</v>
      </c>
      <c r="AQ415" t="s">
        <v>74</v>
      </c>
      <c r="AR415" t="s">
        <v>2581</v>
      </c>
      <c r="AS415" t="s">
        <v>2582</v>
      </c>
      <c r="AT415" t="s">
        <v>7032</v>
      </c>
      <c r="AU415">
        <v>2011</v>
      </c>
      <c r="AV415">
        <v>4</v>
      </c>
      <c r="AW415">
        <v>6</v>
      </c>
      <c r="AX415" t="s">
        <v>74</v>
      </c>
      <c r="AY415" t="s">
        <v>74</v>
      </c>
      <c r="AZ415" t="s">
        <v>74</v>
      </c>
      <c r="BA415" t="s">
        <v>74</v>
      </c>
      <c r="BB415">
        <v>363</v>
      </c>
      <c r="BC415">
        <v>366</v>
      </c>
      <c r="BD415" t="s">
        <v>74</v>
      </c>
      <c r="BE415" t="s">
        <v>7815</v>
      </c>
      <c r="BF415" t="str">
        <f>HYPERLINK("http://dx.doi.org/10.1038/NGEO1156","http://dx.doi.org/10.1038/NGEO1156")</f>
        <v>http://dx.doi.org/10.1038/NGEO1156</v>
      </c>
      <c r="BG415" t="s">
        <v>74</v>
      </c>
      <c r="BH415" t="s">
        <v>74</v>
      </c>
      <c r="BI415">
        <v>4</v>
      </c>
      <c r="BJ415" t="s">
        <v>130</v>
      </c>
      <c r="BK415" t="s">
        <v>100</v>
      </c>
      <c r="BL415" t="s">
        <v>131</v>
      </c>
      <c r="BM415" t="s">
        <v>7816</v>
      </c>
      <c r="BN415" t="s">
        <v>74</v>
      </c>
      <c r="BO415" t="s">
        <v>74</v>
      </c>
      <c r="BP415" t="s">
        <v>74</v>
      </c>
      <c r="BQ415" t="s">
        <v>74</v>
      </c>
      <c r="BR415" t="s">
        <v>103</v>
      </c>
      <c r="BS415" t="s">
        <v>7817</v>
      </c>
      <c r="BT415" t="str">
        <f>HYPERLINK("https%3A%2F%2Fwww.webofscience.com%2Fwos%2Fwoscc%2Ffull-record%2FWOS:000291089200013","View Full Record in Web of Science")</f>
        <v>View Full Record in Web of Science</v>
      </c>
    </row>
    <row r="416" spans="1:72" x14ac:dyDescent="0.15">
      <c r="A416" t="s">
        <v>72</v>
      </c>
      <c r="B416" t="s">
        <v>7818</v>
      </c>
      <c r="C416" t="s">
        <v>74</v>
      </c>
      <c r="D416" t="s">
        <v>74</v>
      </c>
      <c r="E416" t="s">
        <v>74</v>
      </c>
      <c r="F416" t="s">
        <v>7819</v>
      </c>
      <c r="G416" t="s">
        <v>74</v>
      </c>
      <c r="H416" t="s">
        <v>74</v>
      </c>
      <c r="I416" t="s">
        <v>7820</v>
      </c>
      <c r="J416" t="s">
        <v>2565</v>
      </c>
      <c r="K416" t="s">
        <v>74</v>
      </c>
      <c r="L416" t="s">
        <v>74</v>
      </c>
      <c r="M416" t="s">
        <v>78</v>
      </c>
      <c r="N416" t="s">
        <v>79</v>
      </c>
      <c r="O416" t="s">
        <v>74</v>
      </c>
      <c r="P416" t="s">
        <v>74</v>
      </c>
      <c r="Q416" t="s">
        <v>74</v>
      </c>
      <c r="R416" t="s">
        <v>74</v>
      </c>
      <c r="S416" t="s">
        <v>74</v>
      </c>
      <c r="T416" t="s">
        <v>74</v>
      </c>
      <c r="U416" t="s">
        <v>7821</v>
      </c>
      <c r="V416" t="s">
        <v>7822</v>
      </c>
      <c r="W416" t="s">
        <v>7823</v>
      </c>
      <c r="X416" t="s">
        <v>7824</v>
      </c>
      <c r="Y416" t="s">
        <v>7825</v>
      </c>
      <c r="Z416" t="s">
        <v>7826</v>
      </c>
      <c r="AA416" t="s">
        <v>7827</v>
      </c>
      <c r="AB416" t="s">
        <v>7828</v>
      </c>
      <c r="AC416" t="s">
        <v>7829</v>
      </c>
      <c r="AD416" t="s">
        <v>7830</v>
      </c>
      <c r="AE416" t="s">
        <v>7831</v>
      </c>
      <c r="AF416" t="s">
        <v>74</v>
      </c>
      <c r="AG416">
        <v>30</v>
      </c>
      <c r="AH416">
        <v>20</v>
      </c>
      <c r="AI416">
        <v>22</v>
      </c>
      <c r="AJ416">
        <v>1</v>
      </c>
      <c r="AK416">
        <v>26</v>
      </c>
      <c r="AL416" t="s">
        <v>3660</v>
      </c>
      <c r="AM416" t="s">
        <v>3661</v>
      </c>
      <c r="AN416" t="s">
        <v>3662</v>
      </c>
      <c r="AO416" t="s">
        <v>2579</v>
      </c>
      <c r="AP416" t="s">
        <v>2580</v>
      </c>
      <c r="AQ416" t="s">
        <v>74</v>
      </c>
      <c r="AR416" t="s">
        <v>2581</v>
      </c>
      <c r="AS416" t="s">
        <v>2582</v>
      </c>
      <c r="AT416" t="s">
        <v>7032</v>
      </c>
      <c r="AU416">
        <v>2011</v>
      </c>
      <c r="AV416">
        <v>4</v>
      </c>
      <c r="AW416">
        <v>6</v>
      </c>
      <c r="AX416" t="s">
        <v>74</v>
      </c>
      <c r="AY416" t="s">
        <v>74</v>
      </c>
      <c r="AZ416" t="s">
        <v>74</v>
      </c>
      <c r="BA416" t="s">
        <v>74</v>
      </c>
      <c r="BB416">
        <v>393</v>
      </c>
      <c r="BC416">
        <v>397</v>
      </c>
      <c r="BD416" t="s">
        <v>74</v>
      </c>
      <c r="BE416" t="s">
        <v>7832</v>
      </c>
      <c r="BF416" t="str">
        <f>HYPERLINK("http://dx.doi.org/10.1038/NGEO1121","http://dx.doi.org/10.1038/NGEO1121")</f>
        <v>http://dx.doi.org/10.1038/NGEO1121</v>
      </c>
      <c r="BG416" t="s">
        <v>74</v>
      </c>
      <c r="BH416" t="s">
        <v>74</v>
      </c>
      <c r="BI416">
        <v>5</v>
      </c>
      <c r="BJ416" t="s">
        <v>130</v>
      </c>
      <c r="BK416" t="s">
        <v>100</v>
      </c>
      <c r="BL416" t="s">
        <v>131</v>
      </c>
      <c r="BM416" t="s">
        <v>7816</v>
      </c>
      <c r="BN416" t="s">
        <v>74</v>
      </c>
      <c r="BO416" t="s">
        <v>273</v>
      </c>
      <c r="BP416" t="s">
        <v>74</v>
      </c>
      <c r="BQ416" t="s">
        <v>74</v>
      </c>
      <c r="BR416" t="s">
        <v>103</v>
      </c>
      <c r="BS416" t="s">
        <v>7833</v>
      </c>
      <c r="BT416" t="str">
        <f>HYPERLINK("https%3A%2F%2Fwww.webofscience.com%2Fwos%2Fwoscc%2Ffull-record%2FWOS:000291089200020","View Full Record in Web of Science")</f>
        <v>View Full Record in Web of Science</v>
      </c>
    </row>
    <row r="417" spans="1:72" x14ac:dyDescent="0.15">
      <c r="A417" t="s">
        <v>72</v>
      </c>
      <c r="B417" t="s">
        <v>7834</v>
      </c>
      <c r="C417" t="s">
        <v>74</v>
      </c>
      <c r="D417" t="s">
        <v>74</v>
      </c>
      <c r="E417" t="s">
        <v>74</v>
      </c>
      <c r="F417" t="s">
        <v>7835</v>
      </c>
      <c r="G417" t="s">
        <v>74</v>
      </c>
      <c r="H417" t="s">
        <v>74</v>
      </c>
      <c r="I417" t="s">
        <v>7836</v>
      </c>
      <c r="J417" t="s">
        <v>5885</v>
      </c>
      <c r="K417" t="s">
        <v>74</v>
      </c>
      <c r="L417" t="s">
        <v>74</v>
      </c>
      <c r="M417" t="s">
        <v>78</v>
      </c>
      <c r="N417" t="s">
        <v>79</v>
      </c>
      <c r="O417" t="s">
        <v>74</v>
      </c>
      <c r="P417" t="s">
        <v>74</v>
      </c>
      <c r="Q417" t="s">
        <v>74</v>
      </c>
      <c r="R417" t="s">
        <v>74</v>
      </c>
      <c r="S417" t="s">
        <v>74</v>
      </c>
      <c r="T417" t="s">
        <v>7837</v>
      </c>
      <c r="U417" t="s">
        <v>7838</v>
      </c>
      <c r="V417" t="s">
        <v>7839</v>
      </c>
      <c r="W417" t="s">
        <v>7840</v>
      </c>
      <c r="X417" t="s">
        <v>7841</v>
      </c>
      <c r="Y417" t="s">
        <v>7842</v>
      </c>
      <c r="Z417" t="s">
        <v>7843</v>
      </c>
      <c r="AA417" t="s">
        <v>7844</v>
      </c>
      <c r="AB417" t="s">
        <v>7845</v>
      </c>
      <c r="AC417" t="s">
        <v>7846</v>
      </c>
      <c r="AD417" t="s">
        <v>7846</v>
      </c>
      <c r="AE417" t="s">
        <v>7847</v>
      </c>
      <c r="AF417" t="s">
        <v>74</v>
      </c>
      <c r="AG417">
        <v>113</v>
      </c>
      <c r="AH417">
        <v>26</v>
      </c>
      <c r="AI417">
        <v>28</v>
      </c>
      <c r="AJ417">
        <v>0</v>
      </c>
      <c r="AK417">
        <v>15</v>
      </c>
      <c r="AL417" t="s">
        <v>308</v>
      </c>
      <c r="AM417" t="s">
        <v>309</v>
      </c>
      <c r="AN417" t="s">
        <v>310</v>
      </c>
      <c r="AO417" t="s">
        <v>5895</v>
      </c>
      <c r="AP417" t="s">
        <v>5896</v>
      </c>
      <c r="AQ417" t="s">
        <v>74</v>
      </c>
      <c r="AR417" t="s">
        <v>5897</v>
      </c>
      <c r="AS417" t="s">
        <v>5898</v>
      </c>
      <c r="AT417" t="s">
        <v>7343</v>
      </c>
      <c r="AU417">
        <v>2011</v>
      </c>
      <c r="AV417">
        <v>306</v>
      </c>
      <c r="AW417" t="s">
        <v>2154</v>
      </c>
      <c r="AX417" t="s">
        <v>74</v>
      </c>
      <c r="AY417" t="s">
        <v>74</v>
      </c>
      <c r="AZ417" t="s">
        <v>74</v>
      </c>
      <c r="BA417" t="s">
        <v>74</v>
      </c>
      <c r="BB417">
        <v>58</v>
      </c>
      <c r="BC417">
        <v>69</v>
      </c>
      <c r="BD417" t="s">
        <v>74</v>
      </c>
      <c r="BE417" t="s">
        <v>7848</v>
      </c>
      <c r="BF417" t="str">
        <f>HYPERLINK("http://dx.doi.org/10.1016/j.palaeo.2011.03.028","http://dx.doi.org/10.1016/j.palaeo.2011.03.028")</f>
        <v>http://dx.doi.org/10.1016/j.palaeo.2011.03.028</v>
      </c>
      <c r="BG417" t="s">
        <v>74</v>
      </c>
      <c r="BH417" t="s">
        <v>74</v>
      </c>
      <c r="BI417">
        <v>12</v>
      </c>
      <c r="BJ417" t="s">
        <v>5900</v>
      </c>
      <c r="BK417" t="s">
        <v>100</v>
      </c>
      <c r="BL417" t="s">
        <v>5901</v>
      </c>
      <c r="BM417" t="s">
        <v>7849</v>
      </c>
      <c r="BN417" t="s">
        <v>74</v>
      </c>
      <c r="BO417" t="s">
        <v>152</v>
      </c>
      <c r="BP417" t="s">
        <v>74</v>
      </c>
      <c r="BQ417" t="s">
        <v>74</v>
      </c>
      <c r="BR417" t="s">
        <v>103</v>
      </c>
      <c r="BS417" t="s">
        <v>7850</v>
      </c>
      <c r="BT417" t="str">
        <f>HYPERLINK("https%3A%2F%2Fwww.webofscience.com%2Fwos%2Fwoscc%2Ffull-record%2FWOS:000291336400005","View Full Record in Web of Science")</f>
        <v>View Full Record in Web of Science</v>
      </c>
    </row>
    <row r="418" spans="1:72" x14ac:dyDescent="0.15">
      <c r="A418" t="s">
        <v>72</v>
      </c>
      <c r="B418" t="s">
        <v>7851</v>
      </c>
      <c r="C418" t="s">
        <v>74</v>
      </c>
      <c r="D418" t="s">
        <v>74</v>
      </c>
      <c r="E418" t="s">
        <v>74</v>
      </c>
      <c r="F418" t="s">
        <v>7852</v>
      </c>
      <c r="G418" t="s">
        <v>74</v>
      </c>
      <c r="H418" t="s">
        <v>74</v>
      </c>
      <c r="I418" t="s">
        <v>7853</v>
      </c>
      <c r="J418" t="s">
        <v>157</v>
      </c>
      <c r="K418" t="s">
        <v>74</v>
      </c>
      <c r="L418" t="s">
        <v>74</v>
      </c>
      <c r="M418" t="s">
        <v>78</v>
      </c>
      <c r="N418" t="s">
        <v>79</v>
      </c>
      <c r="O418" t="s">
        <v>74</v>
      </c>
      <c r="P418" t="s">
        <v>74</v>
      </c>
      <c r="Q418" t="s">
        <v>74</v>
      </c>
      <c r="R418" t="s">
        <v>74</v>
      </c>
      <c r="S418" t="s">
        <v>74</v>
      </c>
      <c r="T418" t="s">
        <v>74</v>
      </c>
      <c r="U418" t="s">
        <v>7854</v>
      </c>
      <c r="V418" t="s">
        <v>7855</v>
      </c>
      <c r="W418" t="s">
        <v>7856</v>
      </c>
      <c r="X418" t="s">
        <v>7857</v>
      </c>
      <c r="Y418" t="s">
        <v>7858</v>
      </c>
      <c r="Z418" t="s">
        <v>7859</v>
      </c>
      <c r="AA418" t="s">
        <v>7860</v>
      </c>
      <c r="AB418" t="s">
        <v>7861</v>
      </c>
      <c r="AC418" t="s">
        <v>74</v>
      </c>
      <c r="AD418" t="s">
        <v>74</v>
      </c>
      <c r="AE418" t="s">
        <v>74</v>
      </c>
      <c r="AF418" t="s">
        <v>74</v>
      </c>
      <c r="AG418">
        <v>21</v>
      </c>
      <c r="AH418">
        <v>38</v>
      </c>
      <c r="AI418">
        <v>49</v>
      </c>
      <c r="AJ418">
        <v>5</v>
      </c>
      <c r="AK418">
        <v>99</v>
      </c>
      <c r="AL418" t="s">
        <v>169</v>
      </c>
      <c r="AM418" t="s">
        <v>170</v>
      </c>
      <c r="AN418" t="s">
        <v>171</v>
      </c>
      <c r="AO418" t="s">
        <v>172</v>
      </c>
      <c r="AP418" t="s">
        <v>74</v>
      </c>
      <c r="AQ418" t="s">
        <v>74</v>
      </c>
      <c r="AR418" t="s">
        <v>157</v>
      </c>
      <c r="AS418" t="s">
        <v>173</v>
      </c>
      <c r="AT418" t="s">
        <v>7343</v>
      </c>
      <c r="AU418">
        <v>2011</v>
      </c>
      <c r="AV418">
        <v>6</v>
      </c>
      <c r="AW418">
        <v>6</v>
      </c>
      <c r="AX418" t="s">
        <v>74</v>
      </c>
      <c r="AY418" t="s">
        <v>74</v>
      </c>
      <c r="AZ418" t="s">
        <v>74</v>
      </c>
      <c r="BA418" t="s">
        <v>74</v>
      </c>
      <c r="BB418" t="s">
        <v>74</v>
      </c>
      <c r="BC418" t="s">
        <v>74</v>
      </c>
      <c r="BD418" t="s">
        <v>7862</v>
      </c>
      <c r="BE418" t="s">
        <v>7863</v>
      </c>
      <c r="BF418" t="str">
        <f>HYPERLINK("http://dx.doi.org/10.1371/journal.pone.0020260","http://dx.doi.org/10.1371/journal.pone.0020260")</f>
        <v>http://dx.doi.org/10.1371/journal.pone.0020260</v>
      </c>
      <c r="BG418" t="s">
        <v>74</v>
      </c>
      <c r="BH418" t="s">
        <v>74</v>
      </c>
      <c r="BI418">
        <v>3</v>
      </c>
      <c r="BJ418" t="s">
        <v>177</v>
      </c>
      <c r="BK418" t="s">
        <v>100</v>
      </c>
      <c r="BL418" t="s">
        <v>178</v>
      </c>
      <c r="BM418" t="s">
        <v>7864</v>
      </c>
      <c r="BN418">
        <v>21673816</v>
      </c>
      <c r="BO418" t="s">
        <v>198</v>
      </c>
      <c r="BP418" t="s">
        <v>74</v>
      </c>
      <c r="BQ418" t="s">
        <v>74</v>
      </c>
      <c r="BR418" t="s">
        <v>103</v>
      </c>
      <c r="BS418" t="s">
        <v>7865</v>
      </c>
      <c r="BT418" t="str">
        <f>HYPERLINK("https%3A%2F%2Fwww.webofscience.com%2Fwos%2Fwoscc%2Ffull-record%2FWOS:000291309900008","View Full Record in Web of Science")</f>
        <v>View Full Record in Web of Science</v>
      </c>
    </row>
    <row r="419" spans="1:72" x14ac:dyDescent="0.15">
      <c r="A419" t="s">
        <v>72</v>
      </c>
      <c r="B419" t="s">
        <v>7866</v>
      </c>
      <c r="C419" t="s">
        <v>74</v>
      </c>
      <c r="D419" t="s">
        <v>74</v>
      </c>
      <c r="E419" t="s">
        <v>74</v>
      </c>
      <c r="F419" t="s">
        <v>7867</v>
      </c>
      <c r="G419" t="s">
        <v>74</v>
      </c>
      <c r="H419" t="s">
        <v>74</v>
      </c>
      <c r="I419" t="s">
        <v>7868</v>
      </c>
      <c r="J419" t="s">
        <v>707</v>
      </c>
      <c r="K419" t="s">
        <v>74</v>
      </c>
      <c r="L419" t="s">
        <v>74</v>
      </c>
      <c r="M419" t="s">
        <v>78</v>
      </c>
      <c r="N419" t="s">
        <v>79</v>
      </c>
      <c r="O419" t="s">
        <v>74</v>
      </c>
      <c r="P419" t="s">
        <v>74</v>
      </c>
      <c r="Q419" t="s">
        <v>74</v>
      </c>
      <c r="R419" t="s">
        <v>74</v>
      </c>
      <c r="S419" t="s">
        <v>74</v>
      </c>
      <c r="T419" t="s">
        <v>7869</v>
      </c>
      <c r="U419" t="s">
        <v>7870</v>
      </c>
      <c r="V419" t="s">
        <v>7871</v>
      </c>
      <c r="W419" t="s">
        <v>7872</v>
      </c>
      <c r="X419" t="s">
        <v>7873</v>
      </c>
      <c r="Y419" t="s">
        <v>7874</v>
      </c>
      <c r="Z419" t="s">
        <v>7875</v>
      </c>
      <c r="AA419" t="s">
        <v>7876</v>
      </c>
      <c r="AB419" t="s">
        <v>7877</v>
      </c>
      <c r="AC419" t="s">
        <v>74</v>
      </c>
      <c r="AD419" t="s">
        <v>74</v>
      </c>
      <c r="AE419" t="s">
        <v>74</v>
      </c>
      <c r="AF419" t="s">
        <v>74</v>
      </c>
      <c r="AG419">
        <v>50</v>
      </c>
      <c r="AH419">
        <v>52</v>
      </c>
      <c r="AI419">
        <v>54</v>
      </c>
      <c r="AJ419">
        <v>0</v>
      </c>
      <c r="AK419">
        <v>21</v>
      </c>
      <c r="AL419" t="s">
        <v>693</v>
      </c>
      <c r="AM419" t="s">
        <v>91</v>
      </c>
      <c r="AN419" t="s">
        <v>694</v>
      </c>
      <c r="AO419" t="s">
        <v>717</v>
      </c>
      <c r="AP419" t="s">
        <v>718</v>
      </c>
      <c r="AQ419" t="s">
        <v>74</v>
      </c>
      <c r="AR419" t="s">
        <v>719</v>
      </c>
      <c r="AS419" t="s">
        <v>720</v>
      </c>
      <c r="AT419" t="s">
        <v>7032</v>
      </c>
      <c r="AU419">
        <v>2011</v>
      </c>
      <c r="AV419">
        <v>23</v>
      </c>
      <c r="AW419">
        <v>3</v>
      </c>
      <c r="AX419" t="s">
        <v>74</v>
      </c>
      <c r="AY419" t="s">
        <v>74</v>
      </c>
      <c r="AZ419" t="s">
        <v>74</v>
      </c>
      <c r="BA419" t="s">
        <v>74</v>
      </c>
      <c r="BB419">
        <v>255</v>
      </c>
      <c r="BC419">
        <v>267</v>
      </c>
      <c r="BD419" t="s">
        <v>74</v>
      </c>
      <c r="BE419" t="s">
        <v>7878</v>
      </c>
      <c r="BF419" t="str">
        <f>HYPERLINK("http://dx.doi.org/10.1017/S095410201100006X","http://dx.doi.org/10.1017/S095410201100006X")</f>
        <v>http://dx.doi.org/10.1017/S095410201100006X</v>
      </c>
      <c r="BG419" t="s">
        <v>74</v>
      </c>
      <c r="BH419" t="s">
        <v>74</v>
      </c>
      <c r="BI419">
        <v>13</v>
      </c>
      <c r="BJ419" t="s">
        <v>722</v>
      </c>
      <c r="BK419" t="s">
        <v>100</v>
      </c>
      <c r="BL419" t="s">
        <v>723</v>
      </c>
      <c r="BM419" t="s">
        <v>7065</v>
      </c>
      <c r="BN419" t="s">
        <v>74</v>
      </c>
      <c r="BO419" t="s">
        <v>74</v>
      </c>
      <c r="BP419" t="s">
        <v>74</v>
      </c>
      <c r="BQ419" t="s">
        <v>74</v>
      </c>
      <c r="BR419" t="s">
        <v>103</v>
      </c>
      <c r="BS419" t="s">
        <v>7879</v>
      </c>
      <c r="BT419" t="str">
        <f>HYPERLINK("https%3A%2F%2Fwww.webofscience.com%2Fwos%2Fwoscc%2Ffull-record%2FWOS:000291050900006","View Full Record in Web of Science")</f>
        <v>View Full Record in Web of Science</v>
      </c>
    </row>
    <row r="420" spans="1:72" x14ac:dyDescent="0.15">
      <c r="A420" t="s">
        <v>72</v>
      </c>
      <c r="B420" t="s">
        <v>7880</v>
      </c>
      <c r="C420" t="s">
        <v>74</v>
      </c>
      <c r="D420" t="s">
        <v>74</v>
      </c>
      <c r="E420" t="s">
        <v>74</v>
      </c>
      <c r="F420" t="s">
        <v>7881</v>
      </c>
      <c r="G420" t="s">
        <v>74</v>
      </c>
      <c r="H420" t="s">
        <v>74</v>
      </c>
      <c r="I420" t="s">
        <v>7882</v>
      </c>
      <c r="J420" t="s">
        <v>707</v>
      </c>
      <c r="K420" t="s">
        <v>74</v>
      </c>
      <c r="L420" t="s">
        <v>74</v>
      </c>
      <c r="M420" t="s">
        <v>78</v>
      </c>
      <c r="N420" t="s">
        <v>79</v>
      </c>
      <c r="O420" t="s">
        <v>74</v>
      </c>
      <c r="P420" t="s">
        <v>74</v>
      </c>
      <c r="Q420" t="s">
        <v>74</v>
      </c>
      <c r="R420" t="s">
        <v>74</v>
      </c>
      <c r="S420" t="s">
        <v>74</v>
      </c>
      <c r="T420" t="s">
        <v>7883</v>
      </c>
      <c r="U420" t="s">
        <v>7884</v>
      </c>
      <c r="V420" t="s">
        <v>7885</v>
      </c>
      <c r="W420" t="s">
        <v>7886</v>
      </c>
      <c r="X420" t="s">
        <v>7887</v>
      </c>
      <c r="Y420" t="s">
        <v>7888</v>
      </c>
      <c r="Z420" t="s">
        <v>7889</v>
      </c>
      <c r="AA420" t="s">
        <v>74</v>
      </c>
      <c r="AB420" t="s">
        <v>74</v>
      </c>
      <c r="AC420" t="s">
        <v>7890</v>
      </c>
      <c r="AD420" t="s">
        <v>7891</v>
      </c>
      <c r="AE420" t="s">
        <v>7892</v>
      </c>
      <c r="AF420" t="s">
        <v>74</v>
      </c>
      <c r="AG420">
        <v>35</v>
      </c>
      <c r="AH420">
        <v>14</v>
      </c>
      <c r="AI420">
        <v>16</v>
      </c>
      <c r="AJ420">
        <v>0</v>
      </c>
      <c r="AK420">
        <v>10</v>
      </c>
      <c r="AL420" t="s">
        <v>693</v>
      </c>
      <c r="AM420" t="s">
        <v>91</v>
      </c>
      <c r="AN420" t="s">
        <v>694</v>
      </c>
      <c r="AO420" t="s">
        <v>717</v>
      </c>
      <c r="AP420" t="s">
        <v>718</v>
      </c>
      <c r="AQ420" t="s">
        <v>74</v>
      </c>
      <c r="AR420" t="s">
        <v>719</v>
      </c>
      <c r="AS420" t="s">
        <v>720</v>
      </c>
      <c r="AT420" t="s">
        <v>7032</v>
      </c>
      <c r="AU420">
        <v>2011</v>
      </c>
      <c r="AV420">
        <v>23</v>
      </c>
      <c r="AW420">
        <v>3</v>
      </c>
      <c r="AX420" t="s">
        <v>74</v>
      </c>
      <c r="AY420" t="s">
        <v>74</v>
      </c>
      <c r="AZ420" t="s">
        <v>74</v>
      </c>
      <c r="BA420" t="s">
        <v>74</v>
      </c>
      <c r="BB420">
        <v>268</v>
      </c>
      <c r="BC420">
        <v>280</v>
      </c>
      <c r="BD420" t="s">
        <v>74</v>
      </c>
      <c r="BE420" t="s">
        <v>7893</v>
      </c>
      <c r="BF420" t="str">
        <f>HYPERLINK("http://dx.doi.org/10.1017/S0954102010000994","http://dx.doi.org/10.1017/S0954102010000994")</f>
        <v>http://dx.doi.org/10.1017/S0954102010000994</v>
      </c>
      <c r="BG420" t="s">
        <v>74</v>
      </c>
      <c r="BH420" t="s">
        <v>74</v>
      </c>
      <c r="BI420">
        <v>13</v>
      </c>
      <c r="BJ420" t="s">
        <v>722</v>
      </c>
      <c r="BK420" t="s">
        <v>100</v>
      </c>
      <c r="BL420" t="s">
        <v>723</v>
      </c>
      <c r="BM420" t="s">
        <v>7065</v>
      </c>
      <c r="BN420" t="s">
        <v>74</v>
      </c>
      <c r="BO420" t="s">
        <v>74</v>
      </c>
      <c r="BP420" t="s">
        <v>74</v>
      </c>
      <c r="BQ420" t="s">
        <v>74</v>
      </c>
      <c r="BR420" t="s">
        <v>103</v>
      </c>
      <c r="BS420" t="s">
        <v>7894</v>
      </c>
      <c r="BT420" t="str">
        <f>HYPERLINK("https%3A%2F%2Fwww.webofscience.com%2Fwos%2Fwoscc%2Ffull-record%2FWOS:000291050900007","View Full Record in Web of Science")</f>
        <v>View Full Record in Web of Science</v>
      </c>
    </row>
    <row r="421" spans="1:72" x14ac:dyDescent="0.15">
      <c r="A421" t="s">
        <v>72</v>
      </c>
      <c r="B421" t="s">
        <v>7895</v>
      </c>
      <c r="C421" t="s">
        <v>74</v>
      </c>
      <c r="D421" t="s">
        <v>74</v>
      </c>
      <c r="E421" t="s">
        <v>74</v>
      </c>
      <c r="F421" t="s">
        <v>7896</v>
      </c>
      <c r="G421" t="s">
        <v>74</v>
      </c>
      <c r="H421" t="s">
        <v>74</v>
      </c>
      <c r="I421" t="s">
        <v>7897</v>
      </c>
      <c r="J421" t="s">
        <v>707</v>
      </c>
      <c r="K421" t="s">
        <v>74</v>
      </c>
      <c r="L421" t="s">
        <v>74</v>
      </c>
      <c r="M421" t="s">
        <v>78</v>
      </c>
      <c r="N421" t="s">
        <v>79</v>
      </c>
      <c r="O421" t="s">
        <v>74</v>
      </c>
      <c r="P421" t="s">
        <v>74</v>
      </c>
      <c r="Q421" t="s">
        <v>74</v>
      </c>
      <c r="R421" t="s">
        <v>74</v>
      </c>
      <c r="S421" t="s">
        <v>74</v>
      </c>
      <c r="T421" t="s">
        <v>7898</v>
      </c>
      <c r="U421" t="s">
        <v>7899</v>
      </c>
      <c r="V421" t="s">
        <v>7900</v>
      </c>
      <c r="W421" t="s">
        <v>7901</v>
      </c>
      <c r="X421" t="s">
        <v>7902</v>
      </c>
      <c r="Y421" t="s">
        <v>7903</v>
      </c>
      <c r="Z421" t="s">
        <v>7904</v>
      </c>
      <c r="AA421" t="s">
        <v>7905</v>
      </c>
      <c r="AB421" t="s">
        <v>7906</v>
      </c>
      <c r="AC421" t="s">
        <v>7907</v>
      </c>
      <c r="AD421" t="s">
        <v>7907</v>
      </c>
      <c r="AE421" t="s">
        <v>7908</v>
      </c>
      <c r="AF421" t="s">
        <v>74</v>
      </c>
      <c r="AG421">
        <v>55</v>
      </c>
      <c r="AH421">
        <v>23</v>
      </c>
      <c r="AI421">
        <v>27</v>
      </c>
      <c r="AJ421">
        <v>0</v>
      </c>
      <c r="AK421">
        <v>17</v>
      </c>
      <c r="AL421" t="s">
        <v>693</v>
      </c>
      <c r="AM421" t="s">
        <v>91</v>
      </c>
      <c r="AN421" t="s">
        <v>694</v>
      </c>
      <c r="AO421" t="s">
        <v>717</v>
      </c>
      <c r="AP421" t="s">
        <v>74</v>
      </c>
      <c r="AQ421" t="s">
        <v>74</v>
      </c>
      <c r="AR421" t="s">
        <v>719</v>
      </c>
      <c r="AS421" t="s">
        <v>720</v>
      </c>
      <c r="AT421" t="s">
        <v>7032</v>
      </c>
      <c r="AU421">
        <v>2011</v>
      </c>
      <c r="AV421">
        <v>23</v>
      </c>
      <c r="AW421">
        <v>3</v>
      </c>
      <c r="AX421" t="s">
        <v>74</v>
      </c>
      <c r="AY421" t="s">
        <v>74</v>
      </c>
      <c r="AZ421" t="s">
        <v>74</v>
      </c>
      <c r="BA421" t="s">
        <v>74</v>
      </c>
      <c r="BB421">
        <v>281</v>
      </c>
      <c r="BC421">
        <v>296</v>
      </c>
      <c r="BD421" t="s">
        <v>74</v>
      </c>
      <c r="BE421" t="s">
        <v>7909</v>
      </c>
      <c r="BF421" t="str">
        <f>HYPERLINK("http://dx.doi.org/10.1017/S0954102011000095","http://dx.doi.org/10.1017/S0954102011000095")</f>
        <v>http://dx.doi.org/10.1017/S0954102011000095</v>
      </c>
      <c r="BG421" t="s">
        <v>74</v>
      </c>
      <c r="BH421" t="s">
        <v>74</v>
      </c>
      <c r="BI421">
        <v>16</v>
      </c>
      <c r="BJ421" t="s">
        <v>722</v>
      </c>
      <c r="BK421" t="s">
        <v>100</v>
      </c>
      <c r="BL421" t="s">
        <v>723</v>
      </c>
      <c r="BM421" t="s">
        <v>7065</v>
      </c>
      <c r="BN421" t="s">
        <v>74</v>
      </c>
      <c r="BO421" t="s">
        <v>74</v>
      </c>
      <c r="BP421" t="s">
        <v>74</v>
      </c>
      <c r="BQ421" t="s">
        <v>74</v>
      </c>
      <c r="BR421" t="s">
        <v>103</v>
      </c>
      <c r="BS421" t="s">
        <v>7910</v>
      </c>
      <c r="BT421" t="str">
        <f>HYPERLINK("https%3A%2F%2Fwww.webofscience.com%2Fwos%2Fwoscc%2Ffull-record%2FWOS:000291050900008","View Full Record in Web of Science")</f>
        <v>View Full Record in Web of Science</v>
      </c>
    </row>
    <row r="422" spans="1:72" x14ac:dyDescent="0.15">
      <c r="A422" t="s">
        <v>72</v>
      </c>
      <c r="B422" t="s">
        <v>7911</v>
      </c>
      <c r="C422" t="s">
        <v>74</v>
      </c>
      <c r="D422" t="s">
        <v>74</v>
      </c>
      <c r="E422" t="s">
        <v>74</v>
      </c>
      <c r="F422" t="s">
        <v>7912</v>
      </c>
      <c r="G422" t="s">
        <v>74</v>
      </c>
      <c r="H422" t="s">
        <v>74</v>
      </c>
      <c r="I422" t="s">
        <v>7913</v>
      </c>
      <c r="J422" t="s">
        <v>707</v>
      </c>
      <c r="K422" t="s">
        <v>74</v>
      </c>
      <c r="L422" t="s">
        <v>74</v>
      </c>
      <c r="M422" t="s">
        <v>78</v>
      </c>
      <c r="N422" t="s">
        <v>79</v>
      </c>
      <c r="O422" t="s">
        <v>74</v>
      </c>
      <c r="P422" t="s">
        <v>74</v>
      </c>
      <c r="Q422" t="s">
        <v>74</v>
      </c>
      <c r="R422" t="s">
        <v>74</v>
      </c>
      <c r="S422" t="s">
        <v>74</v>
      </c>
      <c r="T422" t="s">
        <v>7914</v>
      </c>
      <c r="U422" t="s">
        <v>7915</v>
      </c>
      <c r="V422" t="s">
        <v>7916</v>
      </c>
      <c r="W422" t="s">
        <v>7917</v>
      </c>
      <c r="X422" t="s">
        <v>7918</v>
      </c>
      <c r="Y422" t="s">
        <v>7919</v>
      </c>
      <c r="Z422" t="s">
        <v>7920</v>
      </c>
      <c r="AA422" t="s">
        <v>7921</v>
      </c>
      <c r="AB422" t="s">
        <v>7922</v>
      </c>
      <c r="AC422" t="s">
        <v>7923</v>
      </c>
      <c r="AD422" t="s">
        <v>7062</v>
      </c>
      <c r="AE422" t="s">
        <v>7924</v>
      </c>
      <c r="AF422" t="s">
        <v>74</v>
      </c>
      <c r="AG422">
        <v>45</v>
      </c>
      <c r="AH422">
        <v>8</v>
      </c>
      <c r="AI422">
        <v>8</v>
      </c>
      <c r="AJ422">
        <v>3</v>
      </c>
      <c r="AK422">
        <v>15</v>
      </c>
      <c r="AL422" t="s">
        <v>693</v>
      </c>
      <c r="AM422" t="s">
        <v>91</v>
      </c>
      <c r="AN422" t="s">
        <v>694</v>
      </c>
      <c r="AO422" t="s">
        <v>717</v>
      </c>
      <c r="AP422" t="s">
        <v>718</v>
      </c>
      <c r="AQ422" t="s">
        <v>74</v>
      </c>
      <c r="AR422" t="s">
        <v>719</v>
      </c>
      <c r="AS422" t="s">
        <v>720</v>
      </c>
      <c r="AT422" t="s">
        <v>7032</v>
      </c>
      <c r="AU422">
        <v>2011</v>
      </c>
      <c r="AV422">
        <v>23</v>
      </c>
      <c r="AW422">
        <v>3</v>
      </c>
      <c r="AX422" t="s">
        <v>74</v>
      </c>
      <c r="AY422" t="s">
        <v>74</v>
      </c>
      <c r="AZ422" t="s">
        <v>74</v>
      </c>
      <c r="BA422" t="s">
        <v>74</v>
      </c>
      <c r="BB422">
        <v>297</v>
      </c>
      <c r="BC422">
        <v>306</v>
      </c>
      <c r="BD422" t="s">
        <v>74</v>
      </c>
      <c r="BE422" t="s">
        <v>7925</v>
      </c>
      <c r="BF422" t="str">
        <f>HYPERLINK("http://dx.doi.org/10.1017/S0954102010000969","http://dx.doi.org/10.1017/S0954102010000969")</f>
        <v>http://dx.doi.org/10.1017/S0954102010000969</v>
      </c>
      <c r="BG422" t="s">
        <v>74</v>
      </c>
      <c r="BH422" t="s">
        <v>74</v>
      </c>
      <c r="BI422">
        <v>10</v>
      </c>
      <c r="BJ422" t="s">
        <v>722</v>
      </c>
      <c r="BK422" t="s">
        <v>100</v>
      </c>
      <c r="BL422" t="s">
        <v>723</v>
      </c>
      <c r="BM422" t="s">
        <v>7065</v>
      </c>
      <c r="BN422" t="s">
        <v>74</v>
      </c>
      <c r="BO422" t="s">
        <v>74</v>
      </c>
      <c r="BP422" t="s">
        <v>74</v>
      </c>
      <c r="BQ422" t="s">
        <v>74</v>
      </c>
      <c r="BR422" t="s">
        <v>103</v>
      </c>
      <c r="BS422" t="s">
        <v>7926</v>
      </c>
      <c r="BT422" t="str">
        <f>HYPERLINK("https%3A%2F%2Fwww.webofscience.com%2Fwos%2Fwoscc%2Ffull-record%2FWOS:000291050900009","View Full Record in Web of Science")</f>
        <v>View Full Record in Web of Science</v>
      </c>
    </row>
    <row r="423" spans="1:72" x14ac:dyDescent="0.15">
      <c r="A423" t="s">
        <v>72</v>
      </c>
      <c r="B423" t="s">
        <v>7927</v>
      </c>
      <c r="C423" t="s">
        <v>74</v>
      </c>
      <c r="D423" t="s">
        <v>74</v>
      </c>
      <c r="E423" t="s">
        <v>74</v>
      </c>
      <c r="F423" t="s">
        <v>7928</v>
      </c>
      <c r="G423" t="s">
        <v>74</v>
      </c>
      <c r="H423" t="s">
        <v>74</v>
      </c>
      <c r="I423" t="s">
        <v>7929</v>
      </c>
      <c r="J423" t="s">
        <v>707</v>
      </c>
      <c r="K423" t="s">
        <v>74</v>
      </c>
      <c r="L423" t="s">
        <v>74</v>
      </c>
      <c r="M423" t="s">
        <v>78</v>
      </c>
      <c r="N423" t="s">
        <v>79</v>
      </c>
      <c r="O423" t="s">
        <v>74</v>
      </c>
      <c r="P423" t="s">
        <v>74</v>
      </c>
      <c r="Q423" t="s">
        <v>74</v>
      </c>
      <c r="R423" t="s">
        <v>74</v>
      </c>
      <c r="S423" t="s">
        <v>74</v>
      </c>
      <c r="T423" t="s">
        <v>7930</v>
      </c>
      <c r="U423" t="s">
        <v>7931</v>
      </c>
      <c r="V423" t="s">
        <v>7932</v>
      </c>
      <c r="W423" t="s">
        <v>7933</v>
      </c>
      <c r="X423" t="s">
        <v>7934</v>
      </c>
      <c r="Y423" t="s">
        <v>7935</v>
      </c>
      <c r="Z423" t="s">
        <v>7936</v>
      </c>
      <c r="AA423" t="s">
        <v>7937</v>
      </c>
      <c r="AB423" t="s">
        <v>7938</v>
      </c>
      <c r="AC423" t="s">
        <v>7939</v>
      </c>
      <c r="AD423" t="s">
        <v>7940</v>
      </c>
      <c r="AE423" t="s">
        <v>7941</v>
      </c>
      <c r="AF423" t="s">
        <v>74</v>
      </c>
      <c r="AG423">
        <v>51</v>
      </c>
      <c r="AH423">
        <v>6</v>
      </c>
      <c r="AI423">
        <v>8</v>
      </c>
      <c r="AJ423">
        <v>0</v>
      </c>
      <c r="AK423">
        <v>21</v>
      </c>
      <c r="AL423" t="s">
        <v>693</v>
      </c>
      <c r="AM423" t="s">
        <v>91</v>
      </c>
      <c r="AN423" t="s">
        <v>694</v>
      </c>
      <c r="AO423" t="s">
        <v>717</v>
      </c>
      <c r="AP423" t="s">
        <v>718</v>
      </c>
      <c r="AQ423" t="s">
        <v>74</v>
      </c>
      <c r="AR423" t="s">
        <v>719</v>
      </c>
      <c r="AS423" t="s">
        <v>720</v>
      </c>
      <c r="AT423" t="s">
        <v>7032</v>
      </c>
      <c r="AU423">
        <v>2011</v>
      </c>
      <c r="AV423">
        <v>23</v>
      </c>
      <c r="AW423">
        <v>3</v>
      </c>
      <c r="AX423" t="s">
        <v>74</v>
      </c>
      <c r="AY423" t="s">
        <v>74</v>
      </c>
      <c r="AZ423" t="s">
        <v>74</v>
      </c>
      <c r="BA423" t="s">
        <v>74</v>
      </c>
      <c r="BB423">
        <v>307</v>
      </c>
      <c r="BC423">
        <v>319</v>
      </c>
      <c r="BD423" t="s">
        <v>74</v>
      </c>
      <c r="BE423" t="s">
        <v>7942</v>
      </c>
      <c r="BF423" t="str">
        <f>HYPERLINK("http://dx.doi.org/10.1017/S0954102011000125","http://dx.doi.org/10.1017/S0954102011000125")</f>
        <v>http://dx.doi.org/10.1017/S0954102011000125</v>
      </c>
      <c r="BG423" t="s">
        <v>74</v>
      </c>
      <c r="BH423" t="s">
        <v>74</v>
      </c>
      <c r="BI423">
        <v>13</v>
      </c>
      <c r="BJ423" t="s">
        <v>722</v>
      </c>
      <c r="BK423" t="s">
        <v>100</v>
      </c>
      <c r="BL423" t="s">
        <v>723</v>
      </c>
      <c r="BM423" t="s">
        <v>7065</v>
      </c>
      <c r="BN423" t="s">
        <v>74</v>
      </c>
      <c r="BO423" t="s">
        <v>74</v>
      </c>
      <c r="BP423" t="s">
        <v>74</v>
      </c>
      <c r="BQ423" t="s">
        <v>74</v>
      </c>
      <c r="BR423" t="s">
        <v>103</v>
      </c>
      <c r="BS423" t="s">
        <v>7943</v>
      </c>
      <c r="BT423" t="str">
        <f>HYPERLINK("https%3A%2F%2Fwww.webofscience.com%2Fwos%2Fwoscc%2Ffull-record%2FWOS:000291050900010","View Full Record in Web of Science")</f>
        <v>View Full Record in Web of Science</v>
      </c>
    </row>
    <row r="424" spans="1:72" x14ac:dyDescent="0.15">
      <c r="A424" t="s">
        <v>72</v>
      </c>
      <c r="B424" t="s">
        <v>7944</v>
      </c>
      <c r="C424" t="s">
        <v>74</v>
      </c>
      <c r="D424" t="s">
        <v>74</v>
      </c>
      <c r="E424" t="s">
        <v>74</v>
      </c>
      <c r="F424" t="s">
        <v>7945</v>
      </c>
      <c r="G424" t="s">
        <v>74</v>
      </c>
      <c r="H424" t="s">
        <v>74</v>
      </c>
      <c r="I424" t="s">
        <v>7946</v>
      </c>
      <c r="J424" t="s">
        <v>7566</v>
      </c>
      <c r="K424" t="s">
        <v>74</v>
      </c>
      <c r="L424" t="s">
        <v>74</v>
      </c>
      <c r="M424" t="s">
        <v>78</v>
      </c>
      <c r="N424" t="s">
        <v>79</v>
      </c>
      <c r="O424" t="s">
        <v>74</v>
      </c>
      <c r="P424" t="s">
        <v>74</v>
      </c>
      <c r="Q424" t="s">
        <v>74</v>
      </c>
      <c r="R424" t="s">
        <v>74</v>
      </c>
      <c r="S424" t="s">
        <v>74</v>
      </c>
      <c r="T424" t="s">
        <v>74</v>
      </c>
      <c r="U424" t="s">
        <v>7947</v>
      </c>
      <c r="V424" t="s">
        <v>7948</v>
      </c>
      <c r="W424" t="s">
        <v>7949</v>
      </c>
      <c r="X424" t="s">
        <v>7950</v>
      </c>
      <c r="Y424" t="s">
        <v>7951</v>
      </c>
      <c r="Z424" t="s">
        <v>7952</v>
      </c>
      <c r="AA424" t="s">
        <v>7953</v>
      </c>
      <c r="AB424" t="s">
        <v>7954</v>
      </c>
      <c r="AC424" t="s">
        <v>7955</v>
      </c>
      <c r="AD424" t="s">
        <v>7956</v>
      </c>
      <c r="AE424" t="s">
        <v>7957</v>
      </c>
      <c r="AF424" t="s">
        <v>74</v>
      </c>
      <c r="AG424">
        <v>42</v>
      </c>
      <c r="AH424">
        <v>28</v>
      </c>
      <c r="AI424">
        <v>30</v>
      </c>
      <c r="AJ424">
        <v>0</v>
      </c>
      <c r="AK424">
        <v>15</v>
      </c>
      <c r="AL424" t="s">
        <v>7577</v>
      </c>
      <c r="AM424" t="s">
        <v>121</v>
      </c>
      <c r="AN424" t="s">
        <v>7578</v>
      </c>
      <c r="AO424" t="s">
        <v>7579</v>
      </c>
      <c r="AP424" t="s">
        <v>7958</v>
      </c>
      <c r="AQ424" t="s">
        <v>74</v>
      </c>
      <c r="AR424" t="s">
        <v>7580</v>
      </c>
      <c r="AS424" t="s">
        <v>7581</v>
      </c>
      <c r="AT424" t="s">
        <v>7032</v>
      </c>
      <c r="AU424">
        <v>2011</v>
      </c>
      <c r="AV424">
        <v>77</v>
      </c>
      <c r="AW424">
        <v>11</v>
      </c>
      <c r="AX424" t="s">
        <v>74</v>
      </c>
      <c r="AY424" t="s">
        <v>74</v>
      </c>
      <c r="AZ424" t="s">
        <v>74</v>
      </c>
      <c r="BA424" t="s">
        <v>74</v>
      </c>
      <c r="BB424">
        <v>3696</v>
      </c>
      <c r="BC424">
        <v>3702</v>
      </c>
      <c r="BD424" t="s">
        <v>74</v>
      </c>
      <c r="BE424" t="s">
        <v>7959</v>
      </c>
      <c r="BF424" t="str">
        <f>HYPERLINK("http://dx.doi.org/10.1128/AEM.02726-10","http://dx.doi.org/10.1128/AEM.02726-10")</f>
        <v>http://dx.doi.org/10.1128/AEM.02726-10</v>
      </c>
      <c r="BG424" t="s">
        <v>74</v>
      </c>
      <c r="BH424" t="s">
        <v>74</v>
      </c>
      <c r="BI424">
        <v>7</v>
      </c>
      <c r="BJ424" t="s">
        <v>4406</v>
      </c>
      <c r="BK424" t="s">
        <v>100</v>
      </c>
      <c r="BL424" t="s">
        <v>4406</v>
      </c>
      <c r="BM424" t="s">
        <v>7960</v>
      </c>
      <c r="BN424">
        <v>21498772</v>
      </c>
      <c r="BO424" t="s">
        <v>368</v>
      </c>
      <c r="BP424" t="s">
        <v>74</v>
      </c>
      <c r="BQ424" t="s">
        <v>74</v>
      </c>
      <c r="BR424" t="s">
        <v>103</v>
      </c>
      <c r="BS424" t="s">
        <v>7961</v>
      </c>
      <c r="BT424" t="str">
        <f>HYPERLINK("https%3A%2F%2Fwww.webofscience.com%2Fwos%2Fwoscc%2Ffull-record%2FWOS:000290847800018","View Full Record in Web of Science")</f>
        <v>View Full Record in Web of Science</v>
      </c>
    </row>
    <row r="425" spans="1:72" x14ac:dyDescent="0.15">
      <c r="A425" t="s">
        <v>72</v>
      </c>
      <c r="B425" t="s">
        <v>7962</v>
      </c>
      <c r="C425" t="s">
        <v>74</v>
      </c>
      <c r="D425" t="s">
        <v>74</v>
      </c>
      <c r="E425" t="s">
        <v>74</v>
      </c>
      <c r="F425" t="s">
        <v>7963</v>
      </c>
      <c r="G425" t="s">
        <v>74</v>
      </c>
      <c r="H425" t="s">
        <v>74</v>
      </c>
      <c r="I425" t="s">
        <v>7964</v>
      </c>
      <c r="J425" t="s">
        <v>7566</v>
      </c>
      <c r="K425" t="s">
        <v>74</v>
      </c>
      <c r="L425" t="s">
        <v>74</v>
      </c>
      <c r="M425" t="s">
        <v>78</v>
      </c>
      <c r="N425" t="s">
        <v>79</v>
      </c>
      <c r="O425" t="s">
        <v>74</v>
      </c>
      <c r="P425" t="s">
        <v>74</v>
      </c>
      <c r="Q425" t="s">
        <v>74</v>
      </c>
      <c r="R425" t="s">
        <v>74</v>
      </c>
      <c r="S425" t="s">
        <v>74</v>
      </c>
      <c r="T425" t="s">
        <v>74</v>
      </c>
      <c r="U425" t="s">
        <v>7965</v>
      </c>
      <c r="V425" t="s">
        <v>7966</v>
      </c>
      <c r="W425" t="s">
        <v>7967</v>
      </c>
      <c r="X425" t="s">
        <v>7968</v>
      </c>
      <c r="Y425" t="s">
        <v>7969</v>
      </c>
      <c r="Z425" t="s">
        <v>2278</v>
      </c>
      <c r="AA425" t="s">
        <v>7970</v>
      </c>
      <c r="AB425" t="s">
        <v>7971</v>
      </c>
      <c r="AC425" t="s">
        <v>7972</v>
      </c>
      <c r="AD425" t="s">
        <v>7973</v>
      </c>
      <c r="AE425" t="s">
        <v>7974</v>
      </c>
      <c r="AF425" t="s">
        <v>74</v>
      </c>
      <c r="AG425">
        <v>17</v>
      </c>
      <c r="AH425">
        <v>59</v>
      </c>
      <c r="AI425">
        <v>70</v>
      </c>
      <c r="AJ425">
        <v>2</v>
      </c>
      <c r="AK425">
        <v>22</v>
      </c>
      <c r="AL425" t="s">
        <v>7577</v>
      </c>
      <c r="AM425" t="s">
        <v>121</v>
      </c>
      <c r="AN425" t="s">
        <v>7578</v>
      </c>
      <c r="AO425" t="s">
        <v>7579</v>
      </c>
      <c r="AP425" t="s">
        <v>74</v>
      </c>
      <c r="AQ425" t="s">
        <v>74</v>
      </c>
      <c r="AR425" t="s">
        <v>7580</v>
      </c>
      <c r="AS425" t="s">
        <v>7581</v>
      </c>
      <c r="AT425" t="s">
        <v>7032</v>
      </c>
      <c r="AU425">
        <v>2011</v>
      </c>
      <c r="AV425">
        <v>77</v>
      </c>
      <c r="AW425">
        <v>11</v>
      </c>
      <c r="AX425" t="s">
        <v>74</v>
      </c>
      <c r="AY425" t="s">
        <v>74</v>
      </c>
      <c r="AZ425" t="s">
        <v>74</v>
      </c>
      <c r="BA425" t="s">
        <v>74</v>
      </c>
      <c r="BB425">
        <v>3881</v>
      </c>
      <c r="BC425">
        <v>3883</v>
      </c>
      <c r="BD425" t="s">
        <v>74</v>
      </c>
      <c r="BE425" t="s">
        <v>7975</v>
      </c>
      <c r="BF425" t="str">
        <f>HYPERLINK("http://dx.doi.org/10.1128/AEM.02757-10","http://dx.doi.org/10.1128/AEM.02757-10")</f>
        <v>http://dx.doi.org/10.1128/AEM.02757-10</v>
      </c>
      <c r="BG425" t="s">
        <v>74</v>
      </c>
      <c r="BH425" t="s">
        <v>74</v>
      </c>
      <c r="BI425">
        <v>3</v>
      </c>
      <c r="BJ425" t="s">
        <v>4406</v>
      </c>
      <c r="BK425" t="s">
        <v>100</v>
      </c>
      <c r="BL425" t="s">
        <v>4406</v>
      </c>
      <c r="BM425" t="s">
        <v>7960</v>
      </c>
      <c r="BN425">
        <v>21478318</v>
      </c>
      <c r="BO425" t="s">
        <v>702</v>
      </c>
      <c r="BP425" t="s">
        <v>74</v>
      </c>
      <c r="BQ425" t="s">
        <v>74</v>
      </c>
      <c r="BR425" t="s">
        <v>103</v>
      </c>
      <c r="BS425" t="s">
        <v>7976</v>
      </c>
      <c r="BT425" t="str">
        <f>HYPERLINK("https%3A%2F%2Fwww.webofscience.com%2Fwos%2Fwoscc%2Ffull-record%2FWOS:000290847800041","View Full Record in Web of Science")</f>
        <v>View Full Record in Web of Science</v>
      </c>
    </row>
    <row r="426" spans="1:72" x14ac:dyDescent="0.15">
      <c r="A426" t="s">
        <v>72</v>
      </c>
      <c r="B426" t="s">
        <v>7977</v>
      </c>
      <c r="C426" t="s">
        <v>74</v>
      </c>
      <c r="D426" t="s">
        <v>74</v>
      </c>
      <c r="E426" t="s">
        <v>74</v>
      </c>
      <c r="F426" t="s">
        <v>7978</v>
      </c>
      <c r="G426" t="s">
        <v>74</v>
      </c>
      <c r="H426" t="s">
        <v>74</v>
      </c>
      <c r="I426" t="s">
        <v>7979</v>
      </c>
      <c r="J426" t="s">
        <v>4460</v>
      </c>
      <c r="K426" t="s">
        <v>74</v>
      </c>
      <c r="L426" t="s">
        <v>74</v>
      </c>
      <c r="M426" t="s">
        <v>78</v>
      </c>
      <c r="N426" t="s">
        <v>79</v>
      </c>
      <c r="O426" t="s">
        <v>74</v>
      </c>
      <c r="P426" t="s">
        <v>74</v>
      </c>
      <c r="Q426" t="s">
        <v>74</v>
      </c>
      <c r="R426" t="s">
        <v>74</v>
      </c>
      <c r="S426" t="s">
        <v>74</v>
      </c>
      <c r="T426" t="s">
        <v>7980</v>
      </c>
      <c r="U426" t="s">
        <v>74</v>
      </c>
      <c r="V426" t="s">
        <v>7981</v>
      </c>
      <c r="W426" t="s">
        <v>7982</v>
      </c>
      <c r="X426" t="s">
        <v>7983</v>
      </c>
      <c r="Y426" t="s">
        <v>7984</v>
      </c>
      <c r="Z426" t="s">
        <v>7985</v>
      </c>
      <c r="AA426" t="s">
        <v>7986</v>
      </c>
      <c r="AB426" t="s">
        <v>7987</v>
      </c>
      <c r="AC426" t="s">
        <v>7988</v>
      </c>
      <c r="AD426" t="s">
        <v>4493</v>
      </c>
      <c r="AE426" t="s">
        <v>7989</v>
      </c>
      <c r="AF426" t="s">
        <v>74</v>
      </c>
      <c r="AG426">
        <v>32</v>
      </c>
      <c r="AH426">
        <v>81</v>
      </c>
      <c r="AI426">
        <v>94</v>
      </c>
      <c r="AJ426">
        <v>1</v>
      </c>
      <c r="AK426">
        <v>21</v>
      </c>
      <c r="AL426" t="s">
        <v>926</v>
      </c>
      <c r="AM426" t="s">
        <v>508</v>
      </c>
      <c r="AN426" t="s">
        <v>927</v>
      </c>
      <c r="AO426" t="s">
        <v>4472</v>
      </c>
      <c r="AP426" t="s">
        <v>4473</v>
      </c>
      <c r="AQ426" t="s">
        <v>74</v>
      </c>
      <c r="AR426" t="s">
        <v>4474</v>
      </c>
      <c r="AS426" t="s">
        <v>4475</v>
      </c>
      <c r="AT426" t="s">
        <v>7032</v>
      </c>
      <c r="AU426">
        <v>2011</v>
      </c>
      <c r="AV426">
        <v>58</v>
      </c>
      <c r="AW426" t="s">
        <v>4068</v>
      </c>
      <c r="AX426" t="s">
        <v>74</v>
      </c>
      <c r="AY426" t="s">
        <v>74</v>
      </c>
      <c r="AZ426" t="s">
        <v>74</v>
      </c>
      <c r="BA426" t="s">
        <v>74</v>
      </c>
      <c r="BB426">
        <v>1285</v>
      </c>
      <c r="BC426">
        <v>1300</v>
      </c>
      <c r="BD426" t="s">
        <v>74</v>
      </c>
      <c r="BE426" t="s">
        <v>7990</v>
      </c>
      <c r="BF426" t="str">
        <f>HYPERLINK("http://dx.doi.org/10.1016/j.dsr2.2010.11.004","http://dx.doi.org/10.1016/j.dsr2.2010.11.004")</f>
        <v>http://dx.doi.org/10.1016/j.dsr2.2010.11.004</v>
      </c>
      <c r="BG426" t="s">
        <v>74</v>
      </c>
      <c r="BH426" t="s">
        <v>74</v>
      </c>
      <c r="BI426">
        <v>16</v>
      </c>
      <c r="BJ426" t="s">
        <v>271</v>
      </c>
      <c r="BK426" t="s">
        <v>100</v>
      </c>
      <c r="BL426" t="s">
        <v>271</v>
      </c>
      <c r="BM426" t="s">
        <v>7443</v>
      </c>
      <c r="BN426" t="s">
        <v>74</v>
      </c>
      <c r="BO426" t="s">
        <v>74</v>
      </c>
      <c r="BP426" t="s">
        <v>74</v>
      </c>
      <c r="BQ426" t="s">
        <v>74</v>
      </c>
      <c r="BR426" t="s">
        <v>103</v>
      </c>
      <c r="BS426" t="s">
        <v>7991</v>
      </c>
      <c r="BT426" t="str">
        <f>HYPERLINK("https%3A%2F%2Fwww.webofscience.com%2Fwos%2Fwoscc%2Ffull-record%2FWOS:000291079800002","View Full Record in Web of Science")</f>
        <v>View Full Record in Web of Science</v>
      </c>
    </row>
    <row r="427" spans="1:72" x14ac:dyDescent="0.15">
      <c r="A427" t="s">
        <v>72</v>
      </c>
      <c r="B427" t="s">
        <v>7992</v>
      </c>
      <c r="C427" t="s">
        <v>74</v>
      </c>
      <c r="D427" t="s">
        <v>74</v>
      </c>
      <c r="E427" t="s">
        <v>74</v>
      </c>
      <c r="F427" t="s">
        <v>7993</v>
      </c>
      <c r="G427" t="s">
        <v>74</v>
      </c>
      <c r="H427" t="s">
        <v>74</v>
      </c>
      <c r="I427" t="s">
        <v>7994</v>
      </c>
      <c r="J427" t="s">
        <v>4460</v>
      </c>
      <c r="K427" t="s">
        <v>74</v>
      </c>
      <c r="L427" t="s">
        <v>74</v>
      </c>
      <c r="M427" t="s">
        <v>78</v>
      </c>
      <c r="N427" t="s">
        <v>79</v>
      </c>
      <c r="O427" t="s">
        <v>74</v>
      </c>
      <c r="P427" t="s">
        <v>74</v>
      </c>
      <c r="Q427" t="s">
        <v>74</v>
      </c>
      <c r="R427" t="s">
        <v>74</v>
      </c>
      <c r="S427" t="s">
        <v>74</v>
      </c>
      <c r="T427" t="s">
        <v>7995</v>
      </c>
      <c r="U427" t="s">
        <v>7996</v>
      </c>
      <c r="V427" t="s">
        <v>7997</v>
      </c>
      <c r="W427" t="s">
        <v>7998</v>
      </c>
      <c r="X427" t="s">
        <v>7999</v>
      </c>
      <c r="Y427" t="s">
        <v>8000</v>
      </c>
      <c r="Z427" t="s">
        <v>8001</v>
      </c>
      <c r="AA427" t="s">
        <v>74</v>
      </c>
      <c r="AB427" t="s">
        <v>74</v>
      </c>
      <c r="AC427" t="s">
        <v>8002</v>
      </c>
      <c r="AD427" t="s">
        <v>8003</v>
      </c>
      <c r="AE427" t="s">
        <v>8004</v>
      </c>
      <c r="AF427" t="s">
        <v>74</v>
      </c>
      <c r="AG427">
        <v>21</v>
      </c>
      <c r="AH427">
        <v>29</v>
      </c>
      <c r="AI427">
        <v>29</v>
      </c>
      <c r="AJ427">
        <v>0</v>
      </c>
      <c r="AK427">
        <v>12</v>
      </c>
      <c r="AL427" t="s">
        <v>926</v>
      </c>
      <c r="AM427" t="s">
        <v>508</v>
      </c>
      <c r="AN427" t="s">
        <v>927</v>
      </c>
      <c r="AO427" t="s">
        <v>4472</v>
      </c>
      <c r="AP427" t="s">
        <v>4473</v>
      </c>
      <c r="AQ427" t="s">
        <v>74</v>
      </c>
      <c r="AR427" t="s">
        <v>4474</v>
      </c>
      <c r="AS427" t="s">
        <v>4475</v>
      </c>
      <c r="AT427" t="s">
        <v>7032</v>
      </c>
      <c r="AU427">
        <v>2011</v>
      </c>
      <c r="AV427">
        <v>58</v>
      </c>
      <c r="AW427" t="s">
        <v>4068</v>
      </c>
      <c r="AX427" t="s">
        <v>74</v>
      </c>
      <c r="AY427" t="s">
        <v>74</v>
      </c>
      <c r="AZ427" t="s">
        <v>74</v>
      </c>
      <c r="BA427" t="s">
        <v>74</v>
      </c>
      <c r="BB427">
        <v>1311</v>
      </c>
      <c r="BC427">
        <v>1317</v>
      </c>
      <c r="BD427" t="s">
        <v>74</v>
      </c>
      <c r="BE427" t="s">
        <v>8005</v>
      </c>
      <c r="BF427" t="str">
        <f>HYPERLINK("http://dx.doi.org/10.1016/j.dsr2.2010.11.006","http://dx.doi.org/10.1016/j.dsr2.2010.11.006")</f>
        <v>http://dx.doi.org/10.1016/j.dsr2.2010.11.006</v>
      </c>
      <c r="BG427" t="s">
        <v>74</v>
      </c>
      <c r="BH427" t="s">
        <v>74</v>
      </c>
      <c r="BI427">
        <v>7</v>
      </c>
      <c r="BJ427" t="s">
        <v>271</v>
      </c>
      <c r="BK427" t="s">
        <v>100</v>
      </c>
      <c r="BL427" t="s">
        <v>271</v>
      </c>
      <c r="BM427" t="s">
        <v>7443</v>
      </c>
      <c r="BN427" t="s">
        <v>74</v>
      </c>
      <c r="BO427" t="s">
        <v>74</v>
      </c>
      <c r="BP427" t="s">
        <v>74</v>
      </c>
      <c r="BQ427" t="s">
        <v>74</v>
      </c>
      <c r="BR427" t="s">
        <v>103</v>
      </c>
      <c r="BS427" t="s">
        <v>8006</v>
      </c>
      <c r="BT427" t="str">
        <f>HYPERLINK("https%3A%2F%2Fwww.webofscience.com%2Fwos%2Fwoscc%2Ffull-record%2FWOS:000291079800004","View Full Record in Web of Science")</f>
        <v>View Full Record in Web of Science</v>
      </c>
    </row>
    <row r="428" spans="1:72" x14ac:dyDescent="0.15">
      <c r="A428" t="s">
        <v>72</v>
      </c>
      <c r="B428" t="s">
        <v>8007</v>
      </c>
      <c r="C428" t="s">
        <v>74</v>
      </c>
      <c r="D428" t="s">
        <v>74</v>
      </c>
      <c r="E428" t="s">
        <v>74</v>
      </c>
      <c r="F428" t="s">
        <v>8008</v>
      </c>
      <c r="G428" t="s">
        <v>74</v>
      </c>
      <c r="H428" t="s">
        <v>74</v>
      </c>
      <c r="I428" t="s">
        <v>8009</v>
      </c>
      <c r="J428" t="s">
        <v>4460</v>
      </c>
      <c r="K428" t="s">
        <v>74</v>
      </c>
      <c r="L428" t="s">
        <v>74</v>
      </c>
      <c r="M428" t="s">
        <v>78</v>
      </c>
      <c r="N428" t="s">
        <v>79</v>
      </c>
      <c r="O428" t="s">
        <v>74</v>
      </c>
      <c r="P428" t="s">
        <v>74</v>
      </c>
      <c r="Q428" t="s">
        <v>74</v>
      </c>
      <c r="R428" t="s">
        <v>74</v>
      </c>
      <c r="S428" t="s">
        <v>74</v>
      </c>
      <c r="T428" t="s">
        <v>8010</v>
      </c>
      <c r="U428" t="s">
        <v>8011</v>
      </c>
      <c r="V428" t="s">
        <v>8012</v>
      </c>
      <c r="W428" t="s">
        <v>8013</v>
      </c>
      <c r="X428" t="s">
        <v>8014</v>
      </c>
      <c r="Y428" t="s">
        <v>8015</v>
      </c>
      <c r="Z428" t="s">
        <v>8016</v>
      </c>
      <c r="AA428" t="s">
        <v>8017</v>
      </c>
      <c r="AB428" t="s">
        <v>8018</v>
      </c>
      <c r="AC428" t="s">
        <v>8019</v>
      </c>
      <c r="AD428" t="s">
        <v>8020</v>
      </c>
      <c r="AE428" t="s">
        <v>8021</v>
      </c>
      <c r="AF428" t="s">
        <v>74</v>
      </c>
      <c r="AG428">
        <v>27</v>
      </c>
      <c r="AH428">
        <v>40</v>
      </c>
      <c r="AI428">
        <v>46</v>
      </c>
      <c r="AJ428">
        <v>3</v>
      </c>
      <c r="AK428">
        <v>32</v>
      </c>
      <c r="AL428" t="s">
        <v>926</v>
      </c>
      <c r="AM428" t="s">
        <v>508</v>
      </c>
      <c r="AN428" t="s">
        <v>927</v>
      </c>
      <c r="AO428" t="s">
        <v>4472</v>
      </c>
      <c r="AP428" t="s">
        <v>74</v>
      </c>
      <c r="AQ428" t="s">
        <v>74</v>
      </c>
      <c r="AR428" t="s">
        <v>4474</v>
      </c>
      <c r="AS428" t="s">
        <v>4475</v>
      </c>
      <c r="AT428" t="s">
        <v>7032</v>
      </c>
      <c r="AU428">
        <v>2011</v>
      </c>
      <c r="AV428">
        <v>58</v>
      </c>
      <c r="AW428" t="s">
        <v>4068</v>
      </c>
      <c r="AX428" t="s">
        <v>74</v>
      </c>
      <c r="AY428" t="s">
        <v>74</v>
      </c>
      <c r="AZ428" t="s">
        <v>74</v>
      </c>
      <c r="BA428" t="s">
        <v>74</v>
      </c>
      <c r="BB428">
        <v>1336</v>
      </c>
      <c r="BC428">
        <v>1345</v>
      </c>
      <c r="BD428" t="s">
        <v>74</v>
      </c>
      <c r="BE428" t="s">
        <v>8022</v>
      </c>
      <c r="BF428" t="str">
        <f>HYPERLINK("http://dx.doi.org/10.1016/j.dsr2.2010.11.009","http://dx.doi.org/10.1016/j.dsr2.2010.11.009")</f>
        <v>http://dx.doi.org/10.1016/j.dsr2.2010.11.009</v>
      </c>
      <c r="BG428" t="s">
        <v>74</v>
      </c>
      <c r="BH428" t="s">
        <v>74</v>
      </c>
      <c r="BI428">
        <v>10</v>
      </c>
      <c r="BJ428" t="s">
        <v>271</v>
      </c>
      <c r="BK428" t="s">
        <v>100</v>
      </c>
      <c r="BL428" t="s">
        <v>271</v>
      </c>
      <c r="BM428" t="s">
        <v>7443</v>
      </c>
      <c r="BN428" t="s">
        <v>74</v>
      </c>
      <c r="BO428" t="s">
        <v>74</v>
      </c>
      <c r="BP428" t="s">
        <v>74</v>
      </c>
      <c r="BQ428" t="s">
        <v>74</v>
      </c>
      <c r="BR428" t="s">
        <v>103</v>
      </c>
      <c r="BS428" t="s">
        <v>8023</v>
      </c>
      <c r="BT428" t="str">
        <f>HYPERLINK("https%3A%2F%2Fwww.webofscience.com%2Fwos%2Fwoscc%2Ffull-record%2FWOS:000291079800007","View Full Record in Web of Science")</f>
        <v>View Full Record in Web of Science</v>
      </c>
    </row>
    <row r="429" spans="1:72" x14ac:dyDescent="0.15">
      <c r="A429" t="s">
        <v>72</v>
      </c>
      <c r="B429" t="s">
        <v>8024</v>
      </c>
      <c r="C429" t="s">
        <v>74</v>
      </c>
      <c r="D429" t="s">
        <v>74</v>
      </c>
      <c r="E429" t="s">
        <v>74</v>
      </c>
      <c r="F429" t="s">
        <v>8025</v>
      </c>
      <c r="G429" t="s">
        <v>74</v>
      </c>
      <c r="H429" t="s">
        <v>74</v>
      </c>
      <c r="I429" t="s">
        <v>8026</v>
      </c>
      <c r="J429" t="s">
        <v>4460</v>
      </c>
      <c r="K429" t="s">
        <v>74</v>
      </c>
      <c r="L429" t="s">
        <v>74</v>
      </c>
      <c r="M429" t="s">
        <v>78</v>
      </c>
      <c r="N429" t="s">
        <v>79</v>
      </c>
      <c r="O429" t="s">
        <v>74</v>
      </c>
      <c r="P429" t="s">
        <v>74</v>
      </c>
      <c r="Q429" t="s">
        <v>74</v>
      </c>
      <c r="R429" t="s">
        <v>74</v>
      </c>
      <c r="S429" t="s">
        <v>74</v>
      </c>
      <c r="T429" t="s">
        <v>8027</v>
      </c>
      <c r="U429" t="s">
        <v>8028</v>
      </c>
      <c r="V429" t="s">
        <v>8029</v>
      </c>
      <c r="W429" t="s">
        <v>8030</v>
      </c>
      <c r="X429" t="s">
        <v>8031</v>
      </c>
      <c r="Y429" t="s">
        <v>8032</v>
      </c>
      <c r="Z429" t="s">
        <v>8033</v>
      </c>
      <c r="AA429" t="s">
        <v>8034</v>
      </c>
      <c r="AB429" t="s">
        <v>8035</v>
      </c>
      <c r="AC429" t="s">
        <v>8036</v>
      </c>
      <c r="AD429" t="s">
        <v>2421</v>
      </c>
      <c r="AE429" t="s">
        <v>8037</v>
      </c>
      <c r="AF429" t="s">
        <v>74</v>
      </c>
      <c r="AG429">
        <v>47</v>
      </c>
      <c r="AH429">
        <v>67</v>
      </c>
      <c r="AI429">
        <v>77</v>
      </c>
      <c r="AJ429">
        <v>0</v>
      </c>
      <c r="AK429">
        <v>36</v>
      </c>
      <c r="AL429" t="s">
        <v>926</v>
      </c>
      <c r="AM429" t="s">
        <v>508</v>
      </c>
      <c r="AN429" t="s">
        <v>927</v>
      </c>
      <c r="AO429" t="s">
        <v>4472</v>
      </c>
      <c r="AP429" t="s">
        <v>4473</v>
      </c>
      <c r="AQ429" t="s">
        <v>74</v>
      </c>
      <c r="AR429" t="s">
        <v>4474</v>
      </c>
      <c r="AS429" t="s">
        <v>4475</v>
      </c>
      <c r="AT429" t="s">
        <v>7032</v>
      </c>
      <c r="AU429">
        <v>2011</v>
      </c>
      <c r="AV429">
        <v>58</v>
      </c>
      <c r="AW429" t="s">
        <v>4068</v>
      </c>
      <c r="AX429" t="s">
        <v>74</v>
      </c>
      <c r="AY429" t="s">
        <v>74</v>
      </c>
      <c r="AZ429" t="s">
        <v>74</v>
      </c>
      <c r="BA429" t="s">
        <v>74</v>
      </c>
      <c r="BB429">
        <v>1376</v>
      </c>
      <c r="BC429">
        <v>1383</v>
      </c>
      <c r="BD429" t="s">
        <v>74</v>
      </c>
      <c r="BE429" t="s">
        <v>8038</v>
      </c>
      <c r="BF429" t="str">
        <f>HYPERLINK("http://dx.doi.org/10.1016/j.dsr2.2010.11.012","http://dx.doi.org/10.1016/j.dsr2.2010.11.012")</f>
        <v>http://dx.doi.org/10.1016/j.dsr2.2010.11.012</v>
      </c>
      <c r="BG429" t="s">
        <v>74</v>
      </c>
      <c r="BH429" t="s">
        <v>74</v>
      </c>
      <c r="BI429">
        <v>8</v>
      </c>
      <c r="BJ429" t="s">
        <v>271</v>
      </c>
      <c r="BK429" t="s">
        <v>100</v>
      </c>
      <c r="BL429" t="s">
        <v>271</v>
      </c>
      <c r="BM429" t="s">
        <v>7443</v>
      </c>
      <c r="BN429" t="s">
        <v>74</v>
      </c>
      <c r="BO429" t="s">
        <v>74</v>
      </c>
      <c r="BP429" t="s">
        <v>74</v>
      </c>
      <c r="BQ429" t="s">
        <v>74</v>
      </c>
      <c r="BR429" t="s">
        <v>103</v>
      </c>
      <c r="BS429" t="s">
        <v>8039</v>
      </c>
      <c r="BT429" t="str">
        <f>HYPERLINK("https%3A%2F%2Fwww.webofscience.com%2Fwos%2Fwoscc%2Ffull-record%2FWOS:000291079800010","View Full Record in Web of Science")</f>
        <v>View Full Record in Web of Science</v>
      </c>
    </row>
    <row r="430" spans="1:72" x14ac:dyDescent="0.15">
      <c r="A430" t="s">
        <v>72</v>
      </c>
      <c r="B430" t="s">
        <v>8040</v>
      </c>
      <c r="C430" t="s">
        <v>74</v>
      </c>
      <c r="D430" t="s">
        <v>74</v>
      </c>
      <c r="E430" t="s">
        <v>74</v>
      </c>
      <c r="F430" t="s">
        <v>8041</v>
      </c>
      <c r="G430" t="s">
        <v>74</v>
      </c>
      <c r="H430" t="s">
        <v>74</v>
      </c>
      <c r="I430" t="s">
        <v>8042</v>
      </c>
      <c r="J430" t="s">
        <v>4460</v>
      </c>
      <c r="K430" t="s">
        <v>74</v>
      </c>
      <c r="L430" t="s">
        <v>74</v>
      </c>
      <c r="M430" t="s">
        <v>78</v>
      </c>
      <c r="N430" t="s">
        <v>79</v>
      </c>
      <c r="O430" t="s">
        <v>74</v>
      </c>
      <c r="P430" t="s">
        <v>74</v>
      </c>
      <c r="Q430" t="s">
        <v>74</v>
      </c>
      <c r="R430" t="s">
        <v>74</v>
      </c>
      <c r="S430" t="s">
        <v>74</v>
      </c>
      <c r="T430" t="s">
        <v>8043</v>
      </c>
      <c r="U430" t="s">
        <v>8044</v>
      </c>
      <c r="V430" t="s">
        <v>8045</v>
      </c>
      <c r="W430" t="s">
        <v>8046</v>
      </c>
      <c r="X430" t="s">
        <v>8047</v>
      </c>
      <c r="Y430" t="s">
        <v>8048</v>
      </c>
      <c r="Z430" t="s">
        <v>8049</v>
      </c>
      <c r="AA430" t="s">
        <v>74</v>
      </c>
      <c r="AB430" t="s">
        <v>74</v>
      </c>
      <c r="AC430" t="s">
        <v>8050</v>
      </c>
      <c r="AD430" t="s">
        <v>2421</v>
      </c>
      <c r="AE430" t="s">
        <v>8051</v>
      </c>
      <c r="AF430" t="s">
        <v>74</v>
      </c>
      <c r="AG430">
        <v>61</v>
      </c>
      <c r="AH430">
        <v>16</v>
      </c>
      <c r="AI430">
        <v>17</v>
      </c>
      <c r="AJ430">
        <v>2</v>
      </c>
      <c r="AK430">
        <v>28</v>
      </c>
      <c r="AL430" t="s">
        <v>926</v>
      </c>
      <c r="AM430" t="s">
        <v>508</v>
      </c>
      <c r="AN430" t="s">
        <v>927</v>
      </c>
      <c r="AO430" t="s">
        <v>4472</v>
      </c>
      <c r="AP430" t="s">
        <v>74</v>
      </c>
      <c r="AQ430" t="s">
        <v>74</v>
      </c>
      <c r="AR430" t="s">
        <v>4474</v>
      </c>
      <c r="AS430" t="s">
        <v>4475</v>
      </c>
      <c r="AT430" t="s">
        <v>7032</v>
      </c>
      <c r="AU430">
        <v>2011</v>
      </c>
      <c r="AV430">
        <v>58</v>
      </c>
      <c r="AW430" t="s">
        <v>4068</v>
      </c>
      <c r="AX430" t="s">
        <v>74</v>
      </c>
      <c r="AY430" t="s">
        <v>74</v>
      </c>
      <c r="AZ430" t="s">
        <v>74</v>
      </c>
      <c r="BA430" t="s">
        <v>74</v>
      </c>
      <c r="BB430">
        <v>1407</v>
      </c>
      <c r="BC430">
        <v>1421</v>
      </c>
      <c r="BD430" t="s">
        <v>74</v>
      </c>
      <c r="BE430" t="s">
        <v>8052</v>
      </c>
      <c r="BF430" t="str">
        <f>HYPERLINK("http://dx.doi.org/10.1016/j.dsr2.2010.11.021","http://dx.doi.org/10.1016/j.dsr2.2010.11.021")</f>
        <v>http://dx.doi.org/10.1016/j.dsr2.2010.11.021</v>
      </c>
      <c r="BG430" t="s">
        <v>74</v>
      </c>
      <c r="BH430" t="s">
        <v>74</v>
      </c>
      <c r="BI430">
        <v>15</v>
      </c>
      <c r="BJ430" t="s">
        <v>271</v>
      </c>
      <c r="BK430" t="s">
        <v>100</v>
      </c>
      <c r="BL430" t="s">
        <v>271</v>
      </c>
      <c r="BM430" t="s">
        <v>7443</v>
      </c>
      <c r="BN430" t="s">
        <v>74</v>
      </c>
      <c r="BO430" t="s">
        <v>74</v>
      </c>
      <c r="BP430" t="s">
        <v>74</v>
      </c>
      <c r="BQ430" t="s">
        <v>74</v>
      </c>
      <c r="BR430" t="s">
        <v>103</v>
      </c>
      <c r="BS430" t="s">
        <v>8053</v>
      </c>
      <c r="BT430" t="str">
        <f>HYPERLINK("https%3A%2F%2Fwww.webofscience.com%2Fwos%2Fwoscc%2Ffull-record%2FWOS:000291079800013","View Full Record in Web of Science")</f>
        <v>View Full Record in Web of Science</v>
      </c>
    </row>
    <row r="431" spans="1:72" x14ac:dyDescent="0.15">
      <c r="A431" t="s">
        <v>72</v>
      </c>
      <c r="B431" t="s">
        <v>8054</v>
      </c>
      <c r="C431" t="s">
        <v>74</v>
      </c>
      <c r="D431" t="s">
        <v>74</v>
      </c>
      <c r="E431" t="s">
        <v>74</v>
      </c>
      <c r="F431" t="s">
        <v>8055</v>
      </c>
      <c r="G431" t="s">
        <v>74</v>
      </c>
      <c r="H431" t="s">
        <v>74</v>
      </c>
      <c r="I431" t="s">
        <v>8056</v>
      </c>
      <c r="J431" t="s">
        <v>4460</v>
      </c>
      <c r="K431" t="s">
        <v>74</v>
      </c>
      <c r="L431" t="s">
        <v>74</v>
      </c>
      <c r="M431" t="s">
        <v>78</v>
      </c>
      <c r="N431" t="s">
        <v>79</v>
      </c>
      <c r="O431" t="s">
        <v>74</v>
      </c>
      <c r="P431" t="s">
        <v>74</v>
      </c>
      <c r="Q431" t="s">
        <v>74</v>
      </c>
      <c r="R431" t="s">
        <v>74</v>
      </c>
      <c r="S431" t="s">
        <v>74</v>
      </c>
      <c r="T431" t="s">
        <v>8057</v>
      </c>
      <c r="U431" t="s">
        <v>8058</v>
      </c>
      <c r="V431" t="s">
        <v>8059</v>
      </c>
      <c r="W431" t="s">
        <v>8060</v>
      </c>
      <c r="X431" t="s">
        <v>8061</v>
      </c>
      <c r="Y431" t="s">
        <v>8062</v>
      </c>
      <c r="Z431" t="s">
        <v>8063</v>
      </c>
      <c r="AA431" t="s">
        <v>74</v>
      </c>
      <c r="AB431" t="s">
        <v>74</v>
      </c>
      <c r="AC431" t="s">
        <v>8064</v>
      </c>
      <c r="AD431" t="s">
        <v>2421</v>
      </c>
      <c r="AE431" t="s">
        <v>8065</v>
      </c>
      <c r="AF431" t="s">
        <v>74</v>
      </c>
      <c r="AG431">
        <v>90</v>
      </c>
      <c r="AH431">
        <v>42</v>
      </c>
      <c r="AI431">
        <v>43</v>
      </c>
      <c r="AJ431">
        <v>2</v>
      </c>
      <c r="AK431">
        <v>30</v>
      </c>
      <c r="AL431" t="s">
        <v>926</v>
      </c>
      <c r="AM431" t="s">
        <v>508</v>
      </c>
      <c r="AN431" t="s">
        <v>927</v>
      </c>
      <c r="AO431" t="s">
        <v>4472</v>
      </c>
      <c r="AP431" t="s">
        <v>4473</v>
      </c>
      <c r="AQ431" t="s">
        <v>74</v>
      </c>
      <c r="AR431" t="s">
        <v>4474</v>
      </c>
      <c r="AS431" t="s">
        <v>4475</v>
      </c>
      <c r="AT431" t="s">
        <v>7032</v>
      </c>
      <c r="AU431">
        <v>2011</v>
      </c>
      <c r="AV431">
        <v>58</v>
      </c>
      <c r="AW431" t="s">
        <v>4068</v>
      </c>
      <c r="AX431" t="s">
        <v>74</v>
      </c>
      <c r="AY431" t="s">
        <v>74</v>
      </c>
      <c r="AZ431" t="s">
        <v>74</v>
      </c>
      <c r="BA431" t="s">
        <v>74</v>
      </c>
      <c r="BB431">
        <v>1422</v>
      </c>
      <c r="BC431">
        <v>1435</v>
      </c>
      <c r="BD431" t="s">
        <v>74</v>
      </c>
      <c r="BE431" t="s">
        <v>8066</v>
      </c>
      <c r="BF431" t="str">
        <f>HYPERLINK("http://dx.doi.org/10.1016/j.dsr2.2010.11.022","http://dx.doi.org/10.1016/j.dsr2.2010.11.022")</f>
        <v>http://dx.doi.org/10.1016/j.dsr2.2010.11.022</v>
      </c>
      <c r="BG431" t="s">
        <v>74</v>
      </c>
      <c r="BH431" t="s">
        <v>74</v>
      </c>
      <c r="BI431">
        <v>14</v>
      </c>
      <c r="BJ431" t="s">
        <v>271</v>
      </c>
      <c r="BK431" t="s">
        <v>100</v>
      </c>
      <c r="BL431" t="s">
        <v>271</v>
      </c>
      <c r="BM431" t="s">
        <v>7443</v>
      </c>
      <c r="BN431" t="s">
        <v>74</v>
      </c>
      <c r="BO431" t="s">
        <v>74</v>
      </c>
      <c r="BP431" t="s">
        <v>74</v>
      </c>
      <c r="BQ431" t="s">
        <v>74</v>
      </c>
      <c r="BR431" t="s">
        <v>103</v>
      </c>
      <c r="BS431" t="s">
        <v>8067</v>
      </c>
      <c r="BT431" t="str">
        <f>HYPERLINK("https%3A%2F%2Fwww.webofscience.com%2Fwos%2Fwoscc%2Ffull-record%2FWOS:000291079800014","View Full Record in Web of Science")</f>
        <v>View Full Record in Web of Science</v>
      </c>
    </row>
    <row r="432" spans="1:72" x14ac:dyDescent="0.15">
      <c r="A432" t="s">
        <v>72</v>
      </c>
      <c r="B432" t="s">
        <v>8068</v>
      </c>
      <c r="C432" t="s">
        <v>74</v>
      </c>
      <c r="D432" t="s">
        <v>74</v>
      </c>
      <c r="E432" t="s">
        <v>74</v>
      </c>
      <c r="F432" t="s">
        <v>8069</v>
      </c>
      <c r="G432" t="s">
        <v>74</v>
      </c>
      <c r="H432" t="s">
        <v>74</v>
      </c>
      <c r="I432" t="s">
        <v>8070</v>
      </c>
      <c r="J432" t="s">
        <v>4460</v>
      </c>
      <c r="K432" t="s">
        <v>74</v>
      </c>
      <c r="L432" t="s">
        <v>74</v>
      </c>
      <c r="M432" t="s">
        <v>78</v>
      </c>
      <c r="N432" t="s">
        <v>79</v>
      </c>
      <c r="O432" t="s">
        <v>74</v>
      </c>
      <c r="P432" t="s">
        <v>74</v>
      </c>
      <c r="Q432" t="s">
        <v>74</v>
      </c>
      <c r="R432" t="s">
        <v>74</v>
      </c>
      <c r="S432" t="s">
        <v>74</v>
      </c>
      <c r="T432" t="s">
        <v>8071</v>
      </c>
      <c r="U432" t="s">
        <v>8072</v>
      </c>
      <c r="V432" t="s">
        <v>8073</v>
      </c>
      <c r="W432" t="s">
        <v>8074</v>
      </c>
      <c r="X432" t="s">
        <v>8075</v>
      </c>
      <c r="Y432" t="s">
        <v>8076</v>
      </c>
      <c r="Z432" t="s">
        <v>8077</v>
      </c>
      <c r="AA432" t="s">
        <v>74</v>
      </c>
      <c r="AB432" t="s">
        <v>74</v>
      </c>
      <c r="AC432" t="s">
        <v>8078</v>
      </c>
      <c r="AD432" t="s">
        <v>8079</v>
      </c>
      <c r="AE432" t="s">
        <v>8080</v>
      </c>
      <c r="AF432" t="s">
        <v>74</v>
      </c>
      <c r="AG432">
        <v>33</v>
      </c>
      <c r="AH432">
        <v>11</v>
      </c>
      <c r="AI432">
        <v>11</v>
      </c>
      <c r="AJ432">
        <v>2</v>
      </c>
      <c r="AK432">
        <v>25</v>
      </c>
      <c r="AL432" t="s">
        <v>926</v>
      </c>
      <c r="AM432" t="s">
        <v>508</v>
      </c>
      <c r="AN432" t="s">
        <v>927</v>
      </c>
      <c r="AO432" t="s">
        <v>4472</v>
      </c>
      <c r="AP432" t="s">
        <v>74</v>
      </c>
      <c r="AQ432" t="s">
        <v>74</v>
      </c>
      <c r="AR432" t="s">
        <v>4474</v>
      </c>
      <c r="AS432" t="s">
        <v>4475</v>
      </c>
      <c r="AT432" t="s">
        <v>7032</v>
      </c>
      <c r="AU432">
        <v>2011</v>
      </c>
      <c r="AV432">
        <v>58</v>
      </c>
      <c r="AW432" t="s">
        <v>4068</v>
      </c>
      <c r="AX432" t="s">
        <v>74</v>
      </c>
      <c r="AY432" t="s">
        <v>74</v>
      </c>
      <c r="AZ432" t="s">
        <v>74</v>
      </c>
      <c r="BA432" t="s">
        <v>74</v>
      </c>
      <c r="BB432">
        <v>1451</v>
      </c>
      <c r="BC432">
        <v>1456</v>
      </c>
      <c r="BD432" t="s">
        <v>74</v>
      </c>
      <c r="BE432" t="s">
        <v>8081</v>
      </c>
      <c r="BF432" t="str">
        <f>HYPERLINK("http://dx.doi.org/10.1016/j.dsr2.2010.11.024","http://dx.doi.org/10.1016/j.dsr2.2010.11.024")</f>
        <v>http://dx.doi.org/10.1016/j.dsr2.2010.11.024</v>
      </c>
      <c r="BG432" t="s">
        <v>74</v>
      </c>
      <c r="BH432" t="s">
        <v>74</v>
      </c>
      <c r="BI432">
        <v>6</v>
      </c>
      <c r="BJ432" t="s">
        <v>271</v>
      </c>
      <c r="BK432" t="s">
        <v>100</v>
      </c>
      <c r="BL432" t="s">
        <v>271</v>
      </c>
      <c r="BM432" t="s">
        <v>7443</v>
      </c>
      <c r="BN432" t="s">
        <v>74</v>
      </c>
      <c r="BO432" t="s">
        <v>74</v>
      </c>
      <c r="BP432" t="s">
        <v>74</v>
      </c>
      <c r="BQ432" t="s">
        <v>74</v>
      </c>
      <c r="BR432" t="s">
        <v>103</v>
      </c>
      <c r="BS432" t="s">
        <v>8082</v>
      </c>
      <c r="BT432" t="str">
        <f>HYPERLINK("https%3A%2F%2Fwww.webofscience.com%2Fwos%2Fwoscc%2Ffull-record%2FWOS:000291079800016","View Full Record in Web of Science")</f>
        <v>View Full Record in Web of Science</v>
      </c>
    </row>
    <row r="433" spans="1:72" x14ac:dyDescent="0.15">
      <c r="A433" t="s">
        <v>72</v>
      </c>
      <c r="B433" t="s">
        <v>8083</v>
      </c>
      <c r="C433" t="s">
        <v>74</v>
      </c>
      <c r="D433" t="s">
        <v>74</v>
      </c>
      <c r="E433" t="s">
        <v>74</v>
      </c>
      <c r="F433" t="s">
        <v>8084</v>
      </c>
      <c r="G433" t="s">
        <v>74</v>
      </c>
      <c r="H433" t="s">
        <v>74</v>
      </c>
      <c r="I433" t="s">
        <v>8085</v>
      </c>
      <c r="J433" t="s">
        <v>4460</v>
      </c>
      <c r="K433" t="s">
        <v>74</v>
      </c>
      <c r="L433" t="s">
        <v>74</v>
      </c>
      <c r="M433" t="s">
        <v>78</v>
      </c>
      <c r="N433" t="s">
        <v>79</v>
      </c>
      <c r="O433" t="s">
        <v>74</v>
      </c>
      <c r="P433" t="s">
        <v>74</v>
      </c>
      <c r="Q433" t="s">
        <v>74</v>
      </c>
      <c r="R433" t="s">
        <v>74</v>
      </c>
      <c r="S433" t="s">
        <v>74</v>
      </c>
      <c r="T433" t="s">
        <v>8086</v>
      </c>
      <c r="U433" t="s">
        <v>8087</v>
      </c>
      <c r="V433" t="s">
        <v>8088</v>
      </c>
      <c r="W433" t="s">
        <v>8089</v>
      </c>
      <c r="X433" t="s">
        <v>8090</v>
      </c>
      <c r="Y433" t="s">
        <v>8091</v>
      </c>
      <c r="Z433" t="s">
        <v>8092</v>
      </c>
      <c r="AA433" t="s">
        <v>7455</v>
      </c>
      <c r="AB433" t="s">
        <v>8093</v>
      </c>
      <c r="AC433" t="s">
        <v>8094</v>
      </c>
      <c r="AD433" t="s">
        <v>8003</v>
      </c>
      <c r="AE433" t="s">
        <v>8095</v>
      </c>
      <c r="AF433" t="s">
        <v>74</v>
      </c>
      <c r="AG433">
        <v>52</v>
      </c>
      <c r="AH433">
        <v>15</v>
      </c>
      <c r="AI433">
        <v>16</v>
      </c>
      <c r="AJ433">
        <v>0</v>
      </c>
      <c r="AK433">
        <v>12</v>
      </c>
      <c r="AL433" t="s">
        <v>926</v>
      </c>
      <c r="AM433" t="s">
        <v>508</v>
      </c>
      <c r="AN433" t="s">
        <v>927</v>
      </c>
      <c r="AO433" t="s">
        <v>4472</v>
      </c>
      <c r="AP433" t="s">
        <v>4473</v>
      </c>
      <c r="AQ433" t="s">
        <v>74</v>
      </c>
      <c r="AR433" t="s">
        <v>4474</v>
      </c>
      <c r="AS433" t="s">
        <v>4475</v>
      </c>
      <c r="AT433" t="s">
        <v>7032</v>
      </c>
      <c r="AU433">
        <v>2011</v>
      </c>
      <c r="AV433">
        <v>58</v>
      </c>
      <c r="AW433" t="s">
        <v>4068</v>
      </c>
      <c r="AX433" t="s">
        <v>74</v>
      </c>
      <c r="AY433" t="s">
        <v>74</v>
      </c>
      <c r="AZ433" t="s">
        <v>74</v>
      </c>
      <c r="BA433" t="s">
        <v>74</v>
      </c>
      <c r="BB433">
        <v>1457</v>
      </c>
      <c r="BC433">
        <v>1468</v>
      </c>
      <c r="BD433" t="s">
        <v>74</v>
      </c>
      <c r="BE433" t="s">
        <v>8096</v>
      </c>
      <c r="BF433" t="str">
        <f>HYPERLINK("http://dx.doi.org/10.1016/j.dsr2.2010.11.025","http://dx.doi.org/10.1016/j.dsr2.2010.11.025")</f>
        <v>http://dx.doi.org/10.1016/j.dsr2.2010.11.025</v>
      </c>
      <c r="BG433" t="s">
        <v>74</v>
      </c>
      <c r="BH433" t="s">
        <v>74</v>
      </c>
      <c r="BI433">
        <v>12</v>
      </c>
      <c r="BJ433" t="s">
        <v>271</v>
      </c>
      <c r="BK433" t="s">
        <v>100</v>
      </c>
      <c r="BL433" t="s">
        <v>271</v>
      </c>
      <c r="BM433" t="s">
        <v>7443</v>
      </c>
      <c r="BN433" t="s">
        <v>74</v>
      </c>
      <c r="BO433" t="s">
        <v>702</v>
      </c>
      <c r="BP433" t="s">
        <v>74</v>
      </c>
      <c r="BQ433" t="s">
        <v>74</v>
      </c>
      <c r="BR433" t="s">
        <v>103</v>
      </c>
      <c r="BS433" t="s">
        <v>8097</v>
      </c>
      <c r="BT433" t="str">
        <f>HYPERLINK("https%3A%2F%2Fwww.webofscience.com%2Fwos%2Fwoscc%2Ffull-record%2FWOS:000291079800017","View Full Record in Web of Science")</f>
        <v>View Full Record in Web of Science</v>
      </c>
    </row>
    <row r="434" spans="1:72" x14ac:dyDescent="0.15">
      <c r="A434" t="s">
        <v>72</v>
      </c>
      <c r="B434" t="s">
        <v>8098</v>
      </c>
      <c r="C434" t="s">
        <v>74</v>
      </c>
      <c r="D434" t="s">
        <v>74</v>
      </c>
      <c r="E434" t="s">
        <v>74</v>
      </c>
      <c r="F434" t="s">
        <v>8099</v>
      </c>
      <c r="G434" t="s">
        <v>74</v>
      </c>
      <c r="H434" t="s">
        <v>74</v>
      </c>
      <c r="I434" t="s">
        <v>8100</v>
      </c>
      <c r="J434" t="s">
        <v>8101</v>
      </c>
      <c r="K434" t="s">
        <v>74</v>
      </c>
      <c r="L434" t="s">
        <v>74</v>
      </c>
      <c r="M434" t="s">
        <v>78</v>
      </c>
      <c r="N434" t="s">
        <v>79</v>
      </c>
      <c r="O434" t="s">
        <v>74</v>
      </c>
      <c r="P434" t="s">
        <v>74</v>
      </c>
      <c r="Q434" t="s">
        <v>74</v>
      </c>
      <c r="R434" t="s">
        <v>74</v>
      </c>
      <c r="S434" t="s">
        <v>74</v>
      </c>
      <c r="T434" t="s">
        <v>8102</v>
      </c>
      <c r="U434" t="s">
        <v>8103</v>
      </c>
      <c r="V434" t="s">
        <v>8104</v>
      </c>
      <c r="W434" t="s">
        <v>8105</v>
      </c>
      <c r="X434" t="s">
        <v>8106</v>
      </c>
      <c r="Y434" t="s">
        <v>8107</v>
      </c>
      <c r="Z434" t="s">
        <v>8108</v>
      </c>
      <c r="AA434" t="s">
        <v>74</v>
      </c>
      <c r="AB434" t="s">
        <v>8109</v>
      </c>
      <c r="AC434" t="s">
        <v>8110</v>
      </c>
      <c r="AD434" t="s">
        <v>8111</v>
      </c>
      <c r="AE434" t="s">
        <v>8112</v>
      </c>
      <c r="AF434" t="s">
        <v>74</v>
      </c>
      <c r="AG434">
        <v>34</v>
      </c>
      <c r="AH434">
        <v>17</v>
      </c>
      <c r="AI434">
        <v>18</v>
      </c>
      <c r="AJ434">
        <v>1</v>
      </c>
      <c r="AK434">
        <v>17</v>
      </c>
      <c r="AL434" t="s">
        <v>8113</v>
      </c>
      <c r="AM434" t="s">
        <v>8114</v>
      </c>
      <c r="AN434" t="s">
        <v>8115</v>
      </c>
      <c r="AO434" t="s">
        <v>8116</v>
      </c>
      <c r="AP434" t="s">
        <v>8117</v>
      </c>
      <c r="AQ434" t="s">
        <v>74</v>
      </c>
      <c r="AR434" t="s">
        <v>8118</v>
      </c>
      <c r="AS434" t="s">
        <v>8119</v>
      </c>
      <c r="AT434" t="s">
        <v>7032</v>
      </c>
      <c r="AU434">
        <v>2011</v>
      </c>
      <c r="AV434">
        <v>141</v>
      </c>
      <c r="AW434" t="s">
        <v>8120</v>
      </c>
      <c r="AX434" t="s">
        <v>74</v>
      </c>
      <c r="AY434" t="s">
        <v>74</v>
      </c>
      <c r="AZ434" t="s">
        <v>74</v>
      </c>
      <c r="BA434" t="s">
        <v>74</v>
      </c>
      <c r="BB434">
        <v>150</v>
      </c>
      <c r="BC434">
        <v>158</v>
      </c>
      <c r="BD434" t="s">
        <v>74</v>
      </c>
      <c r="BE434" t="s">
        <v>8121</v>
      </c>
      <c r="BF434" t="str">
        <f>HYPERLINK("http://dx.doi.org/10.1007/s12011-010-8739-5","http://dx.doi.org/10.1007/s12011-010-8739-5")</f>
        <v>http://dx.doi.org/10.1007/s12011-010-8739-5</v>
      </c>
      <c r="BG434" t="s">
        <v>74</v>
      </c>
      <c r="BH434" t="s">
        <v>74</v>
      </c>
      <c r="BI434">
        <v>9</v>
      </c>
      <c r="BJ434" t="s">
        <v>8122</v>
      </c>
      <c r="BK434" t="s">
        <v>100</v>
      </c>
      <c r="BL434" t="s">
        <v>8122</v>
      </c>
      <c r="BM434" t="s">
        <v>8123</v>
      </c>
      <c r="BN434">
        <v>20571934</v>
      </c>
      <c r="BO434" t="s">
        <v>74</v>
      </c>
      <c r="BP434" t="s">
        <v>74</v>
      </c>
      <c r="BQ434" t="s">
        <v>74</v>
      </c>
      <c r="BR434" t="s">
        <v>103</v>
      </c>
      <c r="BS434" t="s">
        <v>8124</v>
      </c>
      <c r="BT434" t="str">
        <f>HYPERLINK("https%3A%2F%2Fwww.webofscience.com%2Fwos%2Fwoscc%2Ffull-record%2FWOS:000290727800016","View Full Record in Web of Science")</f>
        <v>View Full Record in Web of Science</v>
      </c>
    </row>
    <row r="435" spans="1:72" x14ac:dyDescent="0.15">
      <c r="A435" t="s">
        <v>72</v>
      </c>
      <c r="B435" t="s">
        <v>8125</v>
      </c>
      <c r="C435" t="s">
        <v>74</v>
      </c>
      <c r="D435" t="s">
        <v>74</v>
      </c>
      <c r="E435" t="s">
        <v>74</v>
      </c>
      <c r="F435" t="s">
        <v>8126</v>
      </c>
      <c r="G435" t="s">
        <v>74</v>
      </c>
      <c r="H435" t="s">
        <v>74</v>
      </c>
      <c r="I435" t="s">
        <v>8127</v>
      </c>
      <c r="J435" t="s">
        <v>2955</v>
      </c>
      <c r="K435" t="s">
        <v>74</v>
      </c>
      <c r="L435" t="s">
        <v>74</v>
      </c>
      <c r="M435" t="s">
        <v>78</v>
      </c>
      <c r="N435" t="s">
        <v>79</v>
      </c>
      <c r="O435" t="s">
        <v>74</v>
      </c>
      <c r="P435" t="s">
        <v>74</v>
      </c>
      <c r="Q435" t="s">
        <v>74</v>
      </c>
      <c r="R435" t="s">
        <v>74</v>
      </c>
      <c r="S435" t="s">
        <v>74</v>
      </c>
      <c r="T435" t="s">
        <v>8128</v>
      </c>
      <c r="U435" t="s">
        <v>8129</v>
      </c>
      <c r="V435" t="s">
        <v>8130</v>
      </c>
      <c r="W435" t="s">
        <v>8131</v>
      </c>
      <c r="X435" t="s">
        <v>8132</v>
      </c>
      <c r="Y435" t="s">
        <v>8133</v>
      </c>
      <c r="Z435" t="s">
        <v>8134</v>
      </c>
      <c r="AA435" t="s">
        <v>8135</v>
      </c>
      <c r="AB435" t="s">
        <v>8136</v>
      </c>
      <c r="AC435" t="s">
        <v>8137</v>
      </c>
      <c r="AD435" t="s">
        <v>8138</v>
      </c>
      <c r="AE435" t="s">
        <v>8139</v>
      </c>
      <c r="AF435" t="s">
        <v>74</v>
      </c>
      <c r="AG435">
        <v>39</v>
      </c>
      <c r="AH435">
        <v>11</v>
      </c>
      <c r="AI435">
        <v>17</v>
      </c>
      <c r="AJ435">
        <v>0</v>
      </c>
      <c r="AK435">
        <v>11</v>
      </c>
      <c r="AL435" t="s">
        <v>2968</v>
      </c>
      <c r="AM435" t="s">
        <v>508</v>
      </c>
      <c r="AN435" t="s">
        <v>2969</v>
      </c>
      <c r="AO435" t="s">
        <v>2970</v>
      </c>
      <c r="AP435" t="s">
        <v>2971</v>
      </c>
      <c r="AQ435" t="s">
        <v>74</v>
      </c>
      <c r="AR435" t="s">
        <v>2972</v>
      </c>
      <c r="AS435" t="s">
        <v>2973</v>
      </c>
      <c r="AT435" t="s">
        <v>7032</v>
      </c>
      <c r="AU435">
        <v>2011</v>
      </c>
      <c r="AV435">
        <v>319</v>
      </c>
      <c r="AW435">
        <v>2</v>
      </c>
      <c r="AX435" t="s">
        <v>74</v>
      </c>
      <c r="AY435" t="s">
        <v>74</v>
      </c>
      <c r="AZ435" t="s">
        <v>74</v>
      </c>
      <c r="BA435" t="s">
        <v>74</v>
      </c>
      <c r="BB435">
        <v>106</v>
      </c>
      <c r="BC435">
        <v>114</v>
      </c>
      <c r="BD435" t="s">
        <v>74</v>
      </c>
      <c r="BE435" t="s">
        <v>8140</v>
      </c>
      <c r="BF435" t="str">
        <f>HYPERLINK("http://dx.doi.org/10.1111/j.1574-6968.2011.02269.x","http://dx.doi.org/10.1111/j.1574-6968.2011.02269.x")</f>
        <v>http://dx.doi.org/10.1111/j.1574-6968.2011.02269.x</v>
      </c>
      <c r="BG435" t="s">
        <v>74</v>
      </c>
      <c r="BH435" t="s">
        <v>74</v>
      </c>
      <c r="BI435">
        <v>9</v>
      </c>
      <c r="BJ435" t="s">
        <v>892</v>
      </c>
      <c r="BK435" t="s">
        <v>100</v>
      </c>
      <c r="BL435" t="s">
        <v>892</v>
      </c>
      <c r="BM435" t="s">
        <v>8141</v>
      </c>
      <c r="BN435">
        <v>21426380</v>
      </c>
      <c r="BO435" t="s">
        <v>152</v>
      </c>
      <c r="BP435" t="s">
        <v>74</v>
      </c>
      <c r="BQ435" t="s">
        <v>74</v>
      </c>
      <c r="BR435" t="s">
        <v>103</v>
      </c>
      <c r="BS435" t="s">
        <v>8142</v>
      </c>
      <c r="BT435" t="str">
        <f>HYPERLINK("https%3A%2F%2Fwww.webofscience.com%2Fwos%2Fwoscc%2Ffull-record%2FWOS:000290687800002","View Full Record in Web of Science")</f>
        <v>View Full Record in Web of Science</v>
      </c>
    </row>
    <row r="436" spans="1:72" x14ac:dyDescent="0.15">
      <c r="A436" t="s">
        <v>72</v>
      </c>
      <c r="B436" t="s">
        <v>8143</v>
      </c>
      <c r="C436" t="s">
        <v>74</v>
      </c>
      <c r="D436" t="s">
        <v>74</v>
      </c>
      <c r="E436" t="s">
        <v>74</v>
      </c>
      <c r="F436" t="s">
        <v>8144</v>
      </c>
      <c r="G436" t="s">
        <v>74</v>
      </c>
      <c r="H436" t="s">
        <v>74</v>
      </c>
      <c r="I436" t="s">
        <v>8145</v>
      </c>
      <c r="J436" t="s">
        <v>8146</v>
      </c>
      <c r="K436" t="s">
        <v>74</v>
      </c>
      <c r="L436" t="s">
        <v>74</v>
      </c>
      <c r="M436" t="s">
        <v>78</v>
      </c>
      <c r="N436" t="s">
        <v>79</v>
      </c>
      <c r="O436" t="s">
        <v>74</v>
      </c>
      <c r="P436" t="s">
        <v>74</v>
      </c>
      <c r="Q436" t="s">
        <v>74</v>
      </c>
      <c r="R436" t="s">
        <v>74</v>
      </c>
      <c r="S436" t="s">
        <v>74</v>
      </c>
      <c r="T436" t="s">
        <v>8147</v>
      </c>
      <c r="U436" t="s">
        <v>74</v>
      </c>
      <c r="V436" t="s">
        <v>8148</v>
      </c>
      <c r="W436" t="s">
        <v>8149</v>
      </c>
      <c r="X436" t="s">
        <v>8150</v>
      </c>
      <c r="Y436" t="s">
        <v>8151</v>
      </c>
      <c r="Z436" t="s">
        <v>8152</v>
      </c>
      <c r="AA436" t="s">
        <v>8153</v>
      </c>
      <c r="AB436" t="s">
        <v>8154</v>
      </c>
      <c r="AC436" t="s">
        <v>8155</v>
      </c>
      <c r="AD436" t="s">
        <v>8156</v>
      </c>
      <c r="AE436" t="s">
        <v>8157</v>
      </c>
      <c r="AF436" t="s">
        <v>74</v>
      </c>
      <c r="AG436">
        <v>11</v>
      </c>
      <c r="AH436">
        <v>9</v>
      </c>
      <c r="AI436">
        <v>10</v>
      </c>
      <c r="AJ436">
        <v>0</v>
      </c>
      <c r="AK436">
        <v>5</v>
      </c>
      <c r="AL436" t="s">
        <v>8158</v>
      </c>
      <c r="AM436" t="s">
        <v>1490</v>
      </c>
      <c r="AN436" t="s">
        <v>8159</v>
      </c>
      <c r="AO436" t="s">
        <v>8160</v>
      </c>
      <c r="AP436" t="s">
        <v>8161</v>
      </c>
      <c r="AQ436" t="s">
        <v>74</v>
      </c>
      <c r="AR436" t="s">
        <v>8162</v>
      </c>
      <c r="AS436" t="s">
        <v>8163</v>
      </c>
      <c r="AT436" t="s">
        <v>7032</v>
      </c>
      <c r="AU436">
        <v>2011</v>
      </c>
      <c r="AV436">
        <v>65</v>
      </c>
      <c r="AW436">
        <v>2</v>
      </c>
      <c r="AX436" t="s">
        <v>74</v>
      </c>
      <c r="AY436" t="s">
        <v>74</v>
      </c>
      <c r="AZ436" t="s">
        <v>74</v>
      </c>
      <c r="BA436" t="s">
        <v>74</v>
      </c>
      <c r="BB436">
        <v>257</v>
      </c>
      <c r="BC436">
        <v>261</v>
      </c>
      <c r="BD436" t="s">
        <v>74</v>
      </c>
      <c r="BE436" t="s">
        <v>8164</v>
      </c>
      <c r="BF436" t="str">
        <f>HYPERLINK("http://dx.doi.org/10.1007/s10152-011-0248-1","http://dx.doi.org/10.1007/s10152-011-0248-1")</f>
        <v>http://dx.doi.org/10.1007/s10152-011-0248-1</v>
      </c>
      <c r="BG436" t="s">
        <v>74</v>
      </c>
      <c r="BH436" t="s">
        <v>74</v>
      </c>
      <c r="BI436">
        <v>5</v>
      </c>
      <c r="BJ436" t="s">
        <v>5605</v>
      </c>
      <c r="BK436" t="s">
        <v>100</v>
      </c>
      <c r="BL436" t="s">
        <v>5605</v>
      </c>
      <c r="BM436" t="s">
        <v>8165</v>
      </c>
      <c r="BN436" t="s">
        <v>74</v>
      </c>
      <c r="BO436" t="s">
        <v>1051</v>
      </c>
      <c r="BP436" t="s">
        <v>74</v>
      </c>
      <c r="BQ436" t="s">
        <v>74</v>
      </c>
      <c r="BR436" t="s">
        <v>103</v>
      </c>
      <c r="BS436" t="s">
        <v>8166</v>
      </c>
      <c r="BT436" t="str">
        <f>HYPERLINK("https%3A%2F%2Fwww.webofscience.com%2Fwos%2Fwoscc%2Ffull-record%2FWOS:000290677400016","View Full Record in Web of Science")</f>
        <v>View Full Record in Web of Science</v>
      </c>
    </row>
    <row r="437" spans="1:72" x14ac:dyDescent="0.15">
      <c r="A437" t="s">
        <v>72</v>
      </c>
      <c r="B437" t="s">
        <v>8167</v>
      </c>
      <c r="C437" t="s">
        <v>74</v>
      </c>
      <c r="D437" t="s">
        <v>74</v>
      </c>
      <c r="E437" t="s">
        <v>74</v>
      </c>
      <c r="F437" t="s">
        <v>8168</v>
      </c>
      <c r="G437" t="s">
        <v>74</v>
      </c>
      <c r="H437" t="s">
        <v>74</v>
      </c>
      <c r="I437" t="s">
        <v>8169</v>
      </c>
      <c r="J437" t="s">
        <v>8170</v>
      </c>
      <c r="K437" t="s">
        <v>74</v>
      </c>
      <c r="L437" t="s">
        <v>74</v>
      </c>
      <c r="M437" t="s">
        <v>78</v>
      </c>
      <c r="N437" t="s">
        <v>79</v>
      </c>
      <c r="O437" t="s">
        <v>74</v>
      </c>
      <c r="P437" t="s">
        <v>74</v>
      </c>
      <c r="Q437" t="s">
        <v>74</v>
      </c>
      <c r="R437" t="s">
        <v>74</v>
      </c>
      <c r="S437" t="s">
        <v>74</v>
      </c>
      <c r="T437" t="s">
        <v>8171</v>
      </c>
      <c r="U437" t="s">
        <v>8172</v>
      </c>
      <c r="V437" t="s">
        <v>8173</v>
      </c>
      <c r="W437" t="s">
        <v>8174</v>
      </c>
      <c r="X437" t="s">
        <v>8175</v>
      </c>
      <c r="Y437" t="s">
        <v>8176</v>
      </c>
      <c r="Z437" t="s">
        <v>8177</v>
      </c>
      <c r="AA437" t="s">
        <v>74</v>
      </c>
      <c r="AB437" t="s">
        <v>74</v>
      </c>
      <c r="AC437" t="s">
        <v>74</v>
      </c>
      <c r="AD437" t="s">
        <v>74</v>
      </c>
      <c r="AE437" t="s">
        <v>74</v>
      </c>
      <c r="AF437" t="s">
        <v>74</v>
      </c>
      <c r="AG437">
        <v>50</v>
      </c>
      <c r="AH437">
        <v>8</v>
      </c>
      <c r="AI437">
        <v>8</v>
      </c>
      <c r="AJ437">
        <v>0</v>
      </c>
      <c r="AK437">
        <v>12</v>
      </c>
      <c r="AL437" t="s">
        <v>1851</v>
      </c>
      <c r="AM437" t="s">
        <v>1852</v>
      </c>
      <c r="AN437" t="s">
        <v>1853</v>
      </c>
      <c r="AO437" t="s">
        <v>8178</v>
      </c>
      <c r="AP437" t="s">
        <v>8179</v>
      </c>
      <c r="AQ437" t="s">
        <v>74</v>
      </c>
      <c r="AR437" t="s">
        <v>8180</v>
      </c>
      <c r="AS437" t="s">
        <v>8181</v>
      </c>
      <c r="AT437" t="s">
        <v>7032</v>
      </c>
      <c r="AU437">
        <v>2011</v>
      </c>
      <c r="AV437">
        <v>107</v>
      </c>
      <c r="AW437">
        <v>2</v>
      </c>
      <c r="AX437" t="s">
        <v>74</v>
      </c>
      <c r="AY437" t="s">
        <v>74</v>
      </c>
      <c r="AZ437" t="s">
        <v>74</v>
      </c>
      <c r="BA437" t="s">
        <v>74</v>
      </c>
      <c r="BB437">
        <v>132</v>
      </c>
      <c r="BC437">
        <v>138</v>
      </c>
      <c r="BD437" t="s">
        <v>74</v>
      </c>
      <c r="BE437" t="s">
        <v>8182</v>
      </c>
      <c r="BF437" t="str">
        <f>HYPERLINK("http://dx.doi.org/10.1016/j.jip.2011.03.008","http://dx.doi.org/10.1016/j.jip.2011.03.008")</f>
        <v>http://dx.doi.org/10.1016/j.jip.2011.03.008</v>
      </c>
      <c r="BG437" t="s">
        <v>74</v>
      </c>
      <c r="BH437" t="s">
        <v>74</v>
      </c>
      <c r="BI437">
        <v>7</v>
      </c>
      <c r="BJ437" t="s">
        <v>3232</v>
      </c>
      <c r="BK437" t="s">
        <v>100</v>
      </c>
      <c r="BL437" t="s">
        <v>3232</v>
      </c>
      <c r="BM437" t="s">
        <v>8183</v>
      </c>
      <c r="BN437">
        <v>21457716</v>
      </c>
      <c r="BO437" t="s">
        <v>74</v>
      </c>
      <c r="BP437" t="s">
        <v>74</v>
      </c>
      <c r="BQ437" t="s">
        <v>74</v>
      </c>
      <c r="BR437" t="s">
        <v>103</v>
      </c>
      <c r="BS437" t="s">
        <v>8184</v>
      </c>
      <c r="BT437" t="str">
        <f>HYPERLINK("https%3A%2F%2Fwww.webofscience.com%2Fwos%2Fwoscc%2Ffull-record%2FWOS:000290922100006","View Full Record in Web of Science")</f>
        <v>View Full Record in Web of Science</v>
      </c>
    </row>
    <row r="438" spans="1:72" x14ac:dyDescent="0.15">
      <c r="A438" t="s">
        <v>72</v>
      </c>
      <c r="B438" t="s">
        <v>8185</v>
      </c>
      <c r="C438" t="s">
        <v>74</v>
      </c>
      <c r="D438" t="s">
        <v>74</v>
      </c>
      <c r="E438" t="s">
        <v>74</v>
      </c>
      <c r="F438" t="s">
        <v>8186</v>
      </c>
      <c r="G438" t="s">
        <v>74</v>
      </c>
      <c r="H438" t="s">
        <v>74</v>
      </c>
      <c r="I438" t="s">
        <v>8187</v>
      </c>
      <c r="J438" t="s">
        <v>1562</v>
      </c>
      <c r="K438" t="s">
        <v>74</v>
      </c>
      <c r="L438" t="s">
        <v>74</v>
      </c>
      <c r="M438" t="s">
        <v>78</v>
      </c>
      <c r="N438" t="s">
        <v>79</v>
      </c>
      <c r="O438" t="s">
        <v>74</v>
      </c>
      <c r="P438" t="s">
        <v>74</v>
      </c>
      <c r="Q438" t="s">
        <v>74</v>
      </c>
      <c r="R438" t="s">
        <v>74</v>
      </c>
      <c r="S438" t="s">
        <v>74</v>
      </c>
      <c r="T438" t="s">
        <v>74</v>
      </c>
      <c r="U438" t="s">
        <v>8188</v>
      </c>
      <c r="V438" t="s">
        <v>8189</v>
      </c>
      <c r="W438" t="s">
        <v>8190</v>
      </c>
      <c r="X438" t="s">
        <v>8191</v>
      </c>
      <c r="Y438" t="s">
        <v>8192</v>
      </c>
      <c r="Z438" t="s">
        <v>8193</v>
      </c>
      <c r="AA438" t="s">
        <v>8194</v>
      </c>
      <c r="AB438" t="s">
        <v>8195</v>
      </c>
      <c r="AC438" t="s">
        <v>8196</v>
      </c>
      <c r="AD438" t="s">
        <v>8197</v>
      </c>
      <c r="AE438" t="s">
        <v>8198</v>
      </c>
      <c r="AF438" t="s">
        <v>74</v>
      </c>
      <c r="AG438">
        <v>93</v>
      </c>
      <c r="AH438">
        <v>22</v>
      </c>
      <c r="AI438">
        <v>24</v>
      </c>
      <c r="AJ438">
        <v>0</v>
      </c>
      <c r="AK438">
        <v>37</v>
      </c>
      <c r="AL438" t="s">
        <v>1441</v>
      </c>
      <c r="AM438" t="s">
        <v>91</v>
      </c>
      <c r="AN438" t="s">
        <v>1595</v>
      </c>
      <c r="AO438" t="s">
        <v>1574</v>
      </c>
      <c r="AP438" t="s">
        <v>74</v>
      </c>
      <c r="AQ438" t="s">
        <v>74</v>
      </c>
      <c r="AR438" t="s">
        <v>1576</v>
      </c>
      <c r="AS438" t="s">
        <v>1577</v>
      </c>
      <c r="AT438" t="s">
        <v>7032</v>
      </c>
      <c r="AU438">
        <v>2011</v>
      </c>
      <c r="AV438">
        <v>158</v>
      </c>
      <c r="AW438">
        <v>6</v>
      </c>
      <c r="AX438" t="s">
        <v>74</v>
      </c>
      <c r="AY438" t="s">
        <v>74</v>
      </c>
      <c r="AZ438" t="s">
        <v>74</v>
      </c>
      <c r="BA438" t="s">
        <v>74</v>
      </c>
      <c r="BB438">
        <v>1387</v>
      </c>
      <c r="BC438">
        <v>1402</v>
      </c>
      <c r="BD438" t="s">
        <v>74</v>
      </c>
      <c r="BE438" t="s">
        <v>8199</v>
      </c>
      <c r="BF438" t="str">
        <f>HYPERLINK("http://dx.doi.org/10.1007/s00227-011-1657-z","http://dx.doi.org/10.1007/s00227-011-1657-z")</f>
        <v>http://dx.doi.org/10.1007/s00227-011-1657-z</v>
      </c>
      <c r="BG438" t="s">
        <v>74</v>
      </c>
      <c r="BH438" t="s">
        <v>74</v>
      </c>
      <c r="BI438">
        <v>16</v>
      </c>
      <c r="BJ438" t="s">
        <v>700</v>
      </c>
      <c r="BK438" t="s">
        <v>100</v>
      </c>
      <c r="BL438" t="s">
        <v>700</v>
      </c>
      <c r="BM438" t="s">
        <v>8200</v>
      </c>
      <c r="BN438" t="s">
        <v>74</v>
      </c>
      <c r="BO438" t="s">
        <v>74</v>
      </c>
      <c r="BP438" t="s">
        <v>74</v>
      </c>
      <c r="BQ438" t="s">
        <v>74</v>
      </c>
      <c r="BR438" t="s">
        <v>103</v>
      </c>
      <c r="BS438" t="s">
        <v>8201</v>
      </c>
      <c r="BT438" t="str">
        <f>HYPERLINK("https%3A%2F%2Fwww.webofscience.com%2Fwos%2Fwoscc%2Ffull-record%2FWOS:000290806500019","View Full Record in Web of Science")</f>
        <v>View Full Record in Web of Science</v>
      </c>
    </row>
    <row r="439" spans="1:72" x14ac:dyDescent="0.15">
      <c r="A439" t="s">
        <v>72</v>
      </c>
      <c r="B439" t="s">
        <v>8202</v>
      </c>
      <c r="C439" t="s">
        <v>74</v>
      </c>
      <c r="D439" t="s">
        <v>74</v>
      </c>
      <c r="E439" t="s">
        <v>74</v>
      </c>
      <c r="F439" t="s">
        <v>8203</v>
      </c>
      <c r="G439" t="s">
        <v>74</v>
      </c>
      <c r="H439" t="s">
        <v>74</v>
      </c>
      <c r="I439" t="s">
        <v>8204</v>
      </c>
      <c r="J439" t="s">
        <v>707</v>
      </c>
      <c r="K439" t="s">
        <v>74</v>
      </c>
      <c r="L439" t="s">
        <v>74</v>
      </c>
      <c r="M439" t="s">
        <v>78</v>
      </c>
      <c r="N439" t="s">
        <v>2002</v>
      </c>
      <c r="O439" t="s">
        <v>74</v>
      </c>
      <c r="P439" t="s">
        <v>74</v>
      </c>
      <c r="Q439" t="s">
        <v>74</v>
      </c>
      <c r="R439" t="s">
        <v>74</v>
      </c>
      <c r="S439" t="s">
        <v>74</v>
      </c>
      <c r="T439" t="s">
        <v>74</v>
      </c>
      <c r="U439" t="s">
        <v>74</v>
      </c>
      <c r="V439" t="s">
        <v>74</v>
      </c>
      <c r="W439" t="s">
        <v>74</v>
      </c>
      <c r="X439" t="s">
        <v>74</v>
      </c>
      <c r="Y439" t="s">
        <v>74</v>
      </c>
      <c r="Z439" t="s">
        <v>74</v>
      </c>
      <c r="AA439" t="s">
        <v>8205</v>
      </c>
      <c r="AB439" t="s">
        <v>8206</v>
      </c>
      <c r="AC439" t="s">
        <v>6638</v>
      </c>
      <c r="AD439" t="s">
        <v>2067</v>
      </c>
      <c r="AE439" t="s">
        <v>74</v>
      </c>
      <c r="AF439" t="s">
        <v>74</v>
      </c>
      <c r="AG439">
        <v>0</v>
      </c>
      <c r="AH439">
        <v>15</v>
      </c>
      <c r="AI439">
        <v>16</v>
      </c>
      <c r="AJ439">
        <v>0</v>
      </c>
      <c r="AK439">
        <v>9</v>
      </c>
      <c r="AL439" t="s">
        <v>693</v>
      </c>
      <c r="AM439" t="s">
        <v>91</v>
      </c>
      <c r="AN439" t="s">
        <v>694</v>
      </c>
      <c r="AO439" t="s">
        <v>717</v>
      </c>
      <c r="AP439" t="s">
        <v>74</v>
      </c>
      <c r="AQ439" t="s">
        <v>74</v>
      </c>
      <c r="AR439" t="s">
        <v>719</v>
      </c>
      <c r="AS439" t="s">
        <v>720</v>
      </c>
      <c r="AT439" t="s">
        <v>7032</v>
      </c>
      <c r="AU439">
        <v>2011</v>
      </c>
      <c r="AV439">
        <v>23</v>
      </c>
      <c r="AW439">
        <v>3</v>
      </c>
      <c r="AX439" t="s">
        <v>74</v>
      </c>
      <c r="AY439" t="s">
        <v>74</v>
      </c>
      <c r="AZ439" t="s">
        <v>74</v>
      </c>
      <c r="BA439" t="s">
        <v>74</v>
      </c>
      <c r="BB439">
        <v>209</v>
      </c>
      <c r="BC439">
        <v>209</v>
      </c>
      <c r="BD439" t="s">
        <v>74</v>
      </c>
      <c r="BE439" t="s">
        <v>8207</v>
      </c>
      <c r="BF439" t="str">
        <f>HYPERLINK("http://dx.doi.org/10.1017/S0954102011000319","http://dx.doi.org/10.1017/S0954102011000319")</f>
        <v>http://dx.doi.org/10.1017/S0954102011000319</v>
      </c>
      <c r="BG439" t="s">
        <v>74</v>
      </c>
      <c r="BH439" t="s">
        <v>74</v>
      </c>
      <c r="BI439">
        <v>1</v>
      </c>
      <c r="BJ439" t="s">
        <v>722</v>
      </c>
      <c r="BK439" t="s">
        <v>100</v>
      </c>
      <c r="BL439" t="s">
        <v>723</v>
      </c>
      <c r="BM439" t="s">
        <v>7065</v>
      </c>
      <c r="BN439" t="s">
        <v>74</v>
      </c>
      <c r="BO439" t="s">
        <v>1039</v>
      </c>
      <c r="BP439" t="s">
        <v>74</v>
      </c>
      <c r="BQ439" t="s">
        <v>74</v>
      </c>
      <c r="BR439" t="s">
        <v>103</v>
      </c>
      <c r="BS439" t="s">
        <v>8208</v>
      </c>
      <c r="BT439" t="str">
        <f>HYPERLINK("https%3A%2F%2Fwww.webofscience.com%2Fwos%2Fwoscc%2Ffull-record%2FWOS:000291050900001","View Full Record in Web of Science")</f>
        <v>View Full Record in Web of Science</v>
      </c>
    </row>
    <row r="440" spans="1:72" x14ac:dyDescent="0.15">
      <c r="A440" t="s">
        <v>72</v>
      </c>
      <c r="B440" t="s">
        <v>8209</v>
      </c>
      <c r="C440" t="s">
        <v>74</v>
      </c>
      <c r="D440" t="s">
        <v>74</v>
      </c>
      <c r="E440" t="s">
        <v>74</v>
      </c>
      <c r="F440" t="s">
        <v>8210</v>
      </c>
      <c r="G440" t="s">
        <v>74</v>
      </c>
      <c r="H440" t="s">
        <v>74</v>
      </c>
      <c r="I440" t="s">
        <v>8211</v>
      </c>
      <c r="J440" t="s">
        <v>707</v>
      </c>
      <c r="K440" t="s">
        <v>74</v>
      </c>
      <c r="L440" t="s">
        <v>74</v>
      </c>
      <c r="M440" t="s">
        <v>78</v>
      </c>
      <c r="N440" t="s">
        <v>79</v>
      </c>
      <c r="O440" t="s">
        <v>74</v>
      </c>
      <c r="P440" t="s">
        <v>74</v>
      </c>
      <c r="Q440" t="s">
        <v>74</v>
      </c>
      <c r="R440" t="s">
        <v>74</v>
      </c>
      <c r="S440" t="s">
        <v>74</v>
      </c>
      <c r="T440" t="s">
        <v>8212</v>
      </c>
      <c r="U440" t="s">
        <v>8213</v>
      </c>
      <c r="V440" t="s">
        <v>8214</v>
      </c>
      <c r="W440" t="s">
        <v>8215</v>
      </c>
      <c r="X440" t="s">
        <v>8216</v>
      </c>
      <c r="Y440" t="s">
        <v>8217</v>
      </c>
      <c r="Z440" t="s">
        <v>8218</v>
      </c>
      <c r="AA440" t="s">
        <v>8219</v>
      </c>
      <c r="AB440" t="s">
        <v>8220</v>
      </c>
      <c r="AC440" t="s">
        <v>8221</v>
      </c>
      <c r="AD440" t="s">
        <v>8221</v>
      </c>
      <c r="AE440" t="s">
        <v>8222</v>
      </c>
      <c r="AF440" t="s">
        <v>74</v>
      </c>
      <c r="AG440">
        <v>48</v>
      </c>
      <c r="AH440">
        <v>14</v>
      </c>
      <c r="AI440">
        <v>15</v>
      </c>
      <c r="AJ440">
        <v>0</v>
      </c>
      <c r="AK440">
        <v>8</v>
      </c>
      <c r="AL440" t="s">
        <v>693</v>
      </c>
      <c r="AM440" t="s">
        <v>91</v>
      </c>
      <c r="AN440" t="s">
        <v>694</v>
      </c>
      <c r="AO440" t="s">
        <v>717</v>
      </c>
      <c r="AP440" t="s">
        <v>718</v>
      </c>
      <c r="AQ440" t="s">
        <v>74</v>
      </c>
      <c r="AR440" t="s">
        <v>719</v>
      </c>
      <c r="AS440" t="s">
        <v>720</v>
      </c>
      <c r="AT440" t="s">
        <v>7032</v>
      </c>
      <c r="AU440">
        <v>2011</v>
      </c>
      <c r="AV440">
        <v>23</v>
      </c>
      <c r="AW440">
        <v>3</v>
      </c>
      <c r="AX440" t="s">
        <v>74</v>
      </c>
      <c r="AY440" t="s">
        <v>74</v>
      </c>
      <c r="AZ440" t="s">
        <v>74</v>
      </c>
      <c r="BA440" t="s">
        <v>74</v>
      </c>
      <c r="BB440">
        <v>211</v>
      </c>
      <c r="BC440">
        <v>224</v>
      </c>
      <c r="BD440" t="s">
        <v>74</v>
      </c>
      <c r="BE440" t="s">
        <v>8223</v>
      </c>
      <c r="BF440" t="str">
        <f>HYPERLINK("http://dx.doi.org/10.1017/S0954102011000101","http://dx.doi.org/10.1017/S0954102011000101")</f>
        <v>http://dx.doi.org/10.1017/S0954102011000101</v>
      </c>
      <c r="BG440" t="s">
        <v>74</v>
      </c>
      <c r="BH440" t="s">
        <v>74</v>
      </c>
      <c r="BI440">
        <v>14</v>
      </c>
      <c r="BJ440" t="s">
        <v>722</v>
      </c>
      <c r="BK440" t="s">
        <v>100</v>
      </c>
      <c r="BL440" t="s">
        <v>723</v>
      </c>
      <c r="BM440" t="s">
        <v>7065</v>
      </c>
      <c r="BN440" t="s">
        <v>74</v>
      </c>
      <c r="BO440" t="s">
        <v>1025</v>
      </c>
      <c r="BP440" t="s">
        <v>74</v>
      </c>
      <c r="BQ440" t="s">
        <v>74</v>
      </c>
      <c r="BR440" t="s">
        <v>103</v>
      </c>
      <c r="BS440" t="s">
        <v>8224</v>
      </c>
      <c r="BT440" t="str">
        <f>HYPERLINK("https%3A%2F%2Fwww.webofscience.com%2Fwos%2Fwoscc%2Ffull-record%2FWOS:000291050900002","View Full Record in Web of Science")</f>
        <v>View Full Record in Web of Science</v>
      </c>
    </row>
    <row r="441" spans="1:72" x14ac:dyDescent="0.15">
      <c r="A441" t="s">
        <v>72</v>
      </c>
      <c r="B441" t="s">
        <v>8225</v>
      </c>
      <c r="C441" t="s">
        <v>74</v>
      </c>
      <c r="D441" t="s">
        <v>74</v>
      </c>
      <c r="E441" t="s">
        <v>74</v>
      </c>
      <c r="F441" t="s">
        <v>8226</v>
      </c>
      <c r="G441" t="s">
        <v>74</v>
      </c>
      <c r="H441" t="s">
        <v>74</v>
      </c>
      <c r="I441" t="s">
        <v>8227</v>
      </c>
      <c r="J441" t="s">
        <v>707</v>
      </c>
      <c r="K441" t="s">
        <v>74</v>
      </c>
      <c r="L441" t="s">
        <v>74</v>
      </c>
      <c r="M441" t="s">
        <v>78</v>
      </c>
      <c r="N441" t="s">
        <v>79</v>
      </c>
      <c r="O441" t="s">
        <v>74</v>
      </c>
      <c r="P441" t="s">
        <v>74</v>
      </c>
      <c r="Q441" t="s">
        <v>74</v>
      </c>
      <c r="R441" t="s">
        <v>74</v>
      </c>
      <c r="S441" t="s">
        <v>74</v>
      </c>
      <c r="T441" t="s">
        <v>8228</v>
      </c>
      <c r="U441" t="s">
        <v>8229</v>
      </c>
      <c r="V441" t="s">
        <v>8230</v>
      </c>
      <c r="W441" t="s">
        <v>8231</v>
      </c>
      <c r="X441" t="s">
        <v>8232</v>
      </c>
      <c r="Y441" t="s">
        <v>8233</v>
      </c>
      <c r="Z441" t="s">
        <v>8234</v>
      </c>
      <c r="AA441" t="s">
        <v>8235</v>
      </c>
      <c r="AB441" t="s">
        <v>8236</v>
      </c>
      <c r="AC441" t="s">
        <v>8237</v>
      </c>
      <c r="AD441" t="s">
        <v>8238</v>
      </c>
      <c r="AE441" t="s">
        <v>8239</v>
      </c>
      <c r="AF441" t="s">
        <v>74</v>
      </c>
      <c r="AG441">
        <v>46</v>
      </c>
      <c r="AH441">
        <v>7</v>
      </c>
      <c r="AI441">
        <v>8</v>
      </c>
      <c r="AJ441">
        <v>0</v>
      </c>
      <c r="AK441">
        <v>24</v>
      </c>
      <c r="AL441" t="s">
        <v>693</v>
      </c>
      <c r="AM441" t="s">
        <v>91</v>
      </c>
      <c r="AN441" t="s">
        <v>694</v>
      </c>
      <c r="AO441" t="s">
        <v>717</v>
      </c>
      <c r="AP441" t="s">
        <v>718</v>
      </c>
      <c r="AQ441" t="s">
        <v>74</v>
      </c>
      <c r="AR441" t="s">
        <v>719</v>
      </c>
      <c r="AS441" t="s">
        <v>720</v>
      </c>
      <c r="AT441" t="s">
        <v>7032</v>
      </c>
      <c r="AU441">
        <v>2011</v>
      </c>
      <c r="AV441">
        <v>23</v>
      </c>
      <c r="AW441">
        <v>3</v>
      </c>
      <c r="AX441" t="s">
        <v>74</v>
      </c>
      <c r="AY441" t="s">
        <v>74</v>
      </c>
      <c r="AZ441" t="s">
        <v>74</v>
      </c>
      <c r="BA441" t="s">
        <v>74</v>
      </c>
      <c r="BB441">
        <v>225</v>
      </c>
      <c r="BC441">
        <v>234</v>
      </c>
      <c r="BD441" t="s">
        <v>74</v>
      </c>
      <c r="BE441" t="s">
        <v>8240</v>
      </c>
      <c r="BF441" t="str">
        <f>HYPERLINK("http://dx.doi.org/10.1017/S0954102011000113","http://dx.doi.org/10.1017/S0954102011000113")</f>
        <v>http://dx.doi.org/10.1017/S0954102011000113</v>
      </c>
      <c r="BG441" t="s">
        <v>74</v>
      </c>
      <c r="BH441" t="s">
        <v>74</v>
      </c>
      <c r="BI441">
        <v>10</v>
      </c>
      <c r="BJ441" t="s">
        <v>722</v>
      </c>
      <c r="BK441" t="s">
        <v>100</v>
      </c>
      <c r="BL441" t="s">
        <v>723</v>
      </c>
      <c r="BM441" t="s">
        <v>7065</v>
      </c>
      <c r="BN441" t="s">
        <v>74</v>
      </c>
      <c r="BO441" t="s">
        <v>1025</v>
      </c>
      <c r="BP441" t="s">
        <v>74</v>
      </c>
      <c r="BQ441" t="s">
        <v>74</v>
      </c>
      <c r="BR441" t="s">
        <v>103</v>
      </c>
      <c r="BS441" t="s">
        <v>8241</v>
      </c>
      <c r="BT441" t="str">
        <f>HYPERLINK("https%3A%2F%2Fwww.webofscience.com%2Fwos%2Fwoscc%2Ffull-record%2FWOS:000291050900003","View Full Record in Web of Science")</f>
        <v>View Full Record in Web of Science</v>
      </c>
    </row>
    <row r="442" spans="1:72" x14ac:dyDescent="0.15">
      <c r="A442" t="s">
        <v>72</v>
      </c>
      <c r="B442" t="s">
        <v>8242</v>
      </c>
      <c r="C442" t="s">
        <v>74</v>
      </c>
      <c r="D442" t="s">
        <v>74</v>
      </c>
      <c r="E442" t="s">
        <v>74</v>
      </c>
      <c r="F442" t="s">
        <v>8243</v>
      </c>
      <c r="G442" t="s">
        <v>74</v>
      </c>
      <c r="H442" t="s">
        <v>74</v>
      </c>
      <c r="I442" t="s">
        <v>8244</v>
      </c>
      <c r="J442" t="s">
        <v>707</v>
      </c>
      <c r="K442" t="s">
        <v>74</v>
      </c>
      <c r="L442" t="s">
        <v>74</v>
      </c>
      <c r="M442" t="s">
        <v>78</v>
      </c>
      <c r="N442" t="s">
        <v>79</v>
      </c>
      <c r="O442" t="s">
        <v>74</v>
      </c>
      <c r="P442" t="s">
        <v>74</v>
      </c>
      <c r="Q442" t="s">
        <v>74</v>
      </c>
      <c r="R442" t="s">
        <v>74</v>
      </c>
      <c r="S442" t="s">
        <v>74</v>
      </c>
      <c r="T442" t="s">
        <v>8245</v>
      </c>
      <c r="U442" t="s">
        <v>8246</v>
      </c>
      <c r="V442" t="s">
        <v>8247</v>
      </c>
      <c r="W442" t="s">
        <v>7055</v>
      </c>
      <c r="X442" t="s">
        <v>7056</v>
      </c>
      <c r="Y442" t="s">
        <v>7057</v>
      </c>
      <c r="Z442" t="s">
        <v>7058</v>
      </c>
      <c r="AA442" t="s">
        <v>7059</v>
      </c>
      <c r="AB442" t="s">
        <v>8248</v>
      </c>
      <c r="AC442" t="s">
        <v>7061</v>
      </c>
      <c r="AD442" t="s">
        <v>7062</v>
      </c>
      <c r="AE442" t="s">
        <v>8249</v>
      </c>
      <c r="AF442" t="s">
        <v>74</v>
      </c>
      <c r="AG442">
        <v>29</v>
      </c>
      <c r="AH442">
        <v>13</v>
      </c>
      <c r="AI442">
        <v>14</v>
      </c>
      <c r="AJ442">
        <v>1</v>
      </c>
      <c r="AK442">
        <v>33</v>
      </c>
      <c r="AL442" t="s">
        <v>693</v>
      </c>
      <c r="AM442" t="s">
        <v>91</v>
      </c>
      <c r="AN442" t="s">
        <v>694</v>
      </c>
      <c r="AO442" t="s">
        <v>717</v>
      </c>
      <c r="AP442" t="s">
        <v>74</v>
      </c>
      <c r="AQ442" t="s">
        <v>74</v>
      </c>
      <c r="AR442" t="s">
        <v>719</v>
      </c>
      <c r="AS442" t="s">
        <v>720</v>
      </c>
      <c r="AT442" t="s">
        <v>7032</v>
      </c>
      <c r="AU442">
        <v>2011</v>
      </c>
      <c r="AV442">
        <v>23</v>
      </c>
      <c r="AW442">
        <v>3</v>
      </c>
      <c r="AX442" t="s">
        <v>74</v>
      </c>
      <c r="AY442" t="s">
        <v>74</v>
      </c>
      <c r="AZ442" t="s">
        <v>74</v>
      </c>
      <c r="BA442" t="s">
        <v>74</v>
      </c>
      <c r="BB442">
        <v>243</v>
      </c>
      <c r="BC442">
        <v>254</v>
      </c>
      <c r="BD442" t="s">
        <v>74</v>
      </c>
      <c r="BE442" t="s">
        <v>8250</v>
      </c>
      <c r="BF442" t="str">
        <f>HYPERLINK("http://dx.doi.org/10.1017/S0954102011000058","http://dx.doi.org/10.1017/S0954102011000058")</f>
        <v>http://dx.doi.org/10.1017/S0954102011000058</v>
      </c>
      <c r="BG442" t="s">
        <v>74</v>
      </c>
      <c r="BH442" t="s">
        <v>74</v>
      </c>
      <c r="BI442">
        <v>12</v>
      </c>
      <c r="BJ442" t="s">
        <v>722</v>
      </c>
      <c r="BK442" t="s">
        <v>100</v>
      </c>
      <c r="BL442" t="s">
        <v>723</v>
      </c>
      <c r="BM442" t="s">
        <v>7065</v>
      </c>
      <c r="BN442" t="s">
        <v>74</v>
      </c>
      <c r="BO442" t="s">
        <v>74</v>
      </c>
      <c r="BP442" t="s">
        <v>74</v>
      </c>
      <c r="BQ442" t="s">
        <v>74</v>
      </c>
      <c r="BR442" t="s">
        <v>103</v>
      </c>
      <c r="BS442" t="s">
        <v>8251</v>
      </c>
      <c r="BT442" t="str">
        <f>HYPERLINK("https%3A%2F%2Fwww.webofscience.com%2Fwos%2Fwoscc%2Ffull-record%2FWOS:000291050900005","View Full Record in Web of Science")</f>
        <v>View Full Record in Web of Science</v>
      </c>
    </row>
    <row r="443" spans="1:72" x14ac:dyDescent="0.15">
      <c r="A443" t="s">
        <v>72</v>
      </c>
      <c r="B443" t="s">
        <v>8252</v>
      </c>
      <c r="C443" t="s">
        <v>74</v>
      </c>
      <c r="D443" t="s">
        <v>74</v>
      </c>
      <c r="E443" t="s">
        <v>74</v>
      </c>
      <c r="F443" t="s">
        <v>8253</v>
      </c>
      <c r="G443" t="s">
        <v>74</v>
      </c>
      <c r="H443" t="s">
        <v>74</v>
      </c>
      <c r="I443" t="s">
        <v>8254</v>
      </c>
      <c r="J443" t="s">
        <v>8255</v>
      </c>
      <c r="K443" t="s">
        <v>74</v>
      </c>
      <c r="L443" t="s">
        <v>74</v>
      </c>
      <c r="M443" t="s">
        <v>78</v>
      </c>
      <c r="N443" t="s">
        <v>79</v>
      </c>
      <c r="O443" t="s">
        <v>74</v>
      </c>
      <c r="P443" t="s">
        <v>74</v>
      </c>
      <c r="Q443" t="s">
        <v>74</v>
      </c>
      <c r="R443" t="s">
        <v>74</v>
      </c>
      <c r="S443" t="s">
        <v>74</v>
      </c>
      <c r="T443" t="s">
        <v>8256</v>
      </c>
      <c r="U443" t="s">
        <v>8257</v>
      </c>
      <c r="V443" t="s">
        <v>8258</v>
      </c>
      <c r="W443" t="s">
        <v>8259</v>
      </c>
      <c r="X443" t="s">
        <v>8260</v>
      </c>
      <c r="Y443" t="s">
        <v>8261</v>
      </c>
      <c r="Z443" t="s">
        <v>8262</v>
      </c>
      <c r="AA443" t="s">
        <v>8263</v>
      </c>
      <c r="AB443" t="s">
        <v>8264</v>
      </c>
      <c r="AC443" t="s">
        <v>1320</v>
      </c>
      <c r="AD443" t="s">
        <v>1321</v>
      </c>
      <c r="AE443" t="s">
        <v>8265</v>
      </c>
      <c r="AF443" t="s">
        <v>74</v>
      </c>
      <c r="AG443">
        <v>45</v>
      </c>
      <c r="AH443">
        <v>6</v>
      </c>
      <c r="AI443">
        <v>7</v>
      </c>
      <c r="AJ443">
        <v>0</v>
      </c>
      <c r="AK443">
        <v>29</v>
      </c>
      <c r="AL443" t="s">
        <v>8266</v>
      </c>
      <c r="AM443" t="s">
        <v>1015</v>
      </c>
      <c r="AN443" t="s">
        <v>8267</v>
      </c>
      <c r="AO443" t="s">
        <v>8268</v>
      </c>
      <c r="AP443" t="s">
        <v>8269</v>
      </c>
      <c r="AQ443" t="s">
        <v>74</v>
      </c>
      <c r="AR443" t="s">
        <v>8255</v>
      </c>
      <c r="AS443" t="s">
        <v>8270</v>
      </c>
      <c r="AT443" t="s">
        <v>7032</v>
      </c>
      <c r="AU443">
        <v>2011</v>
      </c>
      <c r="AV443">
        <v>24</v>
      </c>
      <c r="AW443">
        <v>2</v>
      </c>
      <c r="AX443" t="s">
        <v>74</v>
      </c>
      <c r="AY443" t="s">
        <v>74</v>
      </c>
      <c r="AZ443" t="s">
        <v>74</v>
      </c>
      <c r="BA443" t="s">
        <v>74</v>
      </c>
      <c r="BB443">
        <v>135</v>
      </c>
      <c r="BC443">
        <v>146</v>
      </c>
      <c r="BD443" t="s">
        <v>74</v>
      </c>
      <c r="BE443" t="s">
        <v>8271</v>
      </c>
      <c r="BF443" t="str">
        <f>HYPERLINK("http://dx.doi.org/10.2752/175303711X12998632257549","http://dx.doi.org/10.2752/175303711X12998632257549")</f>
        <v>http://dx.doi.org/10.2752/175303711X12998632257549</v>
      </c>
      <c r="BG443" t="s">
        <v>74</v>
      </c>
      <c r="BH443" t="s">
        <v>74</v>
      </c>
      <c r="BI443">
        <v>12</v>
      </c>
      <c r="BJ443" t="s">
        <v>8272</v>
      </c>
      <c r="BK443" t="s">
        <v>867</v>
      </c>
      <c r="BL443" t="s">
        <v>8273</v>
      </c>
      <c r="BM443" t="s">
        <v>8274</v>
      </c>
      <c r="BN443" t="s">
        <v>74</v>
      </c>
      <c r="BO443" t="s">
        <v>74</v>
      </c>
      <c r="BP443" t="s">
        <v>74</v>
      </c>
      <c r="BQ443" t="s">
        <v>74</v>
      </c>
      <c r="BR443" t="s">
        <v>103</v>
      </c>
      <c r="BS443" t="s">
        <v>8275</v>
      </c>
      <c r="BT443" t="str">
        <f>HYPERLINK("https%3A%2F%2Fwww.webofscience.com%2Fwos%2Fwoscc%2Ffull-record%2FWOS:000308379500002","View Full Record in Web of Science")</f>
        <v>View Full Record in Web of Science</v>
      </c>
    </row>
    <row r="444" spans="1:72" x14ac:dyDescent="0.15">
      <c r="A444" t="s">
        <v>72</v>
      </c>
      <c r="B444" t="s">
        <v>8276</v>
      </c>
      <c r="C444" t="s">
        <v>74</v>
      </c>
      <c r="D444" t="s">
        <v>74</v>
      </c>
      <c r="E444" t="s">
        <v>74</v>
      </c>
      <c r="F444" t="s">
        <v>8277</v>
      </c>
      <c r="G444" t="s">
        <v>74</v>
      </c>
      <c r="H444" t="s">
        <v>74</v>
      </c>
      <c r="I444" t="s">
        <v>8278</v>
      </c>
      <c r="J444" t="s">
        <v>8279</v>
      </c>
      <c r="K444" t="s">
        <v>74</v>
      </c>
      <c r="L444" t="s">
        <v>74</v>
      </c>
      <c r="M444" t="s">
        <v>78</v>
      </c>
      <c r="N444" t="s">
        <v>2002</v>
      </c>
      <c r="O444" t="s">
        <v>74</v>
      </c>
      <c r="P444" t="s">
        <v>74</v>
      </c>
      <c r="Q444" t="s">
        <v>74</v>
      </c>
      <c r="R444" t="s">
        <v>74</v>
      </c>
      <c r="S444" t="s">
        <v>74</v>
      </c>
      <c r="T444" t="s">
        <v>74</v>
      </c>
      <c r="U444" t="s">
        <v>8280</v>
      </c>
      <c r="V444" t="s">
        <v>74</v>
      </c>
      <c r="W444" t="s">
        <v>8281</v>
      </c>
      <c r="X444" t="s">
        <v>4349</v>
      </c>
      <c r="Y444" t="s">
        <v>8282</v>
      </c>
      <c r="Z444" t="s">
        <v>8283</v>
      </c>
      <c r="AA444" t="s">
        <v>8284</v>
      </c>
      <c r="AB444" t="s">
        <v>8285</v>
      </c>
      <c r="AC444" t="s">
        <v>74</v>
      </c>
      <c r="AD444" t="s">
        <v>74</v>
      </c>
      <c r="AE444" t="s">
        <v>74</v>
      </c>
      <c r="AF444" t="s">
        <v>74</v>
      </c>
      <c r="AG444">
        <v>30</v>
      </c>
      <c r="AH444">
        <v>48</v>
      </c>
      <c r="AI444">
        <v>51</v>
      </c>
      <c r="AJ444">
        <v>0</v>
      </c>
      <c r="AK444">
        <v>49</v>
      </c>
      <c r="AL444" t="s">
        <v>1323</v>
      </c>
      <c r="AM444" t="s">
        <v>1324</v>
      </c>
      <c r="AN444" t="s">
        <v>1325</v>
      </c>
      <c r="AO444" t="s">
        <v>8286</v>
      </c>
      <c r="AP444" t="s">
        <v>8287</v>
      </c>
      <c r="AQ444" t="s">
        <v>74</v>
      </c>
      <c r="AR444" t="s">
        <v>8288</v>
      </c>
      <c r="AS444" t="s">
        <v>8289</v>
      </c>
      <c r="AT444" t="s">
        <v>7032</v>
      </c>
      <c r="AU444">
        <v>2011</v>
      </c>
      <c r="AV444">
        <v>21</v>
      </c>
      <c r="AW444">
        <v>4</v>
      </c>
      <c r="AX444" t="s">
        <v>74</v>
      </c>
      <c r="AY444" t="s">
        <v>74</v>
      </c>
      <c r="AZ444" t="s">
        <v>74</v>
      </c>
      <c r="BA444" t="s">
        <v>74</v>
      </c>
      <c r="BB444">
        <v>313</v>
      </c>
      <c r="BC444">
        <v>316</v>
      </c>
      <c r="BD444" t="s">
        <v>74</v>
      </c>
      <c r="BE444" t="s">
        <v>8290</v>
      </c>
      <c r="BF444" t="str">
        <f>HYPERLINK("http://dx.doi.org/10.1002/aqc.1187","http://dx.doi.org/10.1002/aqc.1187")</f>
        <v>http://dx.doi.org/10.1002/aqc.1187</v>
      </c>
      <c r="BG444" t="s">
        <v>74</v>
      </c>
      <c r="BH444" t="s">
        <v>74</v>
      </c>
      <c r="BI444">
        <v>4</v>
      </c>
      <c r="BJ444" t="s">
        <v>8291</v>
      </c>
      <c r="BK444" t="s">
        <v>100</v>
      </c>
      <c r="BL444" t="s">
        <v>3399</v>
      </c>
      <c r="BM444" t="s">
        <v>8292</v>
      </c>
      <c r="BN444" t="s">
        <v>74</v>
      </c>
      <c r="BO444" t="s">
        <v>74</v>
      </c>
      <c r="BP444" t="s">
        <v>74</v>
      </c>
      <c r="BQ444" t="s">
        <v>74</v>
      </c>
      <c r="BR444" t="s">
        <v>103</v>
      </c>
      <c r="BS444" t="s">
        <v>8293</v>
      </c>
      <c r="BT444" t="str">
        <f>HYPERLINK("https%3A%2F%2Fwww.webofscience.com%2Fwos%2Fwoscc%2Ffull-record%2FWOS:000294180300001","View Full Record in Web of Science")</f>
        <v>View Full Record in Web of Science</v>
      </c>
    </row>
    <row r="445" spans="1:72" x14ac:dyDescent="0.15">
      <c r="A445" t="s">
        <v>72</v>
      </c>
      <c r="B445" t="s">
        <v>8294</v>
      </c>
      <c r="C445" t="s">
        <v>74</v>
      </c>
      <c r="D445" t="s">
        <v>74</v>
      </c>
      <c r="E445" t="s">
        <v>74</v>
      </c>
      <c r="F445" t="s">
        <v>8295</v>
      </c>
      <c r="G445" t="s">
        <v>74</v>
      </c>
      <c r="H445" t="s">
        <v>74</v>
      </c>
      <c r="I445" t="s">
        <v>8296</v>
      </c>
      <c r="J445" t="s">
        <v>8297</v>
      </c>
      <c r="K445" t="s">
        <v>74</v>
      </c>
      <c r="L445" t="s">
        <v>74</v>
      </c>
      <c r="M445" t="s">
        <v>78</v>
      </c>
      <c r="N445" t="s">
        <v>79</v>
      </c>
      <c r="O445" t="s">
        <v>74</v>
      </c>
      <c r="P445" t="s">
        <v>74</v>
      </c>
      <c r="Q445" t="s">
        <v>74</v>
      </c>
      <c r="R445" t="s">
        <v>74</v>
      </c>
      <c r="S445" t="s">
        <v>74</v>
      </c>
      <c r="T445" t="s">
        <v>8298</v>
      </c>
      <c r="U445" t="s">
        <v>8299</v>
      </c>
      <c r="V445" t="s">
        <v>8300</v>
      </c>
      <c r="W445" t="s">
        <v>8301</v>
      </c>
      <c r="X445" t="s">
        <v>8302</v>
      </c>
      <c r="Y445" t="s">
        <v>8303</v>
      </c>
      <c r="Z445" t="s">
        <v>8304</v>
      </c>
      <c r="AA445" t="s">
        <v>8305</v>
      </c>
      <c r="AB445" t="s">
        <v>8306</v>
      </c>
      <c r="AC445" t="s">
        <v>8307</v>
      </c>
      <c r="AD445" t="s">
        <v>8308</v>
      </c>
      <c r="AE445" t="s">
        <v>8309</v>
      </c>
      <c r="AF445" t="s">
        <v>74</v>
      </c>
      <c r="AG445">
        <v>63</v>
      </c>
      <c r="AH445">
        <v>20</v>
      </c>
      <c r="AI445">
        <v>21</v>
      </c>
      <c r="AJ445">
        <v>0</v>
      </c>
      <c r="AK445">
        <v>31</v>
      </c>
      <c r="AL445" t="s">
        <v>1323</v>
      </c>
      <c r="AM445" t="s">
        <v>1324</v>
      </c>
      <c r="AN445" t="s">
        <v>1325</v>
      </c>
      <c r="AO445" t="s">
        <v>8310</v>
      </c>
      <c r="AP445" t="s">
        <v>8311</v>
      </c>
      <c r="AQ445" t="s">
        <v>74</v>
      </c>
      <c r="AR445" t="s">
        <v>8312</v>
      </c>
      <c r="AS445" t="s">
        <v>8313</v>
      </c>
      <c r="AT445" t="s">
        <v>7032</v>
      </c>
      <c r="AU445">
        <v>2011</v>
      </c>
      <c r="AV445">
        <v>36</v>
      </c>
      <c r="AW445">
        <v>4</v>
      </c>
      <c r="AX445" t="s">
        <v>74</v>
      </c>
      <c r="AY445" t="s">
        <v>74</v>
      </c>
      <c r="AZ445" t="s">
        <v>74</v>
      </c>
      <c r="BA445" t="s">
        <v>74</v>
      </c>
      <c r="BB445">
        <v>461</v>
      </c>
      <c r="BC445">
        <v>475</v>
      </c>
      <c r="BD445" t="s">
        <v>74</v>
      </c>
      <c r="BE445" t="s">
        <v>8314</v>
      </c>
      <c r="BF445" t="str">
        <f>HYPERLINK("http://dx.doi.org/10.1111/j.1442-9993.2010.02176.x","http://dx.doi.org/10.1111/j.1442-9993.2010.02176.x")</f>
        <v>http://dx.doi.org/10.1111/j.1442-9993.2010.02176.x</v>
      </c>
      <c r="BG445" t="s">
        <v>74</v>
      </c>
      <c r="BH445" t="s">
        <v>74</v>
      </c>
      <c r="BI445">
        <v>15</v>
      </c>
      <c r="BJ445" t="s">
        <v>5191</v>
      </c>
      <c r="BK445" t="s">
        <v>100</v>
      </c>
      <c r="BL445" t="s">
        <v>5193</v>
      </c>
      <c r="BM445" t="s">
        <v>8315</v>
      </c>
      <c r="BN445" t="s">
        <v>74</v>
      </c>
      <c r="BO445" t="s">
        <v>74</v>
      </c>
      <c r="BP445" t="s">
        <v>74</v>
      </c>
      <c r="BQ445" t="s">
        <v>74</v>
      </c>
      <c r="BR445" t="s">
        <v>103</v>
      </c>
      <c r="BS445" t="s">
        <v>8316</v>
      </c>
      <c r="BT445" t="str">
        <f>HYPERLINK("https%3A%2F%2Fwww.webofscience.com%2Fwos%2Fwoscc%2Ffull-record%2FWOS:000291055400012","View Full Record in Web of Science")</f>
        <v>View Full Record in Web of Science</v>
      </c>
    </row>
    <row r="446" spans="1:72" x14ac:dyDescent="0.15">
      <c r="A446" t="s">
        <v>72</v>
      </c>
      <c r="B446" t="s">
        <v>8317</v>
      </c>
      <c r="C446" t="s">
        <v>74</v>
      </c>
      <c r="D446" t="s">
        <v>74</v>
      </c>
      <c r="E446" t="s">
        <v>74</v>
      </c>
      <c r="F446" t="s">
        <v>8318</v>
      </c>
      <c r="G446" t="s">
        <v>74</v>
      </c>
      <c r="H446" t="s">
        <v>74</v>
      </c>
      <c r="I446" t="s">
        <v>8319</v>
      </c>
      <c r="J446" t="s">
        <v>8320</v>
      </c>
      <c r="K446" t="s">
        <v>74</v>
      </c>
      <c r="L446" t="s">
        <v>74</v>
      </c>
      <c r="M446" t="s">
        <v>78</v>
      </c>
      <c r="N446" t="s">
        <v>79</v>
      </c>
      <c r="O446" t="s">
        <v>74</v>
      </c>
      <c r="P446" t="s">
        <v>74</v>
      </c>
      <c r="Q446" t="s">
        <v>74</v>
      </c>
      <c r="R446" t="s">
        <v>74</v>
      </c>
      <c r="S446" t="s">
        <v>74</v>
      </c>
      <c r="T446" t="s">
        <v>8321</v>
      </c>
      <c r="U446" t="s">
        <v>8322</v>
      </c>
      <c r="V446" t="s">
        <v>8323</v>
      </c>
      <c r="W446" t="s">
        <v>8324</v>
      </c>
      <c r="X446" t="s">
        <v>8325</v>
      </c>
      <c r="Y446" t="s">
        <v>8326</v>
      </c>
      <c r="Z446" t="s">
        <v>8327</v>
      </c>
      <c r="AA446" t="s">
        <v>8328</v>
      </c>
      <c r="AB446" t="s">
        <v>8329</v>
      </c>
      <c r="AC446" t="s">
        <v>8330</v>
      </c>
      <c r="AD446" t="s">
        <v>8331</v>
      </c>
      <c r="AE446" t="s">
        <v>8332</v>
      </c>
      <c r="AF446" t="s">
        <v>74</v>
      </c>
      <c r="AG446">
        <v>145</v>
      </c>
      <c r="AH446">
        <v>77</v>
      </c>
      <c r="AI446">
        <v>84</v>
      </c>
      <c r="AJ446">
        <v>1</v>
      </c>
      <c r="AK446">
        <v>57</v>
      </c>
      <c r="AL446" t="s">
        <v>1441</v>
      </c>
      <c r="AM446" t="s">
        <v>91</v>
      </c>
      <c r="AN446" t="s">
        <v>1902</v>
      </c>
      <c r="AO446" t="s">
        <v>8333</v>
      </c>
      <c r="AP446" t="s">
        <v>8334</v>
      </c>
      <c r="AQ446" t="s">
        <v>74</v>
      </c>
      <c r="AR446" t="s">
        <v>8335</v>
      </c>
      <c r="AS446" t="s">
        <v>8336</v>
      </c>
      <c r="AT446" t="s">
        <v>7032</v>
      </c>
      <c r="AU446">
        <v>2011</v>
      </c>
      <c r="AV446">
        <v>77</v>
      </c>
      <c r="AW446">
        <v>2</v>
      </c>
      <c r="AX446" t="s">
        <v>74</v>
      </c>
      <c r="AY446" t="s">
        <v>74</v>
      </c>
      <c r="AZ446" t="s">
        <v>74</v>
      </c>
      <c r="BA446" t="s">
        <v>74</v>
      </c>
      <c r="BB446">
        <v>71</v>
      </c>
      <c r="BC446">
        <v>108</v>
      </c>
      <c r="BD446" t="s">
        <v>74</v>
      </c>
      <c r="BE446" t="s">
        <v>8337</v>
      </c>
      <c r="BF446" t="str">
        <f>HYPERLINK("http://dx.doi.org/10.1007/s12229-010-9061-9","http://dx.doi.org/10.1007/s12229-010-9061-9")</f>
        <v>http://dx.doi.org/10.1007/s12229-010-9061-9</v>
      </c>
      <c r="BG446" t="s">
        <v>74</v>
      </c>
      <c r="BH446" t="s">
        <v>74</v>
      </c>
      <c r="BI446">
        <v>38</v>
      </c>
      <c r="BJ446" t="s">
        <v>4032</v>
      </c>
      <c r="BK446" t="s">
        <v>100</v>
      </c>
      <c r="BL446" t="s">
        <v>4032</v>
      </c>
      <c r="BM446" t="s">
        <v>8338</v>
      </c>
      <c r="BN446" t="s">
        <v>74</v>
      </c>
      <c r="BO446" t="s">
        <v>74</v>
      </c>
      <c r="BP446" t="s">
        <v>74</v>
      </c>
      <c r="BQ446" t="s">
        <v>74</v>
      </c>
      <c r="BR446" t="s">
        <v>103</v>
      </c>
      <c r="BS446" t="s">
        <v>8339</v>
      </c>
      <c r="BT446" t="str">
        <f>HYPERLINK("https%3A%2F%2Fwww.webofscience.com%2Fwos%2Fwoscc%2Ffull-record%2FWOS:000290805800001","View Full Record in Web of Science")</f>
        <v>View Full Record in Web of Science</v>
      </c>
    </row>
    <row r="447" spans="1:72" x14ac:dyDescent="0.15">
      <c r="A447" t="s">
        <v>72</v>
      </c>
      <c r="B447" t="s">
        <v>8340</v>
      </c>
      <c r="C447" t="s">
        <v>74</v>
      </c>
      <c r="D447" t="s">
        <v>74</v>
      </c>
      <c r="E447" t="s">
        <v>74</v>
      </c>
      <c r="F447" t="s">
        <v>8341</v>
      </c>
      <c r="G447" t="s">
        <v>74</v>
      </c>
      <c r="H447" t="s">
        <v>74</v>
      </c>
      <c r="I447" t="s">
        <v>8342</v>
      </c>
      <c r="J447" t="s">
        <v>8343</v>
      </c>
      <c r="K447" t="s">
        <v>74</v>
      </c>
      <c r="L447" t="s">
        <v>74</v>
      </c>
      <c r="M447" t="s">
        <v>78</v>
      </c>
      <c r="N447" t="s">
        <v>79</v>
      </c>
      <c r="O447" t="s">
        <v>74</v>
      </c>
      <c r="P447" t="s">
        <v>74</v>
      </c>
      <c r="Q447" t="s">
        <v>74</v>
      </c>
      <c r="R447" t="s">
        <v>74</v>
      </c>
      <c r="S447" t="s">
        <v>74</v>
      </c>
      <c r="T447" t="s">
        <v>74</v>
      </c>
      <c r="U447" t="s">
        <v>8344</v>
      </c>
      <c r="V447" t="s">
        <v>8345</v>
      </c>
      <c r="W447" t="s">
        <v>8346</v>
      </c>
      <c r="X447" t="s">
        <v>8347</v>
      </c>
      <c r="Y447" t="s">
        <v>8348</v>
      </c>
      <c r="Z447" t="s">
        <v>74</v>
      </c>
      <c r="AA447" t="s">
        <v>8349</v>
      </c>
      <c r="AB447" t="s">
        <v>8350</v>
      </c>
      <c r="AC447" t="s">
        <v>8351</v>
      </c>
      <c r="AD447" t="s">
        <v>8352</v>
      </c>
      <c r="AE447" t="s">
        <v>8353</v>
      </c>
      <c r="AF447" t="s">
        <v>74</v>
      </c>
      <c r="AG447">
        <v>691</v>
      </c>
      <c r="AH447">
        <v>104</v>
      </c>
      <c r="AI447">
        <v>123</v>
      </c>
      <c r="AJ447">
        <v>6</v>
      </c>
      <c r="AK447">
        <v>54</v>
      </c>
      <c r="AL447" t="s">
        <v>1275</v>
      </c>
      <c r="AM447" t="s">
        <v>1276</v>
      </c>
      <c r="AN447" t="s">
        <v>1417</v>
      </c>
      <c r="AO447" t="s">
        <v>8354</v>
      </c>
      <c r="AP447" t="s">
        <v>8355</v>
      </c>
      <c r="AQ447" t="s">
        <v>74</v>
      </c>
      <c r="AR447" t="s">
        <v>8356</v>
      </c>
      <c r="AS447" t="s">
        <v>8357</v>
      </c>
      <c r="AT447" t="s">
        <v>7032</v>
      </c>
      <c r="AU447">
        <v>2011</v>
      </c>
      <c r="AV447">
        <v>92</v>
      </c>
      <c r="AW447">
        <v>6</v>
      </c>
      <c r="AX447" t="s">
        <v>74</v>
      </c>
      <c r="AY447" t="s">
        <v>8358</v>
      </c>
      <c r="AZ447" t="s">
        <v>74</v>
      </c>
      <c r="BA447" t="s">
        <v>74</v>
      </c>
      <c r="BB447" t="s">
        <v>8359</v>
      </c>
      <c r="BC447" t="s">
        <v>8360</v>
      </c>
      <c r="BD447" t="s">
        <v>74</v>
      </c>
      <c r="BE447" t="s">
        <v>8361</v>
      </c>
      <c r="BF447" t="str">
        <f>HYPERLINK("http://dx.doi.org/10.1175/1520-0477-92.6.S1","http://dx.doi.org/10.1175/1520-0477-92.6.S1")</f>
        <v>http://dx.doi.org/10.1175/1520-0477-92.6.S1</v>
      </c>
      <c r="BG447" t="s">
        <v>74</v>
      </c>
      <c r="BH447" t="s">
        <v>74</v>
      </c>
      <c r="BI447">
        <v>236</v>
      </c>
      <c r="BJ447" t="s">
        <v>248</v>
      </c>
      <c r="BK447" t="s">
        <v>100</v>
      </c>
      <c r="BL447" t="s">
        <v>248</v>
      </c>
      <c r="BM447" t="s">
        <v>8362</v>
      </c>
      <c r="BN447" t="s">
        <v>74</v>
      </c>
      <c r="BO447" t="s">
        <v>8363</v>
      </c>
      <c r="BP447" t="s">
        <v>74</v>
      </c>
      <c r="BQ447" t="s">
        <v>74</v>
      </c>
      <c r="BR447" t="s">
        <v>103</v>
      </c>
      <c r="BS447" t="s">
        <v>8364</v>
      </c>
      <c r="BT447" t="str">
        <f>HYPERLINK("https%3A%2F%2Fwww.webofscience.com%2Fwos%2Fwoscc%2Ffull-record%2FWOS:000293361600001","View Full Record in Web of Science")</f>
        <v>View Full Record in Web of Science</v>
      </c>
    </row>
    <row r="448" spans="1:72" x14ac:dyDescent="0.15">
      <c r="A448" t="s">
        <v>72</v>
      </c>
      <c r="B448" t="s">
        <v>8365</v>
      </c>
      <c r="C448" t="s">
        <v>74</v>
      </c>
      <c r="D448" t="s">
        <v>74</v>
      </c>
      <c r="E448" t="s">
        <v>74</v>
      </c>
      <c r="F448" t="s">
        <v>8366</v>
      </c>
      <c r="G448" t="s">
        <v>74</v>
      </c>
      <c r="H448" t="s">
        <v>74</v>
      </c>
      <c r="I448" t="s">
        <v>8367</v>
      </c>
      <c r="J448" t="s">
        <v>8368</v>
      </c>
      <c r="K448" t="s">
        <v>74</v>
      </c>
      <c r="L448" t="s">
        <v>74</v>
      </c>
      <c r="M448" t="s">
        <v>78</v>
      </c>
      <c r="N448" t="s">
        <v>79</v>
      </c>
      <c r="O448" t="s">
        <v>74</v>
      </c>
      <c r="P448" t="s">
        <v>74</v>
      </c>
      <c r="Q448" t="s">
        <v>74</v>
      </c>
      <c r="R448" t="s">
        <v>74</v>
      </c>
      <c r="S448" t="s">
        <v>74</v>
      </c>
      <c r="T448" t="s">
        <v>74</v>
      </c>
      <c r="U448" t="s">
        <v>8369</v>
      </c>
      <c r="V448" t="s">
        <v>8370</v>
      </c>
      <c r="W448" t="s">
        <v>8371</v>
      </c>
      <c r="X448" t="s">
        <v>8372</v>
      </c>
      <c r="Y448" t="s">
        <v>8373</v>
      </c>
      <c r="Z448" t="s">
        <v>8374</v>
      </c>
      <c r="AA448" t="s">
        <v>8375</v>
      </c>
      <c r="AB448" t="s">
        <v>8376</v>
      </c>
      <c r="AC448" t="s">
        <v>8377</v>
      </c>
      <c r="AD448" t="s">
        <v>8378</v>
      </c>
      <c r="AE448" t="s">
        <v>8379</v>
      </c>
      <c r="AF448" t="s">
        <v>74</v>
      </c>
      <c r="AG448">
        <v>21</v>
      </c>
      <c r="AH448">
        <v>5</v>
      </c>
      <c r="AI448">
        <v>6</v>
      </c>
      <c r="AJ448">
        <v>0</v>
      </c>
      <c r="AK448">
        <v>5</v>
      </c>
      <c r="AL448" t="s">
        <v>8380</v>
      </c>
      <c r="AM448" t="s">
        <v>8381</v>
      </c>
      <c r="AN448" t="s">
        <v>8382</v>
      </c>
      <c r="AO448" t="s">
        <v>8383</v>
      </c>
      <c r="AP448" t="s">
        <v>8384</v>
      </c>
      <c r="AQ448" t="s">
        <v>74</v>
      </c>
      <c r="AR448" t="s">
        <v>8385</v>
      </c>
      <c r="AS448" t="s">
        <v>8386</v>
      </c>
      <c r="AT448" t="s">
        <v>7032</v>
      </c>
      <c r="AU448">
        <v>2011</v>
      </c>
      <c r="AV448">
        <v>101</v>
      </c>
      <c r="AW448">
        <v>3</v>
      </c>
      <c r="AX448" t="s">
        <v>74</v>
      </c>
      <c r="AY448" t="s">
        <v>74</v>
      </c>
      <c r="AZ448" t="s">
        <v>74</v>
      </c>
      <c r="BA448" t="s">
        <v>74</v>
      </c>
      <c r="BB448">
        <v>1446</v>
      </c>
      <c r="BC448">
        <v>1451</v>
      </c>
      <c r="BD448" t="s">
        <v>74</v>
      </c>
      <c r="BE448" t="s">
        <v>8387</v>
      </c>
      <c r="BF448" t="str">
        <f>HYPERLINK("http://dx.doi.org/10.1785/0120100143","http://dx.doi.org/10.1785/0120100143")</f>
        <v>http://dx.doi.org/10.1785/0120100143</v>
      </c>
      <c r="BG448" t="s">
        <v>74</v>
      </c>
      <c r="BH448" t="s">
        <v>74</v>
      </c>
      <c r="BI448">
        <v>6</v>
      </c>
      <c r="BJ448" t="s">
        <v>488</v>
      </c>
      <c r="BK448" t="s">
        <v>100</v>
      </c>
      <c r="BL448" t="s">
        <v>488</v>
      </c>
      <c r="BM448" t="s">
        <v>8388</v>
      </c>
      <c r="BN448" t="s">
        <v>74</v>
      </c>
      <c r="BO448" t="s">
        <v>74</v>
      </c>
      <c r="BP448" t="s">
        <v>74</v>
      </c>
      <c r="BQ448" t="s">
        <v>74</v>
      </c>
      <c r="BR448" t="s">
        <v>103</v>
      </c>
      <c r="BS448" t="s">
        <v>8389</v>
      </c>
      <c r="BT448" t="str">
        <f>HYPERLINK("https%3A%2F%2Fwww.webofscience.com%2Fwos%2Fwoscc%2Ffull-record%2FWOS:000291029700038","View Full Record in Web of Science")</f>
        <v>View Full Record in Web of Science</v>
      </c>
    </row>
    <row r="449" spans="1:72" x14ac:dyDescent="0.15">
      <c r="A449" t="s">
        <v>72</v>
      </c>
      <c r="B449" t="s">
        <v>8390</v>
      </c>
      <c r="C449" t="s">
        <v>74</v>
      </c>
      <c r="D449" t="s">
        <v>74</v>
      </c>
      <c r="E449" t="s">
        <v>74</v>
      </c>
      <c r="F449" t="s">
        <v>8391</v>
      </c>
      <c r="G449" t="s">
        <v>74</v>
      </c>
      <c r="H449" t="s">
        <v>74</v>
      </c>
      <c r="I449" t="s">
        <v>8392</v>
      </c>
      <c r="J449" t="s">
        <v>8393</v>
      </c>
      <c r="K449" t="s">
        <v>74</v>
      </c>
      <c r="L449" t="s">
        <v>74</v>
      </c>
      <c r="M449" t="s">
        <v>78</v>
      </c>
      <c r="N449" t="s">
        <v>79</v>
      </c>
      <c r="O449" t="s">
        <v>74</v>
      </c>
      <c r="P449" t="s">
        <v>74</v>
      </c>
      <c r="Q449" t="s">
        <v>74</v>
      </c>
      <c r="R449" t="s">
        <v>74</v>
      </c>
      <c r="S449" t="s">
        <v>74</v>
      </c>
      <c r="T449" t="s">
        <v>8394</v>
      </c>
      <c r="U449" t="s">
        <v>8395</v>
      </c>
      <c r="V449" t="s">
        <v>8396</v>
      </c>
      <c r="W449" t="s">
        <v>8397</v>
      </c>
      <c r="X449" t="s">
        <v>8398</v>
      </c>
      <c r="Y449" t="s">
        <v>8399</v>
      </c>
      <c r="Z449" t="s">
        <v>8400</v>
      </c>
      <c r="AA449" t="s">
        <v>8401</v>
      </c>
      <c r="AB449" t="s">
        <v>8402</v>
      </c>
      <c r="AC449" t="s">
        <v>8403</v>
      </c>
      <c r="AD449" t="s">
        <v>8404</v>
      </c>
      <c r="AE449" t="s">
        <v>8405</v>
      </c>
      <c r="AF449" t="s">
        <v>74</v>
      </c>
      <c r="AG449">
        <v>34</v>
      </c>
      <c r="AH449">
        <v>73</v>
      </c>
      <c r="AI449">
        <v>76</v>
      </c>
      <c r="AJ449">
        <v>0</v>
      </c>
      <c r="AK449">
        <v>37</v>
      </c>
      <c r="AL449" t="s">
        <v>308</v>
      </c>
      <c r="AM449" t="s">
        <v>309</v>
      </c>
      <c r="AN449" t="s">
        <v>310</v>
      </c>
      <c r="AO449" t="s">
        <v>8406</v>
      </c>
      <c r="AP449" t="s">
        <v>8407</v>
      </c>
      <c r="AQ449" t="s">
        <v>74</v>
      </c>
      <c r="AR449" t="s">
        <v>8393</v>
      </c>
      <c r="AS449" t="s">
        <v>8408</v>
      </c>
      <c r="AT449" t="s">
        <v>7032</v>
      </c>
      <c r="AU449">
        <v>2011</v>
      </c>
      <c r="AV449">
        <v>85</v>
      </c>
      <c r="AW449">
        <v>3</v>
      </c>
      <c r="AX449" t="s">
        <v>74</v>
      </c>
      <c r="AY449" t="s">
        <v>74</v>
      </c>
      <c r="AZ449" t="s">
        <v>74</v>
      </c>
      <c r="BA449" t="s">
        <v>74</v>
      </c>
      <c r="BB449">
        <v>194</v>
      </c>
      <c r="BC449">
        <v>204</v>
      </c>
      <c r="BD449" t="s">
        <v>74</v>
      </c>
      <c r="BE449" t="s">
        <v>8409</v>
      </c>
      <c r="BF449" t="str">
        <f>HYPERLINK("http://dx.doi.org/10.1016/j.catena.2010.12.007","http://dx.doi.org/10.1016/j.catena.2010.12.007")</f>
        <v>http://dx.doi.org/10.1016/j.catena.2010.12.007</v>
      </c>
      <c r="BG449" t="s">
        <v>74</v>
      </c>
      <c r="BH449" t="s">
        <v>74</v>
      </c>
      <c r="BI449">
        <v>11</v>
      </c>
      <c r="BJ449" t="s">
        <v>8410</v>
      </c>
      <c r="BK449" t="s">
        <v>100</v>
      </c>
      <c r="BL449" t="s">
        <v>8411</v>
      </c>
      <c r="BM449" t="s">
        <v>8412</v>
      </c>
      <c r="BN449" t="s">
        <v>74</v>
      </c>
      <c r="BO449" t="s">
        <v>74</v>
      </c>
      <c r="BP449" t="s">
        <v>74</v>
      </c>
      <c r="BQ449" t="s">
        <v>74</v>
      </c>
      <c r="BR449" t="s">
        <v>103</v>
      </c>
      <c r="BS449" t="s">
        <v>8413</v>
      </c>
      <c r="BT449" t="str">
        <f>HYPERLINK("https%3A%2F%2Fwww.webofscience.com%2Fwos%2Fwoscc%2Ffull-record%2FWOS:000289183600002","View Full Record in Web of Science")</f>
        <v>View Full Record in Web of Science</v>
      </c>
    </row>
    <row r="450" spans="1:72" x14ac:dyDescent="0.15">
      <c r="A450" t="s">
        <v>72</v>
      </c>
      <c r="B450" t="s">
        <v>8414</v>
      </c>
      <c r="C450" t="s">
        <v>74</v>
      </c>
      <c r="D450" t="s">
        <v>74</v>
      </c>
      <c r="E450" t="s">
        <v>74</v>
      </c>
      <c r="F450" t="s">
        <v>8415</v>
      </c>
      <c r="G450" t="s">
        <v>74</v>
      </c>
      <c r="H450" t="s">
        <v>74</v>
      </c>
      <c r="I450" t="s">
        <v>8416</v>
      </c>
      <c r="J450" t="s">
        <v>8417</v>
      </c>
      <c r="K450" t="s">
        <v>74</v>
      </c>
      <c r="L450" t="s">
        <v>74</v>
      </c>
      <c r="M450" t="s">
        <v>78</v>
      </c>
      <c r="N450" t="s">
        <v>79</v>
      </c>
      <c r="O450" t="s">
        <v>74</v>
      </c>
      <c r="P450" t="s">
        <v>74</v>
      </c>
      <c r="Q450" t="s">
        <v>74</v>
      </c>
      <c r="R450" t="s">
        <v>74</v>
      </c>
      <c r="S450" t="s">
        <v>74</v>
      </c>
      <c r="T450" t="s">
        <v>8418</v>
      </c>
      <c r="U450" t="s">
        <v>8419</v>
      </c>
      <c r="V450" t="s">
        <v>8420</v>
      </c>
      <c r="W450" t="s">
        <v>8421</v>
      </c>
      <c r="X450" t="s">
        <v>8422</v>
      </c>
      <c r="Y450" t="s">
        <v>8423</v>
      </c>
      <c r="Z450" t="s">
        <v>8424</v>
      </c>
      <c r="AA450" t="s">
        <v>8425</v>
      </c>
      <c r="AB450" t="s">
        <v>8426</v>
      </c>
      <c r="AC450" t="s">
        <v>74</v>
      </c>
      <c r="AD450" t="s">
        <v>74</v>
      </c>
      <c r="AE450" t="s">
        <v>74</v>
      </c>
      <c r="AF450" t="s">
        <v>74</v>
      </c>
      <c r="AG450">
        <v>43</v>
      </c>
      <c r="AH450">
        <v>34</v>
      </c>
      <c r="AI450">
        <v>35</v>
      </c>
      <c r="AJ450">
        <v>1</v>
      </c>
      <c r="AK450">
        <v>28</v>
      </c>
      <c r="AL450" t="s">
        <v>4329</v>
      </c>
      <c r="AM450" t="s">
        <v>4330</v>
      </c>
      <c r="AN450" t="s">
        <v>4331</v>
      </c>
      <c r="AO450" t="s">
        <v>8427</v>
      </c>
      <c r="AP450" t="s">
        <v>8428</v>
      </c>
      <c r="AQ450" t="s">
        <v>74</v>
      </c>
      <c r="AR450" t="s">
        <v>8429</v>
      </c>
      <c r="AS450" t="s">
        <v>8430</v>
      </c>
      <c r="AT450" t="s">
        <v>7032</v>
      </c>
      <c r="AU450">
        <v>2011</v>
      </c>
      <c r="AV450">
        <v>17</v>
      </c>
      <c r="AW450">
        <v>25</v>
      </c>
      <c r="AX450" t="s">
        <v>74</v>
      </c>
      <c r="AY450" t="s">
        <v>74</v>
      </c>
      <c r="AZ450" t="s">
        <v>74</v>
      </c>
      <c r="BA450" t="s">
        <v>74</v>
      </c>
      <c r="BB450">
        <v>7053</v>
      </c>
      <c r="BC450">
        <v>7060</v>
      </c>
      <c r="BD450" t="s">
        <v>74</v>
      </c>
      <c r="BE450" t="s">
        <v>8431</v>
      </c>
      <c r="BF450" t="str">
        <f>HYPERLINK("http://dx.doi.org/10.1002/chem.201100579","http://dx.doi.org/10.1002/chem.201100579")</f>
        <v>http://dx.doi.org/10.1002/chem.201100579</v>
      </c>
      <c r="BG450" t="s">
        <v>74</v>
      </c>
      <c r="BH450" t="s">
        <v>74</v>
      </c>
      <c r="BI450">
        <v>8</v>
      </c>
      <c r="BJ450" t="s">
        <v>6690</v>
      </c>
      <c r="BK450" t="s">
        <v>100</v>
      </c>
      <c r="BL450" t="s">
        <v>6691</v>
      </c>
      <c r="BM450" t="s">
        <v>8432</v>
      </c>
      <c r="BN450">
        <v>21557359</v>
      </c>
      <c r="BO450" t="s">
        <v>74</v>
      </c>
      <c r="BP450" t="s">
        <v>74</v>
      </c>
      <c r="BQ450" t="s">
        <v>74</v>
      </c>
      <c r="BR450" t="s">
        <v>103</v>
      </c>
      <c r="BS450" t="s">
        <v>8433</v>
      </c>
      <c r="BT450" t="str">
        <f>HYPERLINK("https%3A%2F%2Fwww.webofscience.com%2Fwos%2Fwoscc%2Ffull-record%2FWOS:000292206600023","View Full Record in Web of Science")</f>
        <v>View Full Record in Web of Science</v>
      </c>
    </row>
    <row r="451" spans="1:72" x14ac:dyDescent="0.15">
      <c r="A451" t="s">
        <v>72</v>
      </c>
      <c r="B451" t="s">
        <v>8434</v>
      </c>
      <c r="C451" t="s">
        <v>74</v>
      </c>
      <c r="D451" t="s">
        <v>74</v>
      </c>
      <c r="E451" t="s">
        <v>74</v>
      </c>
      <c r="F451" t="s">
        <v>8435</v>
      </c>
      <c r="G451" t="s">
        <v>74</v>
      </c>
      <c r="H451" t="s">
        <v>74</v>
      </c>
      <c r="I451" t="s">
        <v>8436</v>
      </c>
      <c r="J451" t="s">
        <v>8437</v>
      </c>
      <c r="K451" t="s">
        <v>74</v>
      </c>
      <c r="L451" t="s">
        <v>74</v>
      </c>
      <c r="M451" t="s">
        <v>78</v>
      </c>
      <c r="N451" t="s">
        <v>79</v>
      </c>
      <c r="O451" t="s">
        <v>74</v>
      </c>
      <c r="P451" t="s">
        <v>74</v>
      </c>
      <c r="Q451" t="s">
        <v>74</v>
      </c>
      <c r="R451" t="s">
        <v>74</v>
      </c>
      <c r="S451" t="s">
        <v>74</v>
      </c>
      <c r="T451" t="s">
        <v>8438</v>
      </c>
      <c r="U451" t="s">
        <v>8439</v>
      </c>
      <c r="V451" t="s">
        <v>8440</v>
      </c>
      <c r="W451" t="s">
        <v>8441</v>
      </c>
      <c r="X451" t="s">
        <v>8442</v>
      </c>
      <c r="Y451" t="s">
        <v>8443</v>
      </c>
      <c r="Z451" t="s">
        <v>8444</v>
      </c>
      <c r="AA451" t="s">
        <v>8445</v>
      </c>
      <c r="AB451" t="s">
        <v>8446</v>
      </c>
      <c r="AC451" t="s">
        <v>8447</v>
      </c>
      <c r="AD451" t="s">
        <v>8448</v>
      </c>
      <c r="AE451" t="s">
        <v>8449</v>
      </c>
      <c r="AF451" t="s">
        <v>74</v>
      </c>
      <c r="AG451">
        <v>44</v>
      </c>
      <c r="AH451">
        <v>72</v>
      </c>
      <c r="AI451">
        <v>86</v>
      </c>
      <c r="AJ451">
        <v>0</v>
      </c>
      <c r="AK451">
        <v>95</v>
      </c>
      <c r="AL451" t="s">
        <v>1323</v>
      </c>
      <c r="AM451" t="s">
        <v>1324</v>
      </c>
      <c r="AN451" t="s">
        <v>1325</v>
      </c>
      <c r="AO451" t="s">
        <v>8450</v>
      </c>
      <c r="AP451" t="s">
        <v>8451</v>
      </c>
      <c r="AQ451" t="s">
        <v>74</v>
      </c>
      <c r="AR451" t="s">
        <v>8452</v>
      </c>
      <c r="AS451" t="s">
        <v>8453</v>
      </c>
      <c r="AT451" t="s">
        <v>7032</v>
      </c>
      <c r="AU451">
        <v>2011</v>
      </c>
      <c r="AV451">
        <v>25</v>
      </c>
      <c r="AW451">
        <v>3</v>
      </c>
      <c r="AX451" t="s">
        <v>74</v>
      </c>
      <c r="AY451" t="s">
        <v>74</v>
      </c>
      <c r="AZ451" t="s">
        <v>74</v>
      </c>
      <c r="BA451" t="s">
        <v>74</v>
      </c>
      <c r="BB451">
        <v>526</v>
      </c>
      <c r="BC451">
        <v>535</v>
      </c>
      <c r="BD451" t="s">
        <v>74</v>
      </c>
      <c r="BE451" t="s">
        <v>8454</v>
      </c>
      <c r="BF451" t="str">
        <f>HYPERLINK("http://dx.doi.org/10.1111/j.1523-1739.2011.01656.x","http://dx.doi.org/10.1111/j.1523-1739.2011.01656.x")</f>
        <v>http://dx.doi.org/10.1111/j.1523-1739.2011.01656.x</v>
      </c>
      <c r="BG451" t="s">
        <v>74</v>
      </c>
      <c r="BH451" t="s">
        <v>74</v>
      </c>
      <c r="BI451">
        <v>10</v>
      </c>
      <c r="BJ451" t="s">
        <v>8455</v>
      </c>
      <c r="BK451" t="s">
        <v>100</v>
      </c>
      <c r="BL451" t="s">
        <v>1909</v>
      </c>
      <c r="BM451" t="s">
        <v>8456</v>
      </c>
      <c r="BN451">
        <v>21385211</v>
      </c>
      <c r="BO451" t="s">
        <v>1025</v>
      </c>
      <c r="BP451" t="s">
        <v>74</v>
      </c>
      <c r="BQ451" t="s">
        <v>74</v>
      </c>
      <c r="BR451" t="s">
        <v>103</v>
      </c>
      <c r="BS451" t="s">
        <v>8457</v>
      </c>
      <c r="BT451" t="str">
        <f>HYPERLINK("https%3A%2F%2Fwww.webofscience.com%2Fwos%2Fwoscc%2Ffull-record%2FWOS:000290491700015","View Full Record in Web of Science")</f>
        <v>View Full Record in Web of Science</v>
      </c>
    </row>
    <row r="452" spans="1:72" x14ac:dyDescent="0.15">
      <c r="A452" t="s">
        <v>72</v>
      </c>
      <c r="B452" t="s">
        <v>8458</v>
      </c>
      <c r="C452" t="s">
        <v>74</v>
      </c>
      <c r="D452" t="s">
        <v>74</v>
      </c>
      <c r="E452" t="s">
        <v>74</v>
      </c>
      <c r="F452" t="s">
        <v>8459</v>
      </c>
      <c r="G452" t="s">
        <v>74</v>
      </c>
      <c r="H452" t="s">
        <v>74</v>
      </c>
      <c r="I452" t="s">
        <v>8460</v>
      </c>
      <c r="J452" t="s">
        <v>4460</v>
      </c>
      <c r="K452" t="s">
        <v>74</v>
      </c>
      <c r="L452" t="s">
        <v>74</v>
      </c>
      <c r="M452" t="s">
        <v>78</v>
      </c>
      <c r="N452" t="s">
        <v>2002</v>
      </c>
      <c r="O452" t="s">
        <v>74</v>
      </c>
      <c r="P452" t="s">
        <v>74</v>
      </c>
      <c r="Q452" t="s">
        <v>74</v>
      </c>
      <c r="R452" t="s">
        <v>74</v>
      </c>
      <c r="S452" t="s">
        <v>74</v>
      </c>
      <c r="T452" t="s">
        <v>74</v>
      </c>
      <c r="U452" t="s">
        <v>8461</v>
      </c>
      <c r="V452" t="s">
        <v>74</v>
      </c>
      <c r="W452" t="s">
        <v>8462</v>
      </c>
      <c r="X452" t="s">
        <v>7999</v>
      </c>
      <c r="Y452" t="s">
        <v>8463</v>
      </c>
      <c r="Z452" t="s">
        <v>8464</v>
      </c>
      <c r="AA452" t="s">
        <v>74</v>
      </c>
      <c r="AB452" t="s">
        <v>74</v>
      </c>
      <c r="AC452" t="s">
        <v>74</v>
      </c>
      <c r="AD452" t="s">
        <v>74</v>
      </c>
      <c r="AE452" t="s">
        <v>74</v>
      </c>
      <c r="AF452" t="s">
        <v>74</v>
      </c>
      <c r="AG452">
        <v>73</v>
      </c>
      <c r="AH452">
        <v>43</v>
      </c>
      <c r="AI452">
        <v>47</v>
      </c>
      <c r="AJ452">
        <v>0</v>
      </c>
      <c r="AK452">
        <v>29</v>
      </c>
      <c r="AL452" t="s">
        <v>926</v>
      </c>
      <c r="AM452" t="s">
        <v>508</v>
      </c>
      <c r="AN452" t="s">
        <v>927</v>
      </c>
      <c r="AO452" t="s">
        <v>4472</v>
      </c>
      <c r="AP452" t="s">
        <v>74</v>
      </c>
      <c r="AQ452" t="s">
        <v>74</v>
      </c>
      <c r="AR452" t="s">
        <v>4474</v>
      </c>
      <c r="AS452" t="s">
        <v>4475</v>
      </c>
      <c r="AT452" t="s">
        <v>7032</v>
      </c>
      <c r="AU452">
        <v>2011</v>
      </c>
      <c r="AV452">
        <v>58</v>
      </c>
      <c r="AW452" t="s">
        <v>4068</v>
      </c>
      <c r="AX452" t="s">
        <v>74</v>
      </c>
      <c r="AY452" t="s">
        <v>74</v>
      </c>
      <c r="AZ452" t="s">
        <v>74</v>
      </c>
      <c r="BA452" t="s">
        <v>74</v>
      </c>
      <c r="BB452">
        <v>1277</v>
      </c>
      <c r="BC452">
        <v>1284</v>
      </c>
      <c r="BD452" t="s">
        <v>74</v>
      </c>
      <c r="BE452" t="s">
        <v>8465</v>
      </c>
      <c r="BF452" t="str">
        <f>HYPERLINK("http://dx.doi.org/10.1016/j.dsr2.2010.11.003","http://dx.doi.org/10.1016/j.dsr2.2010.11.003")</f>
        <v>http://dx.doi.org/10.1016/j.dsr2.2010.11.003</v>
      </c>
      <c r="BG452" t="s">
        <v>74</v>
      </c>
      <c r="BH452" t="s">
        <v>74</v>
      </c>
      <c r="BI452">
        <v>8</v>
      </c>
      <c r="BJ452" t="s">
        <v>271</v>
      </c>
      <c r="BK452" t="s">
        <v>100</v>
      </c>
      <c r="BL452" t="s">
        <v>271</v>
      </c>
      <c r="BM452" t="s">
        <v>7443</v>
      </c>
      <c r="BN452" t="s">
        <v>74</v>
      </c>
      <c r="BO452" t="s">
        <v>74</v>
      </c>
      <c r="BP452" t="s">
        <v>74</v>
      </c>
      <c r="BQ452" t="s">
        <v>74</v>
      </c>
      <c r="BR452" t="s">
        <v>103</v>
      </c>
      <c r="BS452" t="s">
        <v>8466</v>
      </c>
      <c r="BT452" t="str">
        <f>HYPERLINK("https%3A%2F%2Fwww.webofscience.com%2Fwos%2Fwoscc%2Ffull-record%2FWOS:000291079800001","View Full Record in Web of Science")</f>
        <v>View Full Record in Web of Science</v>
      </c>
    </row>
    <row r="453" spans="1:72" x14ac:dyDescent="0.15">
      <c r="A453" t="s">
        <v>72</v>
      </c>
      <c r="B453" t="s">
        <v>8467</v>
      </c>
      <c r="C453" t="s">
        <v>74</v>
      </c>
      <c r="D453" t="s">
        <v>74</v>
      </c>
      <c r="E453" t="s">
        <v>74</v>
      </c>
      <c r="F453" t="s">
        <v>8468</v>
      </c>
      <c r="G453" t="s">
        <v>74</v>
      </c>
      <c r="H453" t="s">
        <v>74</v>
      </c>
      <c r="I453" t="s">
        <v>8469</v>
      </c>
      <c r="J453" t="s">
        <v>4460</v>
      </c>
      <c r="K453" t="s">
        <v>74</v>
      </c>
      <c r="L453" t="s">
        <v>74</v>
      </c>
      <c r="M453" t="s">
        <v>78</v>
      </c>
      <c r="N453" t="s">
        <v>79</v>
      </c>
      <c r="O453" t="s">
        <v>74</v>
      </c>
      <c r="P453" t="s">
        <v>74</v>
      </c>
      <c r="Q453" t="s">
        <v>74</v>
      </c>
      <c r="R453" t="s">
        <v>74</v>
      </c>
      <c r="S453" t="s">
        <v>74</v>
      </c>
      <c r="T453" t="s">
        <v>8470</v>
      </c>
      <c r="U453" t="s">
        <v>74</v>
      </c>
      <c r="V453" t="s">
        <v>8471</v>
      </c>
      <c r="W453" t="s">
        <v>8472</v>
      </c>
      <c r="X453" t="s">
        <v>7999</v>
      </c>
      <c r="Y453" t="s">
        <v>8473</v>
      </c>
      <c r="Z453" t="s">
        <v>8474</v>
      </c>
      <c r="AA453" t="s">
        <v>74</v>
      </c>
      <c r="AB453" t="s">
        <v>74</v>
      </c>
      <c r="AC453" t="s">
        <v>8475</v>
      </c>
      <c r="AD453" t="s">
        <v>8476</v>
      </c>
      <c r="AE453" t="s">
        <v>8477</v>
      </c>
      <c r="AF453" t="s">
        <v>74</v>
      </c>
      <c r="AG453">
        <v>11</v>
      </c>
      <c r="AH453">
        <v>24</v>
      </c>
      <c r="AI453">
        <v>32</v>
      </c>
      <c r="AJ453">
        <v>0</v>
      </c>
      <c r="AK453">
        <v>29</v>
      </c>
      <c r="AL453" t="s">
        <v>926</v>
      </c>
      <c r="AM453" t="s">
        <v>508</v>
      </c>
      <c r="AN453" t="s">
        <v>927</v>
      </c>
      <c r="AO453" t="s">
        <v>4472</v>
      </c>
      <c r="AP453" t="s">
        <v>74</v>
      </c>
      <c r="AQ453" t="s">
        <v>74</v>
      </c>
      <c r="AR453" t="s">
        <v>4474</v>
      </c>
      <c r="AS453" t="s">
        <v>4475</v>
      </c>
      <c r="AT453" t="s">
        <v>7032</v>
      </c>
      <c r="AU453">
        <v>2011</v>
      </c>
      <c r="AV453">
        <v>58</v>
      </c>
      <c r="AW453" t="s">
        <v>4068</v>
      </c>
      <c r="AX453" t="s">
        <v>74</v>
      </c>
      <c r="AY453" t="s">
        <v>74</v>
      </c>
      <c r="AZ453" t="s">
        <v>74</v>
      </c>
      <c r="BA453" t="s">
        <v>74</v>
      </c>
      <c r="BB453">
        <v>1318</v>
      </c>
      <c r="BC453">
        <v>1326</v>
      </c>
      <c r="BD453" t="s">
        <v>74</v>
      </c>
      <c r="BE453" t="s">
        <v>8478</v>
      </c>
      <c r="BF453" t="str">
        <f>HYPERLINK("http://dx.doi.org/10.1016/j.dsr2.2010.11.007","http://dx.doi.org/10.1016/j.dsr2.2010.11.007")</f>
        <v>http://dx.doi.org/10.1016/j.dsr2.2010.11.007</v>
      </c>
      <c r="BG453" t="s">
        <v>74</v>
      </c>
      <c r="BH453" t="s">
        <v>74</v>
      </c>
      <c r="BI453">
        <v>9</v>
      </c>
      <c r="BJ453" t="s">
        <v>271</v>
      </c>
      <c r="BK453" t="s">
        <v>100</v>
      </c>
      <c r="BL453" t="s">
        <v>271</v>
      </c>
      <c r="BM453" t="s">
        <v>7443</v>
      </c>
      <c r="BN453" t="s">
        <v>74</v>
      </c>
      <c r="BO453" t="s">
        <v>74</v>
      </c>
      <c r="BP453" t="s">
        <v>74</v>
      </c>
      <c r="BQ453" t="s">
        <v>74</v>
      </c>
      <c r="BR453" t="s">
        <v>103</v>
      </c>
      <c r="BS453" t="s">
        <v>8479</v>
      </c>
      <c r="BT453" t="str">
        <f>HYPERLINK("https%3A%2F%2Fwww.webofscience.com%2Fwos%2Fwoscc%2Ffull-record%2FWOS:000291079800005","View Full Record in Web of Science")</f>
        <v>View Full Record in Web of Science</v>
      </c>
    </row>
    <row r="454" spans="1:72" x14ac:dyDescent="0.15">
      <c r="A454" t="s">
        <v>72</v>
      </c>
      <c r="B454" t="s">
        <v>8480</v>
      </c>
      <c r="C454" t="s">
        <v>74</v>
      </c>
      <c r="D454" t="s">
        <v>74</v>
      </c>
      <c r="E454" t="s">
        <v>74</v>
      </c>
      <c r="F454" t="s">
        <v>8481</v>
      </c>
      <c r="G454" t="s">
        <v>74</v>
      </c>
      <c r="H454" t="s">
        <v>74</v>
      </c>
      <c r="I454" t="s">
        <v>8482</v>
      </c>
      <c r="J454" t="s">
        <v>4460</v>
      </c>
      <c r="K454" t="s">
        <v>74</v>
      </c>
      <c r="L454" t="s">
        <v>74</v>
      </c>
      <c r="M454" t="s">
        <v>78</v>
      </c>
      <c r="N454" t="s">
        <v>79</v>
      </c>
      <c r="O454" t="s">
        <v>74</v>
      </c>
      <c r="P454" t="s">
        <v>74</v>
      </c>
      <c r="Q454" t="s">
        <v>74</v>
      </c>
      <c r="R454" t="s">
        <v>74</v>
      </c>
      <c r="S454" t="s">
        <v>74</v>
      </c>
      <c r="T454" t="s">
        <v>8483</v>
      </c>
      <c r="U454" t="s">
        <v>8484</v>
      </c>
      <c r="V454" t="s">
        <v>8485</v>
      </c>
      <c r="W454" t="s">
        <v>8486</v>
      </c>
      <c r="X454" t="s">
        <v>8487</v>
      </c>
      <c r="Y454" t="s">
        <v>8488</v>
      </c>
      <c r="Z454" t="s">
        <v>8489</v>
      </c>
      <c r="AA454" t="s">
        <v>8490</v>
      </c>
      <c r="AB454" t="s">
        <v>8491</v>
      </c>
      <c r="AC454" t="s">
        <v>8492</v>
      </c>
      <c r="AD454" t="s">
        <v>2421</v>
      </c>
      <c r="AE454" t="s">
        <v>8493</v>
      </c>
      <c r="AF454" t="s">
        <v>74</v>
      </c>
      <c r="AG454">
        <v>84</v>
      </c>
      <c r="AH454">
        <v>84</v>
      </c>
      <c r="AI454">
        <v>93</v>
      </c>
      <c r="AJ454">
        <v>1</v>
      </c>
      <c r="AK454">
        <v>35</v>
      </c>
      <c r="AL454" t="s">
        <v>926</v>
      </c>
      <c r="AM454" t="s">
        <v>508</v>
      </c>
      <c r="AN454" t="s">
        <v>927</v>
      </c>
      <c r="AO454" t="s">
        <v>4472</v>
      </c>
      <c r="AP454" t="s">
        <v>4473</v>
      </c>
      <c r="AQ454" t="s">
        <v>74</v>
      </c>
      <c r="AR454" t="s">
        <v>4474</v>
      </c>
      <c r="AS454" t="s">
        <v>4475</v>
      </c>
      <c r="AT454" t="s">
        <v>7032</v>
      </c>
      <c r="AU454">
        <v>2011</v>
      </c>
      <c r="AV454">
        <v>58</v>
      </c>
      <c r="AW454" t="s">
        <v>4068</v>
      </c>
      <c r="AX454" t="s">
        <v>74</v>
      </c>
      <c r="AY454" t="s">
        <v>74</v>
      </c>
      <c r="AZ454" t="s">
        <v>74</v>
      </c>
      <c r="BA454" t="s">
        <v>74</v>
      </c>
      <c r="BB454">
        <v>1392</v>
      </c>
      <c r="BC454">
        <v>1406</v>
      </c>
      <c r="BD454" t="s">
        <v>74</v>
      </c>
      <c r="BE454" t="s">
        <v>8494</v>
      </c>
      <c r="BF454" t="str">
        <f>HYPERLINK("http://dx.doi.org/10.1016/j.dsr2.2010.11.020","http://dx.doi.org/10.1016/j.dsr2.2010.11.020")</f>
        <v>http://dx.doi.org/10.1016/j.dsr2.2010.11.020</v>
      </c>
      <c r="BG454" t="s">
        <v>74</v>
      </c>
      <c r="BH454" t="s">
        <v>74</v>
      </c>
      <c r="BI454">
        <v>15</v>
      </c>
      <c r="BJ454" t="s">
        <v>271</v>
      </c>
      <c r="BK454" t="s">
        <v>100</v>
      </c>
      <c r="BL454" t="s">
        <v>271</v>
      </c>
      <c r="BM454" t="s">
        <v>7443</v>
      </c>
      <c r="BN454" t="s">
        <v>74</v>
      </c>
      <c r="BO454" t="s">
        <v>74</v>
      </c>
      <c r="BP454" t="s">
        <v>74</v>
      </c>
      <c r="BQ454" t="s">
        <v>74</v>
      </c>
      <c r="BR454" t="s">
        <v>103</v>
      </c>
      <c r="BS454" t="s">
        <v>8495</v>
      </c>
      <c r="BT454" t="str">
        <f>HYPERLINK("https%3A%2F%2Fwww.webofscience.com%2Fwos%2Fwoscc%2Ffull-record%2FWOS:000291079800012","View Full Record in Web of Science")</f>
        <v>View Full Record in Web of Science</v>
      </c>
    </row>
    <row r="455" spans="1:72" x14ac:dyDescent="0.15">
      <c r="A455" t="s">
        <v>72</v>
      </c>
      <c r="B455" t="s">
        <v>8496</v>
      </c>
      <c r="C455" t="s">
        <v>74</v>
      </c>
      <c r="D455" t="s">
        <v>74</v>
      </c>
      <c r="E455" t="s">
        <v>74</v>
      </c>
      <c r="F455" t="s">
        <v>8497</v>
      </c>
      <c r="G455" t="s">
        <v>74</v>
      </c>
      <c r="H455" t="s">
        <v>74</v>
      </c>
      <c r="I455" t="s">
        <v>8498</v>
      </c>
      <c r="J455" t="s">
        <v>8499</v>
      </c>
      <c r="K455" t="s">
        <v>74</v>
      </c>
      <c r="L455" t="s">
        <v>74</v>
      </c>
      <c r="M455" t="s">
        <v>78</v>
      </c>
      <c r="N455" t="s">
        <v>79</v>
      </c>
      <c r="O455" t="s">
        <v>74</v>
      </c>
      <c r="P455" t="s">
        <v>74</v>
      </c>
      <c r="Q455" t="s">
        <v>74</v>
      </c>
      <c r="R455" t="s">
        <v>74</v>
      </c>
      <c r="S455" t="s">
        <v>74</v>
      </c>
      <c r="T455" t="s">
        <v>74</v>
      </c>
      <c r="U455" t="s">
        <v>8500</v>
      </c>
      <c r="V455" t="s">
        <v>8501</v>
      </c>
      <c r="W455" t="s">
        <v>8502</v>
      </c>
      <c r="X455" t="s">
        <v>8503</v>
      </c>
      <c r="Y455" t="s">
        <v>8504</v>
      </c>
      <c r="Z455" t="s">
        <v>74</v>
      </c>
      <c r="AA455" t="s">
        <v>8505</v>
      </c>
      <c r="AB455" t="s">
        <v>8506</v>
      </c>
      <c r="AC455" t="s">
        <v>74</v>
      </c>
      <c r="AD455" t="s">
        <v>74</v>
      </c>
      <c r="AE455" t="s">
        <v>74</v>
      </c>
      <c r="AF455" t="s">
        <v>74</v>
      </c>
      <c r="AG455">
        <v>15</v>
      </c>
      <c r="AH455">
        <v>10</v>
      </c>
      <c r="AI455">
        <v>11</v>
      </c>
      <c r="AJ455">
        <v>1</v>
      </c>
      <c r="AK455">
        <v>8</v>
      </c>
      <c r="AL455" t="s">
        <v>624</v>
      </c>
      <c r="AM455" t="s">
        <v>91</v>
      </c>
      <c r="AN455" t="s">
        <v>625</v>
      </c>
      <c r="AO455" t="s">
        <v>8507</v>
      </c>
      <c r="AP455" t="s">
        <v>74</v>
      </c>
      <c r="AQ455" t="s">
        <v>74</v>
      </c>
      <c r="AR455" t="s">
        <v>8508</v>
      </c>
      <c r="AS455" t="s">
        <v>8509</v>
      </c>
      <c r="AT455" t="s">
        <v>7032</v>
      </c>
      <c r="AU455">
        <v>2011</v>
      </c>
      <c r="AV455">
        <v>438</v>
      </c>
      <c r="AW455">
        <v>2</v>
      </c>
      <c r="AX455" t="s">
        <v>74</v>
      </c>
      <c r="AY455" t="s">
        <v>74</v>
      </c>
      <c r="AZ455" t="s">
        <v>74</v>
      </c>
      <c r="BA455" t="s">
        <v>74</v>
      </c>
      <c r="BB455">
        <v>770</v>
      </c>
      <c r="BC455">
        <v>774</v>
      </c>
      <c r="BD455" t="s">
        <v>74</v>
      </c>
      <c r="BE455" t="s">
        <v>8510</v>
      </c>
      <c r="BF455" t="str">
        <f>HYPERLINK("http://dx.doi.org/10.1134/S1028334X11060031","http://dx.doi.org/10.1134/S1028334X11060031")</f>
        <v>http://dx.doi.org/10.1134/S1028334X11060031</v>
      </c>
      <c r="BG455" t="s">
        <v>74</v>
      </c>
      <c r="BH455" t="s">
        <v>74</v>
      </c>
      <c r="BI455">
        <v>5</v>
      </c>
      <c r="BJ455" t="s">
        <v>130</v>
      </c>
      <c r="BK455" t="s">
        <v>100</v>
      </c>
      <c r="BL455" t="s">
        <v>131</v>
      </c>
      <c r="BM455" t="s">
        <v>8511</v>
      </c>
      <c r="BN455" t="s">
        <v>74</v>
      </c>
      <c r="BO455" t="s">
        <v>74</v>
      </c>
      <c r="BP455" t="s">
        <v>74</v>
      </c>
      <c r="BQ455" t="s">
        <v>74</v>
      </c>
      <c r="BR455" t="s">
        <v>103</v>
      </c>
      <c r="BS455" t="s">
        <v>8512</v>
      </c>
      <c r="BT455" t="str">
        <f>HYPERLINK("https%3A%2F%2Fwww.webofscience.com%2Fwos%2Fwoscc%2Ffull-record%2FWOS:000292468300009","View Full Record in Web of Science")</f>
        <v>View Full Record in Web of Science</v>
      </c>
    </row>
    <row r="456" spans="1:72" x14ac:dyDescent="0.15">
      <c r="A456" t="s">
        <v>72</v>
      </c>
      <c r="B456" t="s">
        <v>8513</v>
      </c>
      <c r="C456" t="s">
        <v>74</v>
      </c>
      <c r="D456" t="s">
        <v>74</v>
      </c>
      <c r="E456" t="s">
        <v>74</v>
      </c>
      <c r="F456" t="s">
        <v>8514</v>
      </c>
      <c r="G456" t="s">
        <v>74</v>
      </c>
      <c r="H456" t="s">
        <v>74</v>
      </c>
      <c r="I456" t="s">
        <v>8515</v>
      </c>
      <c r="J456" t="s">
        <v>8516</v>
      </c>
      <c r="K456" t="s">
        <v>74</v>
      </c>
      <c r="L456" t="s">
        <v>74</v>
      </c>
      <c r="M456" t="s">
        <v>78</v>
      </c>
      <c r="N456" t="s">
        <v>79</v>
      </c>
      <c r="O456" t="s">
        <v>74</v>
      </c>
      <c r="P456" t="s">
        <v>74</v>
      </c>
      <c r="Q456" t="s">
        <v>74</v>
      </c>
      <c r="R456" t="s">
        <v>74</v>
      </c>
      <c r="S456" t="s">
        <v>74</v>
      </c>
      <c r="T456" t="s">
        <v>8517</v>
      </c>
      <c r="U456" t="s">
        <v>8518</v>
      </c>
      <c r="V456" t="s">
        <v>8519</v>
      </c>
      <c r="W456" t="s">
        <v>8520</v>
      </c>
      <c r="X456" t="s">
        <v>8521</v>
      </c>
      <c r="Y456" t="s">
        <v>8522</v>
      </c>
      <c r="Z456" t="s">
        <v>8523</v>
      </c>
      <c r="AA456" t="s">
        <v>8524</v>
      </c>
      <c r="AB456" t="s">
        <v>8525</v>
      </c>
      <c r="AC456" t="s">
        <v>8526</v>
      </c>
      <c r="AD456" t="s">
        <v>8527</v>
      </c>
      <c r="AE456" t="s">
        <v>8528</v>
      </c>
      <c r="AF456" t="s">
        <v>74</v>
      </c>
      <c r="AG456">
        <v>117</v>
      </c>
      <c r="AH456">
        <v>52</v>
      </c>
      <c r="AI456">
        <v>58</v>
      </c>
      <c r="AJ456">
        <v>2</v>
      </c>
      <c r="AK456">
        <v>65</v>
      </c>
      <c r="AL456" t="s">
        <v>1323</v>
      </c>
      <c r="AM456" t="s">
        <v>1324</v>
      </c>
      <c r="AN456" t="s">
        <v>1325</v>
      </c>
      <c r="AO456" t="s">
        <v>8529</v>
      </c>
      <c r="AP456" t="s">
        <v>8530</v>
      </c>
      <c r="AQ456" t="s">
        <v>74</v>
      </c>
      <c r="AR456" t="s">
        <v>8531</v>
      </c>
      <c r="AS456" t="s">
        <v>8532</v>
      </c>
      <c r="AT456" t="s">
        <v>7032</v>
      </c>
      <c r="AU456">
        <v>2011</v>
      </c>
      <c r="AV456">
        <v>21</v>
      </c>
      <c r="AW456">
        <v>4</v>
      </c>
      <c r="AX456" t="s">
        <v>74</v>
      </c>
      <c r="AY456" t="s">
        <v>74</v>
      </c>
      <c r="AZ456" t="s">
        <v>74</v>
      </c>
      <c r="BA456" t="s">
        <v>74</v>
      </c>
      <c r="BB456">
        <v>1380</v>
      </c>
      <c r="BC456">
        <v>1398</v>
      </c>
      <c r="BD456" t="s">
        <v>74</v>
      </c>
      <c r="BE456" t="s">
        <v>8533</v>
      </c>
      <c r="BF456" t="str">
        <f>HYPERLINK("http://dx.doi.org/10.1890/09-1564.1","http://dx.doi.org/10.1890/09-1564.1")</f>
        <v>http://dx.doi.org/10.1890/09-1564.1</v>
      </c>
      <c r="BG456" t="s">
        <v>74</v>
      </c>
      <c r="BH456" t="s">
        <v>74</v>
      </c>
      <c r="BI456">
        <v>19</v>
      </c>
      <c r="BJ456" t="s">
        <v>5962</v>
      </c>
      <c r="BK456" t="s">
        <v>100</v>
      </c>
      <c r="BL456" t="s">
        <v>5193</v>
      </c>
      <c r="BM456" t="s">
        <v>8534</v>
      </c>
      <c r="BN456">
        <v>21774437</v>
      </c>
      <c r="BO456" t="s">
        <v>152</v>
      </c>
      <c r="BP456" t="s">
        <v>74</v>
      </c>
      <c r="BQ456" t="s">
        <v>74</v>
      </c>
      <c r="BR456" t="s">
        <v>103</v>
      </c>
      <c r="BS456" t="s">
        <v>8535</v>
      </c>
      <c r="BT456" t="str">
        <f>HYPERLINK("https%3A%2F%2Fwww.webofscience.com%2Fwos%2Fwoscc%2Ffull-record%2FWOS:000291535500031","View Full Record in Web of Science")</f>
        <v>View Full Record in Web of Science</v>
      </c>
    </row>
    <row r="457" spans="1:72" x14ac:dyDescent="0.15">
      <c r="A457" t="s">
        <v>72</v>
      </c>
      <c r="B457" t="s">
        <v>8536</v>
      </c>
      <c r="C457" t="s">
        <v>74</v>
      </c>
      <c r="D457" t="s">
        <v>74</v>
      </c>
      <c r="E457" t="s">
        <v>74</v>
      </c>
      <c r="F457" t="s">
        <v>8537</v>
      </c>
      <c r="G457" t="s">
        <v>74</v>
      </c>
      <c r="H457" t="s">
        <v>74</v>
      </c>
      <c r="I457" t="s">
        <v>8538</v>
      </c>
      <c r="J457" t="s">
        <v>8539</v>
      </c>
      <c r="K457" t="s">
        <v>74</v>
      </c>
      <c r="L457" t="s">
        <v>74</v>
      </c>
      <c r="M457" t="s">
        <v>78</v>
      </c>
      <c r="N457" t="s">
        <v>79</v>
      </c>
      <c r="O457" t="s">
        <v>74</v>
      </c>
      <c r="P457" t="s">
        <v>74</v>
      </c>
      <c r="Q457" t="s">
        <v>74</v>
      </c>
      <c r="R457" t="s">
        <v>74</v>
      </c>
      <c r="S457" t="s">
        <v>74</v>
      </c>
      <c r="T457" t="s">
        <v>8540</v>
      </c>
      <c r="U457" t="s">
        <v>8541</v>
      </c>
      <c r="V457" t="s">
        <v>8542</v>
      </c>
      <c r="W457" t="s">
        <v>8543</v>
      </c>
      <c r="X457" t="s">
        <v>8544</v>
      </c>
      <c r="Y457" t="s">
        <v>8545</v>
      </c>
      <c r="Z457" t="s">
        <v>8546</v>
      </c>
      <c r="AA457" t="s">
        <v>8547</v>
      </c>
      <c r="AB457" t="s">
        <v>8548</v>
      </c>
      <c r="AC457" t="s">
        <v>8549</v>
      </c>
      <c r="AD457" t="s">
        <v>2421</v>
      </c>
      <c r="AE457" t="s">
        <v>8550</v>
      </c>
      <c r="AF457" t="s">
        <v>74</v>
      </c>
      <c r="AG457">
        <v>62</v>
      </c>
      <c r="AH457">
        <v>26</v>
      </c>
      <c r="AI457">
        <v>31</v>
      </c>
      <c r="AJ457">
        <v>3</v>
      </c>
      <c r="AK457">
        <v>33</v>
      </c>
      <c r="AL457" t="s">
        <v>2968</v>
      </c>
      <c r="AM457" t="s">
        <v>508</v>
      </c>
      <c r="AN457" t="s">
        <v>2969</v>
      </c>
      <c r="AO457" t="s">
        <v>8551</v>
      </c>
      <c r="AP457" t="s">
        <v>8552</v>
      </c>
      <c r="AQ457" t="s">
        <v>74</v>
      </c>
      <c r="AR457" t="s">
        <v>8553</v>
      </c>
      <c r="AS457" t="s">
        <v>8554</v>
      </c>
      <c r="AT457" t="s">
        <v>7032</v>
      </c>
      <c r="AU457">
        <v>2011</v>
      </c>
      <c r="AV457">
        <v>76</v>
      </c>
      <c r="AW457">
        <v>3</v>
      </c>
      <c r="AX457" t="s">
        <v>74</v>
      </c>
      <c r="AY457" t="s">
        <v>74</v>
      </c>
      <c r="AZ457" t="s">
        <v>74</v>
      </c>
      <c r="BA457" t="s">
        <v>74</v>
      </c>
      <c r="BB457">
        <v>401</v>
      </c>
      <c r="BC457">
        <v>412</v>
      </c>
      <c r="BD457" t="s">
        <v>74</v>
      </c>
      <c r="BE457" t="s">
        <v>8555</v>
      </c>
      <c r="BF457" t="str">
        <f>HYPERLINK("http://dx.doi.org/10.1111/j.1574-6941.2011.01061.x","http://dx.doi.org/10.1111/j.1574-6941.2011.01061.x")</f>
        <v>http://dx.doi.org/10.1111/j.1574-6941.2011.01061.x</v>
      </c>
      <c r="BG457" t="s">
        <v>74</v>
      </c>
      <c r="BH457" t="s">
        <v>74</v>
      </c>
      <c r="BI457">
        <v>12</v>
      </c>
      <c r="BJ457" t="s">
        <v>892</v>
      </c>
      <c r="BK457" t="s">
        <v>100</v>
      </c>
      <c r="BL457" t="s">
        <v>892</v>
      </c>
      <c r="BM457" t="s">
        <v>8556</v>
      </c>
      <c r="BN457">
        <v>21276026</v>
      </c>
      <c r="BO457" t="s">
        <v>368</v>
      </c>
      <c r="BP457" t="s">
        <v>74</v>
      </c>
      <c r="BQ457" t="s">
        <v>74</v>
      </c>
      <c r="BR457" t="s">
        <v>103</v>
      </c>
      <c r="BS457" t="s">
        <v>8557</v>
      </c>
      <c r="BT457" t="str">
        <f>HYPERLINK("https%3A%2F%2Fwww.webofscience.com%2Fwos%2Fwoscc%2Ffull-record%2FWOS:000290314900001","View Full Record in Web of Science")</f>
        <v>View Full Record in Web of Science</v>
      </c>
    </row>
    <row r="458" spans="1:72" x14ac:dyDescent="0.15">
      <c r="A458" t="s">
        <v>72</v>
      </c>
      <c r="B458" t="s">
        <v>8558</v>
      </c>
      <c r="C458" t="s">
        <v>74</v>
      </c>
      <c r="D458" t="s">
        <v>74</v>
      </c>
      <c r="E458" t="s">
        <v>74</v>
      </c>
      <c r="F458" t="s">
        <v>8559</v>
      </c>
      <c r="G458" t="s">
        <v>74</v>
      </c>
      <c r="H458" t="s">
        <v>74</v>
      </c>
      <c r="I458" t="s">
        <v>8560</v>
      </c>
      <c r="J458" t="s">
        <v>8539</v>
      </c>
      <c r="K458" t="s">
        <v>74</v>
      </c>
      <c r="L458" t="s">
        <v>74</v>
      </c>
      <c r="M458" t="s">
        <v>78</v>
      </c>
      <c r="N458" t="s">
        <v>79</v>
      </c>
      <c r="O458" t="s">
        <v>74</v>
      </c>
      <c r="P458" t="s">
        <v>74</v>
      </c>
      <c r="Q458" t="s">
        <v>74</v>
      </c>
      <c r="R458" t="s">
        <v>74</v>
      </c>
      <c r="S458" t="s">
        <v>74</v>
      </c>
      <c r="T458" t="s">
        <v>8561</v>
      </c>
      <c r="U458" t="s">
        <v>8562</v>
      </c>
      <c r="V458" t="s">
        <v>8563</v>
      </c>
      <c r="W458" t="s">
        <v>8564</v>
      </c>
      <c r="X458" t="s">
        <v>8565</v>
      </c>
      <c r="Y458" t="s">
        <v>8566</v>
      </c>
      <c r="Z458" t="s">
        <v>8567</v>
      </c>
      <c r="AA458" t="s">
        <v>8568</v>
      </c>
      <c r="AB458" t="s">
        <v>8569</v>
      </c>
      <c r="AC458" t="s">
        <v>8570</v>
      </c>
      <c r="AD458" t="s">
        <v>8571</v>
      </c>
      <c r="AE458" t="s">
        <v>8572</v>
      </c>
      <c r="AF458" t="s">
        <v>74</v>
      </c>
      <c r="AG458">
        <v>47</v>
      </c>
      <c r="AH458">
        <v>54</v>
      </c>
      <c r="AI458">
        <v>56</v>
      </c>
      <c r="AJ458">
        <v>0</v>
      </c>
      <c r="AK458">
        <v>40</v>
      </c>
      <c r="AL458" t="s">
        <v>2968</v>
      </c>
      <c r="AM458" t="s">
        <v>508</v>
      </c>
      <c r="AN458" t="s">
        <v>2969</v>
      </c>
      <c r="AO458" t="s">
        <v>8551</v>
      </c>
      <c r="AP458" t="s">
        <v>8552</v>
      </c>
      <c r="AQ458" t="s">
        <v>74</v>
      </c>
      <c r="AR458" t="s">
        <v>8553</v>
      </c>
      <c r="AS458" t="s">
        <v>8554</v>
      </c>
      <c r="AT458" t="s">
        <v>7032</v>
      </c>
      <c r="AU458">
        <v>2011</v>
      </c>
      <c r="AV458">
        <v>76</v>
      </c>
      <c r="AW458">
        <v>3</v>
      </c>
      <c r="AX458" t="s">
        <v>74</v>
      </c>
      <c r="AY458" t="s">
        <v>74</v>
      </c>
      <c r="AZ458" t="s">
        <v>74</v>
      </c>
      <c r="BA458" t="s">
        <v>74</v>
      </c>
      <c r="BB458">
        <v>413</v>
      </c>
      <c r="BC458">
        <v>427</v>
      </c>
      <c r="BD458" t="s">
        <v>74</v>
      </c>
      <c r="BE458" t="s">
        <v>8573</v>
      </c>
      <c r="BF458" t="str">
        <f>HYPERLINK("http://dx.doi.org/10.1111/j.1574-6941.2011.01062.x","http://dx.doi.org/10.1111/j.1574-6941.2011.01062.x")</f>
        <v>http://dx.doi.org/10.1111/j.1574-6941.2011.01062.x</v>
      </c>
      <c r="BG458" t="s">
        <v>74</v>
      </c>
      <c r="BH458" t="s">
        <v>74</v>
      </c>
      <c r="BI458">
        <v>15</v>
      </c>
      <c r="BJ458" t="s">
        <v>892</v>
      </c>
      <c r="BK458" t="s">
        <v>100</v>
      </c>
      <c r="BL458" t="s">
        <v>892</v>
      </c>
      <c r="BM458" t="s">
        <v>8556</v>
      </c>
      <c r="BN458">
        <v>21303395</v>
      </c>
      <c r="BO458" t="s">
        <v>152</v>
      </c>
      <c r="BP458" t="s">
        <v>74</v>
      </c>
      <c r="BQ458" t="s">
        <v>74</v>
      </c>
      <c r="BR458" t="s">
        <v>103</v>
      </c>
      <c r="BS458" t="s">
        <v>8574</v>
      </c>
      <c r="BT458" t="str">
        <f>HYPERLINK("https%3A%2F%2Fwww.webofscience.com%2Fwos%2Fwoscc%2Ffull-record%2FWOS:000290314900002","View Full Record in Web of Science")</f>
        <v>View Full Record in Web of Science</v>
      </c>
    </row>
    <row r="459" spans="1:72" x14ac:dyDescent="0.15">
      <c r="A459" t="s">
        <v>72</v>
      </c>
      <c r="B459" t="s">
        <v>8575</v>
      </c>
      <c r="C459" t="s">
        <v>74</v>
      </c>
      <c r="D459" t="s">
        <v>74</v>
      </c>
      <c r="E459" t="s">
        <v>74</v>
      </c>
      <c r="F459" t="s">
        <v>8576</v>
      </c>
      <c r="G459" t="s">
        <v>74</v>
      </c>
      <c r="H459" t="s">
        <v>74</v>
      </c>
      <c r="I459" t="s">
        <v>8577</v>
      </c>
      <c r="J459" t="s">
        <v>8539</v>
      </c>
      <c r="K459" t="s">
        <v>74</v>
      </c>
      <c r="L459" t="s">
        <v>74</v>
      </c>
      <c r="M459" t="s">
        <v>78</v>
      </c>
      <c r="N459" t="s">
        <v>278</v>
      </c>
      <c r="O459" t="s">
        <v>74</v>
      </c>
      <c r="P459" t="s">
        <v>74</v>
      </c>
      <c r="Q459" t="s">
        <v>74</v>
      </c>
      <c r="R459" t="s">
        <v>74</v>
      </c>
      <c r="S459" t="s">
        <v>74</v>
      </c>
      <c r="T459" t="s">
        <v>8578</v>
      </c>
      <c r="U459" t="s">
        <v>8579</v>
      </c>
      <c r="V459" t="s">
        <v>8580</v>
      </c>
      <c r="W459" t="s">
        <v>8581</v>
      </c>
      <c r="X459" t="s">
        <v>8582</v>
      </c>
      <c r="Y459" t="s">
        <v>8583</v>
      </c>
      <c r="Z459" t="s">
        <v>8584</v>
      </c>
      <c r="AA459" t="s">
        <v>2310</v>
      </c>
      <c r="AB459" t="s">
        <v>2311</v>
      </c>
      <c r="AC459" t="s">
        <v>8585</v>
      </c>
      <c r="AD459" t="s">
        <v>240</v>
      </c>
      <c r="AE459" t="s">
        <v>8586</v>
      </c>
      <c r="AF459" t="s">
        <v>74</v>
      </c>
      <c r="AG459">
        <v>104</v>
      </c>
      <c r="AH459">
        <v>102</v>
      </c>
      <c r="AI459">
        <v>115</v>
      </c>
      <c r="AJ459">
        <v>3</v>
      </c>
      <c r="AK459">
        <v>98</v>
      </c>
      <c r="AL459" t="s">
        <v>2968</v>
      </c>
      <c r="AM459" t="s">
        <v>508</v>
      </c>
      <c r="AN459" t="s">
        <v>2969</v>
      </c>
      <c r="AO459" t="s">
        <v>8551</v>
      </c>
      <c r="AP459" t="s">
        <v>8552</v>
      </c>
      <c r="AQ459" t="s">
        <v>74</v>
      </c>
      <c r="AR459" t="s">
        <v>8553</v>
      </c>
      <c r="AS459" t="s">
        <v>8554</v>
      </c>
      <c r="AT459" t="s">
        <v>7032</v>
      </c>
      <c r="AU459">
        <v>2011</v>
      </c>
      <c r="AV459">
        <v>76</v>
      </c>
      <c r="AW459">
        <v>3</v>
      </c>
      <c r="AX459" t="s">
        <v>74</v>
      </c>
      <c r="AY459" t="s">
        <v>74</v>
      </c>
      <c r="AZ459" t="s">
        <v>74</v>
      </c>
      <c r="BA459" t="s">
        <v>74</v>
      </c>
      <c r="BB459">
        <v>476</v>
      </c>
      <c r="BC459">
        <v>491</v>
      </c>
      <c r="BD459" t="s">
        <v>74</v>
      </c>
      <c r="BE459" t="s">
        <v>8587</v>
      </c>
      <c r="BF459" t="str">
        <f>HYPERLINK("http://dx.doi.org/10.1111/j.1574-6941.2011.01068.x","http://dx.doi.org/10.1111/j.1574-6941.2011.01068.x")</f>
        <v>http://dx.doi.org/10.1111/j.1574-6941.2011.01068.x</v>
      </c>
      <c r="BG459" t="s">
        <v>74</v>
      </c>
      <c r="BH459" t="s">
        <v>74</v>
      </c>
      <c r="BI459">
        <v>16</v>
      </c>
      <c r="BJ459" t="s">
        <v>892</v>
      </c>
      <c r="BK459" t="s">
        <v>100</v>
      </c>
      <c r="BL459" t="s">
        <v>892</v>
      </c>
      <c r="BM459" t="s">
        <v>8556</v>
      </c>
      <c r="BN459">
        <v>21314705</v>
      </c>
      <c r="BO459" t="s">
        <v>3194</v>
      </c>
      <c r="BP459" t="s">
        <v>74</v>
      </c>
      <c r="BQ459" t="s">
        <v>74</v>
      </c>
      <c r="BR459" t="s">
        <v>103</v>
      </c>
      <c r="BS459" t="s">
        <v>8588</v>
      </c>
      <c r="BT459" t="str">
        <f>HYPERLINK("https%3A%2F%2Fwww.webofscience.com%2Fwos%2Fwoscc%2Ffull-record%2FWOS:000290314900007","View Full Record in Web of Science")</f>
        <v>View Full Record in Web of Science</v>
      </c>
    </row>
    <row r="460" spans="1:72" x14ac:dyDescent="0.15">
      <c r="A460" t="s">
        <v>72</v>
      </c>
      <c r="B460" t="s">
        <v>8589</v>
      </c>
      <c r="C460" t="s">
        <v>74</v>
      </c>
      <c r="D460" t="s">
        <v>74</v>
      </c>
      <c r="E460" t="s">
        <v>74</v>
      </c>
      <c r="F460" t="s">
        <v>8590</v>
      </c>
      <c r="G460" t="s">
        <v>74</v>
      </c>
      <c r="H460" t="s">
        <v>74</v>
      </c>
      <c r="I460" t="s">
        <v>8591</v>
      </c>
      <c r="J460" t="s">
        <v>8592</v>
      </c>
      <c r="K460" t="s">
        <v>74</v>
      </c>
      <c r="L460" t="s">
        <v>74</v>
      </c>
      <c r="M460" t="s">
        <v>78</v>
      </c>
      <c r="N460" t="s">
        <v>79</v>
      </c>
      <c r="O460" t="s">
        <v>74</v>
      </c>
      <c r="P460" t="s">
        <v>74</v>
      </c>
      <c r="Q460" t="s">
        <v>74</v>
      </c>
      <c r="R460" t="s">
        <v>74</v>
      </c>
      <c r="S460" t="s">
        <v>74</v>
      </c>
      <c r="T460" t="s">
        <v>8593</v>
      </c>
      <c r="U460" t="s">
        <v>8594</v>
      </c>
      <c r="V460" t="s">
        <v>8595</v>
      </c>
      <c r="W460" t="s">
        <v>8596</v>
      </c>
      <c r="X460" t="s">
        <v>8597</v>
      </c>
      <c r="Y460" t="s">
        <v>8598</v>
      </c>
      <c r="Z460" t="s">
        <v>8599</v>
      </c>
      <c r="AA460" t="s">
        <v>8600</v>
      </c>
      <c r="AB460" t="s">
        <v>8601</v>
      </c>
      <c r="AC460" t="s">
        <v>8602</v>
      </c>
      <c r="AD460" t="s">
        <v>8603</v>
      </c>
      <c r="AE460" t="s">
        <v>8604</v>
      </c>
      <c r="AF460" t="s">
        <v>74</v>
      </c>
      <c r="AG460">
        <v>20</v>
      </c>
      <c r="AH460">
        <v>22</v>
      </c>
      <c r="AI460">
        <v>24</v>
      </c>
      <c r="AJ460">
        <v>0</v>
      </c>
      <c r="AK460">
        <v>6</v>
      </c>
      <c r="AL460" t="s">
        <v>8158</v>
      </c>
      <c r="AM460" t="s">
        <v>1490</v>
      </c>
      <c r="AN460" t="s">
        <v>8159</v>
      </c>
      <c r="AO460" t="s">
        <v>8605</v>
      </c>
      <c r="AP460" t="s">
        <v>8606</v>
      </c>
      <c r="AQ460" t="s">
        <v>74</v>
      </c>
      <c r="AR460" t="s">
        <v>8592</v>
      </c>
      <c r="AS460" t="s">
        <v>8607</v>
      </c>
      <c r="AT460" t="s">
        <v>7032</v>
      </c>
      <c r="AU460">
        <v>2011</v>
      </c>
      <c r="AV460">
        <v>2</v>
      </c>
      <c r="AW460">
        <v>1</v>
      </c>
      <c r="AX460" t="s">
        <v>74</v>
      </c>
      <c r="AY460" t="s">
        <v>74</v>
      </c>
      <c r="AZ460" t="s">
        <v>74</v>
      </c>
      <c r="BA460" t="s">
        <v>74</v>
      </c>
      <c r="BB460">
        <v>97</v>
      </c>
      <c r="BC460">
        <v>103</v>
      </c>
      <c r="BD460" t="s">
        <v>74</v>
      </c>
      <c r="BE460" t="s">
        <v>8608</v>
      </c>
      <c r="BF460" t="str">
        <f>HYPERLINK("http://dx.doi.org/10.5598/imafungus.2011.02.01.13","http://dx.doi.org/10.5598/imafungus.2011.02.01.13")</f>
        <v>http://dx.doi.org/10.5598/imafungus.2011.02.01.13</v>
      </c>
      <c r="BG460" t="s">
        <v>74</v>
      </c>
      <c r="BH460" t="s">
        <v>74</v>
      </c>
      <c r="BI460">
        <v>7</v>
      </c>
      <c r="BJ460" t="s">
        <v>4166</v>
      </c>
      <c r="BK460" t="s">
        <v>100</v>
      </c>
      <c r="BL460" t="s">
        <v>4166</v>
      </c>
      <c r="BM460" t="s">
        <v>8609</v>
      </c>
      <c r="BN460">
        <v>22679593</v>
      </c>
      <c r="BO460" t="s">
        <v>180</v>
      </c>
      <c r="BP460" t="s">
        <v>74</v>
      </c>
      <c r="BQ460" t="s">
        <v>74</v>
      </c>
      <c r="BR460" t="s">
        <v>103</v>
      </c>
      <c r="BS460" t="s">
        <v>8610</v>
      </c>
      <c r="BT460" t="str">
        <f>HYPERLINK("https%3A%2F%2Fwww.webofscience.com%2Fwos%2Fwoscc%2Ffull-record%2FWOS:000209907000036","View Full Record in Web of Science")</f>
        <v>View Full Record in Web of Science</v>
      </c>
    </row>
    <row r="461" spans="1:72" x14ac:dyDescent="0.15">
      <c r="A461" t="s">
        <v>72</v>
      </c>
      <c r="B461" t="s">
        <v>8611</v>
      </c>
      <c r="C461" t="s">
        <v>74</v>
      </c>
      <c r="D461" t="s">
        <v>74</v>
      </c>
      <c r="E461" t="s">
        <v>74</v>
      </c>
      <c r="F461" t="s">
        <v>8612</v>
      </c>
      <c r="G461" t="s">
        <v>74</v>
      </c>
      <c r="H461" t="s">
        <v>74</v>
      </c>
      <c r="I461" t="s">
        <v>8613</v>
      </c>
      <c r="J461" t="s">
        <v>8614</v>
      </c>
      <c r="K461" t="s">
        <v>74</v>
      </c>
      <c r="L461" t="s">
        <v>74</v>
      </c>
      <c r="M461" t="s">
        <v>78</v>
      </c>
      <c r="N461" t="s">
        <v>79</v>
      </c>
      <c r="O461" t="s">
        <v>74</v>
      </c>
      <c r="P461" t="s">
        <v>74</v>
      </c>
      <c r="Q461" t="s">
        <v>74</v>
      </c>
      <c r="R461" t="s">
        <v>74</v>
      </c>
      <c r="S461" t="s">
        <v>74</v>
      </c>
      <c r="T461" t="s">
        <v>8615</v>
      </c>
      <c r="U461" t="s">
        <v>8616</v>
      </c>
      <c r="V461" t="s">
        <v>8617</v>
      </c>
      <c r="W461" t="s">
        <v>8618</v>
      </c>
      <c r="X461" t="s">
        <v>8619</v>
      </c>
      <c r="Y461" t="s">
        <v>8620</v>
      </c>
      <c r="Z461" t="s">
        <v>8621</v>
      </c>
      <c r="AA461" t="s">
        <v>8622</v>
      </c>
      <c r="AB461" t="s">
        <v>8623</v>
      </c>
      <c r="AC461" t="s">
        <v>8624</v>
      </c>
      <c r="AD461" t="s">
        <v>8625</v>
      </c>
      <c r="AE461" t="s">
        <v>8626</v>
      </c>
      <c r="AF461" t="s">
        <v>74</v>
      </c>
      <c r="AG461">
        <v>47</v>
      </c>
      <c r="AH461">
        <v>12</v>
      </c>
      <c r="AI461">
        <v>12</v>
      </c>
      <c r="AJ461">
        <v>0</v>
      </c>
      <c r="AK461">
        <v>10</v>
      </c>
      <c r="AL461" t="s">
        <v>4179</v>
      </c>
      <c r="AM461" t="s">
        <v>1324</v>
      </c>
      <c r="AN461" t="s">
        <v>1325</v>
      </c>
      <c r="AO461" t="s">
        <v>8627</v>
      </c>
      <c r="AP461" t="s">
        <v>8628</v>
      </c>
      <c r="AQ461" t="s">
        <v>74</v>
      </c>
      <c r="AR461" t="s">
        <v>8629</v>
      </c>
      <c r="AS461" t="s">
        <v>8630</v>
      </c>
      <c r="AT461" t="s">
        <v>7032</v>
      </c>
      <c r="AU461">
        <v>2011</v>
      </c>
      <c r="AV461">
        <v>20</v>
      </c>
      <c r="AW461">
        <v>3</v>
      </c>
      <c r="AX461" t="s">
        <v>74</v>
      </c>
      <c r="AY461" t="s">
        <v>74</v>
      </c>
      <c r="AZ461" t="s">
        <v>74</v>
      </c>
      <c r="BA461" t="s">
        <v>74</v>
      </c>
      <c r="BB461">
        <v>303</v>
      </c>
      <c r="BC461">
        <v>310</v>
      </c>
      <c r="BD461" t="s">
        <v>74</v>
      </c>
      <c r="BE461" t="s">
        <v>8631</v>
      </c>
      <c r="BF461" t="str">
        <f>HYPERLINK("http://dx.doi.org/10.1111/j.1365-2583.2010.01062.x","http://dx.doi.org/10.1111/j.1365-2583.2010.01062.x")</f>
        <v>http://dx.doi.org/10.1111/j.1365-2583.2010.01062.x</v>
      </c>
      <c r="BG461" t="s">
        <v>74</v>
      </c>
      <c r="BH461" t="s">
        <v>74</v>
      </c>
      <c r="BI461">
        <v>8</v>
      </c>
      <c r="BJ461" t="s">
        <v>8632</v>
      </c>
      <c r="BK461" t="s">
        <v>100</v>
      </c>
      <c r="BL461" t="s">
        <v>8632</v>
      </c>
      <c r="BM461" t="s">
        <v>8633</v>
      </c>
      <c r="BN461">
        <v>21199019</v>
      </c>
      <c r="BO461" t="s">
        <v>74</v>
      </c>
      <c r="BP461" t="s">
        <v>74</v>
      </c>
      <c r="BQ461" t="s">
        <v>74</v>
      </c>
      <c r="BR461" t="s">
        <v>103</v>
      </c>
      <c r="BS461" t="s">
        <v>8634</v>
      </c>
      <c r="BT461" t="str">
        <f>HYPERLINK("https%3A%2F%2Fwww.webofscience.com%2Fwos%2Fwoscc%2Ffull-record%2FWOS:000290172500003","View Full Record in Web of Science")</f>
        <v>View Full Record in Web of Science</v>
      </c>
    </row>
    <row r="462" spans="1:72" x14ac:dyDescent="0.15">
      <c r="A462" t="s">
        <v>72</v>
      </c>
      <c r="B462" t="s">
        <v>8635</v>
      </c>
      <c r="C462" t="s">
        <v>74</v>
      </c>
      <c r="D462" t="s">
        <v>74</v>
      </c>
      <c r="E462" t="s">
        <v>74</v>
      </c>
      <c r="F462" t="s">
        <v>8636</v>
      </c>
      <c r="G462" t="s">
        <v>74</v>
      </c>
      <c r="H462" t="s">
        <v>74</v>
      </c>
      <c r="I462" t="s">
        <v>8637</v>
      </c>
      <c r="J462" t="s">
        <v>1405</v>
      </c>
      <c r="K462" t="s">
        <v>74</v>
      </c>
      <c r="L462" t="s">
        <v>74</v>
      </c>
      <c r="M462" t="s">
        <v>78</v>
      </c>
      <c r="N462" t="s">
        <v>79</v>
      </c>
      <c r="O462" t="s">
        <v>74</v>
      </c>
      <c r="P462" t="s">
        <v>74</v>
      </c>
      <c r="Q462" t="s">
        <v>74</v>
      </c>
      <c r="R462" t="s">
        <v>74</v>
      </c>
      <c r="S462" t="s">
        <v>74</v>
      </c>
      <c r="T462" t="s">
        <v>74</v>
      </c>
      <c r="U462" t="s">
        <v>8638</v>
      </c>
      <c r="V462" t="s">
        <v>8639</v>
      </c>
      <c r="W462" t="s">
        <v>8640</v>
      </c>
      <c r="X462" t="s">
        <v>8641</v>
      </c>
      <c r="Y462" t="s">
        <v>8642</v>
      </c>
      <c r="Z462" t="s">
        <v>8643</v>
      </c>
      <c r="AA462" t="s">
        <v>8644</v>
      </c>
      <c r="AB462" t="s">
        <v>8645</v>
      </c>
      <c r="AC462" t="s">
        <v>8646</v>
      </c>
      <c r="AD462" t="s">
        <v>8647</v>
      </c>
      <c r="AE462" t="s">
        <v>8648</v>
      </c>
      <c r="AF462" t="s">
        <v>74</v>
      </c>
      <c r="AG462">
        <v>27</v>
      </c>
      <c r="AH462">
        <v>76</v>
      </c>
      <c r="AI462">
        <v>88</v>
      </c>
      <c r="AJ462">
        <v>0</v>
      </c>
      <c r="AK462">
        <v>14</v>
      </c>
      <c r="AL462" t="s">
        <v>1275</v>
      </c>
      <c r="AM462" t="s">
        <v>1276</v>
      </c>
      <c r="AN462" t="s">
        <v>1277</v>
      </c>
      <c r="AO462" t="s">
        <v>1418</v>
      </c>
      <c r="AP462" t="s">
        <v>1419</v>
      </c>
      <c r="AQ462" t="s">
        <v>74</v>
      </c>
      <c r="AR462" t="s">
        <v>1420</v>
      </c>
      <c r="AS462" t="s">
        <v>1421</v>
      </c>
      <c r="AT462" t="s">
        <v>7032</v>
      </c>
      <c r="AU462">
        <v>2011</v>
      </c>
      <c r="AV462">
        <v>28</v>
      </c>
      <c r="AW462">
        <v>6</v>
      </c>
      <c r="AX462" t="s">
        <v>74</v>
      </c>
      <c r="AY462" t="s">
        <v>74</v>
      </c>
      <c r="AZ462" t="s">
        <v>74</v>
      </c>
      <c r="BA462" t="s">
        <v>74</v>
      </c>
      <c r="BB462">
        <v>787</v>
      </c>
      <c r="BC462">
        <v>801</v>
      </c>
      <c r="BD462" t="s">
        <v>74</v>
      </c>
      <c r="BE462" t="s">
        <v>8649</v>
      </c>
      <c r="BF462" t="str">
        <f>HYPERLINK("http://dx.doi.org/10.1175/2010JTECHO801.1","http://dx.doi.org/10.1175/2010JTECHO801.1")</f>
        <v>http://dx.doi.org/10.1175/2010JTECHO801.1</v>
      </c>
      <c r="BG462" t="s">
        <v>74</v>
      </c>
      <c r="BH462" t="s">
        <v>74</v>
      </c>
      <c r="BI462">
        <v>15</v>
      </c>
      <c r="BJ462" t="s">
        <v>1423</v>
      </c>
      <c r="BK462" t="s">
        <v>100</v>
      </c>
      <c r="BL462" t="s">
        <v>1424</v>
      </c>
      <c r="BM462" t="s">
        <v>8650</v>
      </c>
      <c r="BN462" t="s">
        <v>74</v>
      </c>
      <c r="BO462" t="s">
        <v>1051</v>
      </c>
      <c r="BP462" t="s">
        <v>74</v>
      </c>
      <c r="BQ462" t="s">
        <v>74</v>
      </c>
      <c r="BR462" t="s">
        <v>103</v>
      </c>
      <c r="BS462" t="s">
        <v>8651</v>
      </c>
      <c r="BT462" t="str">
        <f>HYPERLINK("https%3A%2F%2Fwww.webofscience.com%2Fwos%2Fwoscc%2Ffull-record%2FWOS:000291972400005","View Full Record in Web of Science")</f>
        <v>View Full Record in Web of Science</v>
      </c>
    </row>
    <row r="463" spans="1:72" x14ac:dyDescent="0.15">
      <c r="A463" t="s">
        <v>72</v>
      </c>
      <c r="B463" t="s">
        <v>8652</v>
      </c>
      <c r="C463" t="s">
        <v>74</v>
      </c>
      <c r="D463" t="s">
        <v>74</v>
      </c>
      <c r="E463" t="s">
        <v>74</v>
      </c>
      <c r="F463" t="s">
        <v>8653</v>
      </c>
      <c r="G463" t="s">
        <v>74</v>
      </c>
      <c r="H463" t="s">
        <v>74</v>
      </c>
      <c r="I463" t="s">
        <v>8654</v>
      </c>
      <c r="J463" t="s">
        <v>1263</v>
      </c>
      <c r="K463" t="s">
        <v>74</v>
      </c>
      <c r="L463" t="s">
        <v>74</v>
      </c>
      <c r="M463" t="s">
        <v>78</v>
      </c>
      <c r="N463" t="s">
        <v>79</v>
      </c>
      <c r="O463" t="s">
        <v>74</v>
      </c>
      <c r="P463" t="s">
        <v>74</v>
      </c>
      <c r="Q463" t="s">
        <v>74</v>
      </c>
      <c r="R463" t="s">
        <v>74</v>
      </c>
      <c r="S463" t="s">
        <v>74</v>
      </c>
      <c r="T463" t="s">
        <v>74</v>
      </c>
      <c r="U463" t="s">
        <v>8655</v>
      </c>
      <c r="V463" t="s">
        <v>8656</v>
      </c>
      <c r="W463" t="s">
        <v>8657</v>
      </c>
      <c r="X463" t="s">
        <v>8658</v>
      </c>
      <c r="Y463" t="s">
        <v>8659</v>
      </c>
      <c r="Z463" t="s">
        <v>8660</v>
      </c>
      <c r="AA463" t="s">
        <v>8661</v>
      </c>
      <c r="AB463" t="s">
        <v>8662</v>
      </c>
      <c r="AC463" t="s">
        <v>8663</v>
      </c>
      <c r="AD463" t="s">
        <v>8664</v>
      </c>
      <c r="AE463" t="s">
        <v>8665</v>
      </c>
      <c r="AF463" t="s">
        <v>74</v>
      </c>
      <c r="AG463">
        <v>59</v>
      </c>
      <c r="AH463">
        <v>56</v>
      </c>
      <c r="AI463">
        <v>61</v>
      </c>
      <c r="AJ463">
        <v>0</v>
      </c>
      <c r="AK463">
        <v>33</v>
      </c>
      <c r="AL463" t="s">
        <v>1275</v>
      </c>
      <c r="AM463" t="s">
        <v>1276</v>
      </c>
      <c r="AN463" t="s">
        <v>1417</v>
      </c>
      <c r="AO463" t="s">
        <v>1278</v>
      </c>
      <c r="AP463" t="s">
        <v>1279</v>
      </c>
      <c r="AQ463" t="s">
        <v>74</v>
      </c>
      <c r="AR463" t="s">
        <v>1280</v>
      </c>
      <c r="AS463" t="s">
        <v>1281</v>
      </c>
      <c r="AT463" t="s">
        <v>7343</v>
      </c>
      <c r="AU463">
        <v>2011</v>
      </c>
      <c r="AV463">
        <v>24</v>
      </c>
      <c r="AW463">
        <v>11</v>
      </c>
      <c r="AX463" t="s">
        <v>74</v>
      </c>
      <c r="AY463" t="s">
        <v>74</v>
      </c>
      <c r="AZ463" t="s">
        <v>74</v>
      </c>
      <c r="BA463" t="s">
        <v>74</v>
      </c>
      <c r="BB463">
        <v>2814</v>
      </c>
      <c r="BC463">
        <v>2829</v>
      </c>
      <c r="BD463" t="s">
        <v>74</v>
      </c>
      <c r="BE463" t="s">
        <v>8666</v>
      </c>
      <c r="BF463" t="str">
        <f>HYPERLINK("http://dx.doi.org/10.1175/2010JCLI3982.1","http://dx.doi.org/10.1175/2010JCLI3982.1")</f>
        <v>http://dx.doi.org/10.1175/2010JCLI3982.1</v>
      </c>
      <c r="BG463" t="s">
        <v>74</v>
      </c>
      <c r="BH463" t="s">
        <v>74</v>
      </c>
      <c r="BI463">
        <v>16</v>
      </c>
      <c r="BJ463" t="s">
        <v>248</v>
      </c>
      <c r="BK463" t="s">
        <v>100</v>
      </c>
      <c r="BL463" t="s">
        <v>248</v>
      </c>
      <c r="BM463" t="s">
        <v>7492</v>
      </c>
      <c r="BN463" t="s">
        <v>74</v>
      </c>
      <c r="BO463" t="s">
        <v>152</v>
      </c>
      <c r="BP463" t="s">
        <v>74</v>
      </c>
      <c r="BQ463" t="s">
        <v>74</v>
      </c>
      <c r="BR463" t="s">
        <v>103</v>
      </c>
      <c r="BS463" t="s">
        <v>8667</v>
      </c>
      <c r="BT463" t="str">
        <f>HYPERLINK("https%3A%2F%2Fwww.webofscience.com%2Fwos%2Fwoscc%2Ffull-record%2FWOS:000291507800013","View Full Record in Web of Science")</f>
        <v>View Full Record in Web of Science</v>
      </c>
    </row>
    <row r="464" spans="1:72" x14ac:dyDescent="0.15">
      <c r="A464" t="s">
        <v>72</v>
      </c>
      <c r="B464" t="s">
        <v>8668</v>
      </c>
      <c r="C464" t="s">
        <v>74</v>
      </c>
      <c r="D464" t="s">
        <v>74</v>
      </c>
      <c r="E464" t="s">
        <v>74</v>
      </c>
      <c r="F464" t="s">
        <v>8669</v>
      </c>
      <c r="G464" t="s">
        <v>74</v>
      </c>
      <c r="H464" t="s">
        <v>74</v>
      </c>
      <c r="I464" t="s">
        <v>8670</v>
      </c>
      <c r="J464" t="s">
        <v>1791</v>
      </c>
      <c r="K464" t="s">
        <v>74</v>
      </c>
      <c r="L464" t="s">
        <v>74</v>
      </c>
      <c r="M464" t="s">
        <v>78</v>
      </c>
      <c r="N464" t="s">
        <v>79</v>
      </c>
      <c r="O464" t="s">
        <v>74</v>
      </c>
      <c r="P464" t="s">
        <v>74</v>
      </c>
      <c r="Q464" t="s">
        <v>74</v>
      </c>
      <c r="R464" t="s">
        <v>74</v>
      </c>
      <c r="S464" t="s">
        <v>74</v>
      </c>
      <c r="T464" t="s">
        <v>8671</v>
      </c>
      <c r="U464" t="s">
        <v>8672</v>
      </c>
      <c r="V464" t="s">
        <v>8673</v>
      </c>
      <c r="W464" t="s">
        <v>8674</v>
      </c>
      <c r="X464" t="s">
        <v>8675</v>
      </c>
      <c r="Y464" t="s">
        <v>8676</v>
      </c>
      <c r="Z464" t="s">
        <v>8677</v>
      </c>
      <c r="AA464" t="s">
        <v>8678</v>
      </c>
      <c r="AB464" t="s">
        <v>8679</v>
      </c>
      <c r="AC464" t="s">
        <v>74</v>
      </c>
      <c r="AD464" t="s">
        <v>74</v>
      </c>
      <c r="AE464" t="s">
        <v>74</v>
      </c>
      <c r="AF464" t="s">
        <v>74</v>
      </c>
      <c r="AG464">
        <v>50</v>
      </c>
      <c r="AH464">
        <v>37</v>
      </c>
      <c r="AI464">
        <v>38</v>
      </c>
      <c r="AJ464">
        <v>0</v>
      </c>
      <c r="AK464">
        <v>32</v>
      </c>
      <c r="AL464" t="s">
        <v>1323</v>
      </c>
      <c r="AM464" t="s">
        <v>1324</v>
      </c>
      <c r="AN464" t="s">
        <v>1325</v>
      </c>
      <c r="AO464" t="s">
        <v>1803</v>
      </c>
      <c r="AP464" t="s">
        <v>1804</v>
      </c>
      <c r="AQ464" t="s">
        <v>74</v>
      </c>
      <c r="AR464" t="s">
        <v>1805</v>
      </c>
      <c r="AS464" t="s">
        <v>1806</v>
      </c>
      <c r="AT464" t="s">
        <v>7032</v>
      </c>
      <c r="AU464">
        <v>2011</v>
      </c>
      <c r="AV464">
        <v>47</v>
      </c>
      <c r="AW464">
        <v>3</v>
      </c>
      <c r="AX464" t="s">
        <v>74</v>
      </c>
      <c r="AY464" t="s">
        <v>74</v>
      </c>
      <c r="AZ464" t="s">
        <v>74</v>
      </c>
      <c r="BA464" t="s">
        <v>74</v>
      </c>
      <c r="BB464">
        <v>615</v>
      </c>
      <c r="BC464">
        <v>626</v>
      </c>
      <c r="BD464" t="s">
        <v>74</v>
      </c>
      <c r="BE464" t="s">
        <v>8680</v>
      </c>
      <c r="BF464" t="str">
        <f>HYPERLINK("http://dx.doi.org/10.1111/j.1529-8817.2011.00992.x","http://dx.doi.org/10.1111/j.1529-8817.2011.00992.x")</f>
        <v>http://dx.doi.org/10.1111/j.1529-8817.2011.00992.x</v>
      </c>
      <c r="BG464" t="s">
        <v>74</v>
      </c>
      <c r="BH464" t="s">
        <v>74</v>
      </c>
      <c r="BI464">
        <v>12</v>
      </c>
      <c r="BJ464" t="s">
        <v>1808</v>
      </c>
      <c r="BK464" t="s">
        <v>100</v>
      </c>
      <c r="BL464" t="s">
        <v>1808</v>
      </c>
      <c r="BM464" t="s">
        <v>8681</v>
      </c>
      <c r="BN464" t="s">
        <v>74</v>
      </c>
      <c r="BO464" t="s">
        <v>74</v>
      </c>
      <c r="BP464" t="s">
        <v>74</v>
      </c>
      <c r="BQ464" t="s">
        <v>74</v>
      </c>
      <c r="BR464" t="s">
        <v>103</v>
      </c>
      <c r="BS464" t="s">
        <v>8682</v>
      </c>
      <c r="BT464" t="str">
        <f>HYPERLINK("https%3A%2F%2Fwww.webofscience.com%2Fwos%2Fwoscc%2Ffull-record%2FWOS:000292064000019","View Full Record in Web of Science")</f>
        <v>View Full Record in Web of Science</v>
      </c>
    </row>
    <row r="465" spans="1:72" x14ac:dyDescent="0.15">
      <c r="A465" t="s">
        <v>72</v>
      </c>
      <c r="B465" t="s">
        <v>8683</v>
      </c>
      <c r="C465" t="s">
        <v>74</v>
      </c>
      <c r="D465" t="s">
        <v>74</v>
      </c>
      <c r="E465" t="s">
        <v>74</v>
      </c>
      <c r="F465" t="s">
        <v>8684</v>
      </c>
      <c r="G465" t="s">
        <v>74</v>
      </c>
      <c r="H465" t="s">
        <v>74</v>
      </c>
      <c r="I465" t="s">
        <v>8685</v>
      </c>
      <c r="J465" t="s">
        <v>1289</v>
      </c>
      <c r="K465" t="s">
        <v>74</v>
      </c>
      <c r="L465" t="s">
        <v>74</v>
      </c>
      <c r="M465" t="s">
        <v>78</v>
      </c>
      <c r="N465" t="s">
        <v>79</v>
      </c>
      <c r="O465" t="s">
        <v>74</v>
      </c>
      <c r="P465" t="s">
        <v>74</v>
      </c>
      <c r="Q465" t="s">
        <v>74</v>
      </c>
      <c r="R465" t="s">
        <v>74</v>
      </c>
      <c r="S465" t="s">
        <v>74</v>
      </c>
      <c r="T465" t="s">
        <v>74</v>
      </c>
      <c r="U465" t="s">
        <v>8686</v>
      </c>
      <c r="V465" t="s">
        <v>8687</v>
      </c>
      <c r="W465" t="s">
        <v>8688</v>
      </c>
      <c r="X465" t="s">
        <v>8689</v>
      </c>
      <c r="Y465" t="s">
        <v>8690</v>
      </c>
      <c r="Z465" t="s">
        <v>8691</v>
      </c>
      <c r="AA465" t="s">
        <v>74</v>
      </c>
      <c r="AB465" t="s">
        <v>8692</v>
      </c>
      <c r="AC465" t="s">
        <v>8693</v>
      </c>
      <c r="AD465" t="s">
        <v>8694</v>
      </c>
      <c r="AE465" t="s">
        <v>8695</v>
      </c>
      <c r="AF465" t="s">
        <v>74</v>
      </c>
      <c r="AG465">
        <v>26</v>
      </c>
      <c r="AH465">
        <v>52</v>
      </c>
      <c r="AI465">
        <v>53</v>
      </c>
      <c r="AJ465">
        <v>0</v>
      </c>
      <c r="AK465">
        <v>12</v>
      </c>
      <c r="AL465" t="s">
        <v>1275</v>
      </c>
      <c r="AM465" t="s">
        <v>1276</v>
      </c>
      <c r="AN465" t="s">
        <v>1277</v>
      </c>
      <c r="AO465" t="s">
        <v>1301</v>
      </c>
      <c r="AP465" t="s">
        <v>1302</v>
      </c>
      <c r="AQ465" t="s">
        <v>74</v>
      </c>
      <c r="AR465" t="s">
        <v>1303</v>
      </c>
      <c r="AS465" t="s">
        <v>1304</v>
      </c>
      <c r="AT465" t="s">
        <v>7032</v>
      </c>
      <c r="AU465">
        <v>2011</v>
      </c>
      <c r="AV465">
        <v>41</v>
      </c>
      <c r="AW465">
        <v>6</v>
      </c>
      <c r="AX465" t="s">
        <v>74</v>
      </c>
      <c r="AY465" t="s">
        <v>74</v>
      </c>
      <c r="AZ465" t="s">
        <v>74</v>
      </c>
      <c r="BA465" t="s">
        <v>74</v>
      </c>
      <c r="BB465">
        <v>1102</v>
      </c>
      <c r="BC465">
        <v>1115</v>
      </c>
      <c r="BD465" t="s">
        <v>74</v>
      </c>
      <c r="BE465" t="s">
        <v>8696</v>
      </c>
      <c r="BF465" t="str">
        <f>HYPERLINK("http://dx.doi.org/10.1175/2011JPO4516.1","http://dx.doi.org/10.1175/2011JPO4516.1")</f>
        <v>http://dx.doi.org/10.1175/2011JPO4516.1</v>
      </c>
      <c r="BG465" t="s">
        <v>74</v>
      </c>
      <c r="BH465" t="s">
        <v>74</v>
      </c>
      <c r="BI465">
        <v>14</v>
      </c>
      <c r="BJ465" t="s">
        <v>271</v>
      </c>
      <c r="BK465" t="s">
        <v>100</v>
      </c>
      <c r="BL465" t="s">
        <v>271</v>
      </c>
      <c r="BM465" t="s">
        <v>7411</v>
      </c>
      <c r="BN465" t="s">
        <v>74</v>
      </c>
      <c r="BO465" t="s">
        <v>1284</v>
      </c>
      <c r="BP465" t="s">
        <v>74</v>
      </c>
      <c r="BQ465" t="s">
        <v>74</v>
      </c>
      <c r="BR465" t="s">
        <v>103</v>
      </c>
      <c r="BS465" t="s">
        <v>8697</v>
      </c>
      <c r="BT465" t="str">
        <f>HYPERLINK("https%3A%2F%2Fwww.webofscience.com%2Fwos%2Fwoscc%2Ffull-record%2FWOS:000292405500004","View Full Record in Web of Science")</f>
        <v>View Full Record in Web of Science</v>
      </c>
    </row>
    <row r="466" spans="1:72" x14ac:dyDescent="0.15">
      <c r="A466" t="s">
        <v>72</v>
      </c>
      <c r="B466" t="s">
        <v>8698</v>
      </c>
      <c r="C466" t="s">
        <v>74</v>
      </c>
      <c r="D466" t="s">
        <v>74</v>
      </c>
      <c r="E466" t="s">
        <v>74</v>
      </c>
      <c r="F466" t="s">
        <v>8699</v>
      </c>
      <c r="G466" t="s">
        <v>74</v>
      </c>
      <c r="H466" t="s">
        <v>74</v>
      </c>
      <c r="I466" t="s">
        <v>8700</v>
      </c>
      <c r="J466" t="s">
        <v>5590</v>
      </c>
      <c r="K466" t="s">
        <v>74</v>
      </c>
      <c r="L466" t="s">
        <v>74</v>
      </c>
      <c r="M466" t="s">
        <v>78</v>
      </c>
      <c r="N466" t="s">
        <v>79</v>
      </c>
      <c r="O466" t="s">
        <v>74</v>
      </c>
      <c r="P466" t="s">
        <v>74</v>
      </c>
      <c r="Q466" t="s">
        <v>74</v>
      </c>
      <c r="R466" t="s">
        <v>74</v>
      </c>
      <c r="S466" t="s">
        <v>74</v>
      </c>
      <c r="T466" t="s">
        <v>8701</v>
      </c>
      <c r="U466" t="s">
        <v>8702</v>
      </c>
      <c r="V466" t="s">
        <v>8703</v>
      </c>
      <c r="W466" t="s">
        <v>8704</v>
      </c>
      <c r="X466" t="s">
        <v>8705</v>
      </c>
      <c r="Y466" t="s">
        <v>8706</v>
      </c>
      <c r="Z466" t="s">
        <v>8707</v>
      </c>
      <c r="AA466" t="s">
        <v>8708</v>
      </c>
      <c r="AB466" t="s">
        <v>8709</v>
      </c>
      <c r="AC466" t="s">
        <v>8710</v>
      </c>
      <c r="AD466" t="s">
        <v>8711</v>
      </c>
      <c r="AE466" t="s">
        <v>8712</v>
      </c>
      <c r="AF466" t="s">
        <v>74</v>
      </c>
      <c r="AG466">
        <v>44</v>
      </c>
      <c r="AH466">
        <v>15</v>
      </c>
      <c r="AI466">
        <v>19</v>
      </c>
      <c r="AJ466">
        <v>0</v>
      </c>
      <c r="AK466">
        <v>38</v>
      </c>
      <c r="AL466" t="s">
        <v>2968</v>
      </c>
      <c r="AM466" t="s">
        <v>508</v>
      </c>
      <c r="AN466" t="s">
        <v>2969</v>
      </c>
      <c r="AO466" t="s">
        <v>5601</v>
      </c>
      <c r="AP466" t="s">
        <v>8713</v>
      </c>
      <c r="AQ466" t="s">
        <v>74</v>
      </c>
      <c r="AR466" t="s">
        <v>5602</v>
      </c>
      <c r="AS466" t="s">
        <v>5603</v>
      </c>
      <c r="AT466" t="s">
        <v>7032</v>
      </c>
      <c r="AU466">
        <v>2011</v>
      </c>
      <c r="AV466">
        <v>33</v>
      </c>
      <c r="AW466">
        <v>6</v>
      </c>
      <c r="AX466" t="s">
        <v>74</v>
      </c>
      <c r="AY466" t="s">
        <v>74</v>
      </c>
      <c r="AZ466" t="s">
        <v>74</v>
      </c>
      <c r="BA466" t="s">
        <v>74</v>
      </c>
      <c r="BB466">
        <v>917</v>
      </c>
      <c r="BC466">
        <v>925</v>
      </c>
      <c r="BD466" t="s">
        <v>74</v>
      </c>
      <c r="BE466" t="s">
        <v>8714</v>
      </c>
      <c r="BF466" t="str">
        <f>HYPERLINK("http://dx.doi.org/10.1093/plankt/fbq165","http://dx.doi.org/10.1093/plankt/fbq165")</f>
        <v>http://dx.doi.org/10.1093/plankt/fbq165</v>
      </c>
      <c r="BG466" t="s">
        <v>74</v>
      </c>
      <c r="BH466" t="s">
        <v>74</v>
      </c>
      <c r="BI466">
        <v>9</v>
      </c>
      <c r="BJ466" t="s">
        <v>5605</v>
      </c>
      <c r="BK466" t="s">
        <v>100</v>
      </c>
      <c r="BL466" t="s">
        <v>5605</v>
      </c>
      <c r="BM466" t="s">
        <v>8715</v>
      </c>
      <c r="BN466" t="s">
        <v>74</v>
      </c>
      <c r="BO466" t="s">
        <v>152</v>
      </c>
      <c r="BP466" t="s">
        <v>74</v>
      </c>
      <c r="BQ466" t="s">
        <v>74</v>
      </c>
      <c r="BR466" t="s">
        <v>103</v>
      </c>
      <c r="BS466" t="s">
        <v>8716</v>
      </c>
      <c r="BT466" t="str">
        <f>HYPERLINK("https%3A%2F%2Fwww.webofscience.com%2Fwos%2Fwoscc%2Ffull-record%2FWOS:000290394300007","View Full Record in Web of Science")</f>
        <v>View Full Record in Web of Science</v>
      </c>
    </row>
    <row r="467" spans="1:72" x14ac:dyDescent="0.15">
      <c r="A467" t="s">
        <v>72</v>
      </c>
      <c r="B467" t="s">
        <v>8717</v>
      </c>
      <c r="C467" t="s">
        <v>74</v>
      </c>
      <c r="D467" t="s">
        <v>74</v>
      </c>
      <c r="E467" t="s">
        <v>74</v>
      </c>
      <c r="F467" t="s">
        <v>8718</v>
      </c>
      <c r="G467" t="s">
        <v>74</v>
      </c>
      <c r="H467" t="s">
        <v>74</v>
      </c>
      <c r="I467" t="s">
        <v>8719</v>
      </c>
      <c r="J467" t="s">
        <v>8720</v>
      </c>
      <c r="K467" t="s">
        <v>74</v>
      </c>
      <c r="L467" t="s">
        <v>74</v>
      </c>
      <c r="M467" t="s">
        <v>78</v>
      </c>
      <c r="N467" t="s">
        <v>79</v>
      </c>
      <c r="O467" t="s">
        <v>74</v>
      </c>
      <c r="P467" t="s">
        <v>74</v>
      </c>
      <c r="Q467" t="s">
        <v>74</v>
      </c>
      <c r="R467" t="s">
        <v>74</v>
      </c>
      <c r="S467" t="s">
        <v>74</v>
      </c>
      <c r="T467" t="s">
        <v>8721</v>
      </c>
      <c r="U467" t="s">
        <v>8722</v>
      </c>
      <c r="V467" t="s">
        <v>8723</v>
      </c>
      <c r="W467" t="s">
        <v>8724</v>
      </c>
      <c r="X467" t="s">
        <v>8725</v>
      </c>
      <c r="Y467" t="s">
        <v>8726</v>
      </c>
      <c r="Z467" t="s">
        <v>8727</v>
      </c>
      <c r="AA467" t="s">
        <v>74</v>
      </c>
      <c r="AB467" t="s">
        <v>8728</v>
      </c>
      <c r="AC467" t="s">
        <v>8729</v>
      </c>
      <c r="AD467" t="s">
        <v>8730</v>
      </c>
      <c r="AE467" t="s">
        <v>8731</v>
      </c>
      <c r="AF467" t="s">
        <v>74</v>
      </c>
      <c r="AG467">
        <v>90</v>
      </c>
      <c r="AH467">
        <v>85</v>
      </c>
      <c r="AI467">
        <v>87</v>
      </c>
      <c r="AJ467">
        <v>0</v>
      </c>
      <c r="AK467">
        <v>19</v>
      </c>
      <c r="AL467" t="s">
        <v>308</v>
      </c>
      <c r="AM467" t="s">
        <v>309</v>
      </c>
      <c r="AN467" t="s">
        <v>310</v>
      </c>
      <c r="AO467" t="s">
        <v>8732</v>
      </c>
      <c r="AP467" t="s">
        <v>8733</v>
      </c>
      <c r="AQ467" t="s">
        <v>74</v>
      </c>
      <c r="AR467" t="s">
        <v>8734</v>
      </c>
      <c r="AS467" t="s">
        <v>8735</v>
      </c>
      <c r="AT467" t="s">
        <v>7343</v>
      </c>
      <c r="AU467">
        <v>2011</v>
      </c>
      <c r="AV467">
        <v>203</v>
      </c>
      <c r="AW467" t="s">
        <v>2154</v>
      </c>
      <c r="AX467" t="s">
        <v>74</v>
      </c>
      <c r="AY467" t="s">
        <v>74</v>
      </c>
      <c r="AZ467" t="s">
        <v>74</v>
      </c>
      <c r="BA467" t="s">
        <v>74</v>
      </c>
      <c r="BB467">
        <v>35</v>
      </c>
      <c r="BC467">
        <v>47</v>
      </c>
      <c r="BD467" t="s">
        <v>74</v>
      </c>
      <c r="BE467" t="s">
        <v>8736</v>
      </c>
      <c r="BF467" t="str">
        <f>HYPERLINK("http://dx.doi.org/10.1016/j.jvolgeores.2011.04.001","http://dx.doi.org/10.1016/j.jvolgeores.2011.04.001")</f>
        <v>http://dx.doi.org/10.1016/j.jvolgeores.2011.04.001</v>
      </c>
      <c r="BG467" t="s">
        <v>74</v>
      </c>
      <c r="BH467" t="s">
        <v>74</v>
      </c>
      <c r="BI467">
        <v>13</v>
      </c>
      <c r="BJ467" t="s">
        <v>130</v>
      </c>
      <c r="BK467" t="s">
        <v>100</v>
      </c>
      <c r="BL467" t="s">
        <v>131</v>
      </c>
      <c r="BM467" t="s">
        <v>8737</v>
      </c>
      <c r="BN467" t="s">
        <v>74</v>
      </c>
      <c r="BO467" t="s">
        <v>702</v>
      </c>
      <c r="BP467" t="s">
        <v>74</v>
      </c>
      <c r="BQ467" t="s">
        <v>74</v>
      </c>
      <c r="BR467" t="s">
        <v>103</v>
      </c>
      <c r="BS467" t="s">
        <v>8738</v>
      </c>
      <c r="BT467" t="str">
        <f>HYPERLINK("https%3A%2F%2Fwww.webofscience.com%2Fwos%2Fwoscc%2Ffull-record%2FWOS:000292066900004","View Full Record in Web of Science")</f>
        <v>View Full Record in Web of Science</v>
      </c>
    </row>
    <row r="468" spans="1:72" x14ac:dyDescent="0.15">
      <c r="A468" t="s">
        <v>72</v>
      </c>
      <c r="B468" t="s">
        <v>8739</v>
      </c>
      <c r="C468" t="s">
        <v>74</v>
      </c>
      <c r="D468" t="s">
        <v>74</v>
      </c>
      <c r="E468" t="s">
        <v>74</v>
      </c>
      <c r="F468" t="s">
        <v>8740</v>
      </c>
      <c r="G468" t="s">
        <v>74</v>
      </c>
      <c r="H468" t="s">
        <v>74</v>
      </c>
      <c r="I468" t="s">
        <v>8741</v>
      </c>
      <c r="J468" t="s">
        <v>2565</v>
      </c>
      <c r="K468" t="s">
        <v>74</v>
      </c>
      <c r="L468" t="s">
        <v>74</v>
      </c>
      <c r="M468" t="s">
        <v>78</v>
      </c>
      <c r="N468" t="s">
        <v>79</v>
      </c>
      <c r="O468" t="s">
        <v>74</v>
      </c>
      <c r="P468" t="s">
        <v>74</v>
      </c>
      <c r="Q468" t="s">
        <v>74</v>
      </c>
      <c r="R468" t="s">
        <v>74</v>
      </c>
      <c r="S468" t="s">
        <v>74</v>
      </c>
      <c r="T468" t="s">
        <v>74</v>
      </c>
      <c r="U468" t="s">
        <v>8742</v>
      </c>
      <c r="V468" t="s">
        <v>8743</v>
      </c>
      <c r="W468" t="s">
        <v>8744</v>
      </c>
      <c r="X468" t="s">
        <v>8745</v>
      </c>
      <c r="Y468" t="s">
        <v>8746</v>
      </c>
      <c r="Z468" t="s">
        <v>8747</v>
      </c>
      <c r="AA468" t="s">
        <v>8748</v>
      </c>
      <c r="AB468" t="s">
        <v>8749</v>
      </c>
      <c r="AC468" t="s">
        <v>8750</v>
      </c>
      <c r="AD468" t="s">
        <v>8751</v>
      </c>
      <c r="AE468" t="s">
        <v>8752</v>
      </c>
      <c r="AF468" t="s">
        <v>74</v>
      </c>
      <c r="AG468">
        <v>37</v>
      </c>
      <c r="AH468">
        <v>241</v>
      </c>
      <c r="AI468">
        <v>278</v>
      </c>
      <c r="AJ468">
        <v>1</v>
      </c>
      <c r="AK468">
        <v>46</v>
      </c>
      <c r="AL468" t="s">
        <v>3660</v>
      </c>
      <c r="AM468" t="s">
        <v>3661</v>
      </c>
      <c r="AN468" t="s">
        <v>3662</v>
      </c>
      <c r="AO468" t="s">
        <v>2579</v>
      </c>
      <c r="AP468" t="s">
        <v>2580</v>
      </c>
      <c r="AQ468" t="s">
        <v>74</v>
      </c>
      <c r="AR468" t="s">
        <v>2581</v>
      </c>
      <c r="AS468" t="s">
        <v>2582</v>
      </c>
      <c r="AT468" t="s">
        <v>7032</v>
      </c>
      <c r="AU468">
        <v>2011</v>
      </c>
      <c r="AV468">
        <v>4</v>
      </c>
      <c r="AW468">
        <v>6</v>
      </c>
      <c r="AX468" t="s">
        <v>74</v>
      </c>
      <c r="AY468" t="s">
        <v>74</v>
      </c>
      <c r="AZ468" t="s">
        <v>74</v>
      </c>
      <c r="BA468" t="s">
        <v>74</v>
      </c>
      <c r="BB468">
        <v>398</v>
      </c>
      <c r="BC468">
        <v>403</v>
      </c>
      <c r="BD468" t="s">
        <v>74</v>
      </c>
      <c r="BE468" t="s">
        <v>8753</v>
      </c>
      <c r="BF468" t="str">
        <f>HYPERLINK("http://dx.doi.org/10.1038/NGEO1129","http://dx.doi.org/10.1038/NGEO1129")</f>
        <v>http://dx.doi.org/10.1038/NGEO1129</v>
      </c>
      <c r="BG468" t="s">
        <v>74</v>
      </c>
      <c r="BH468" t="s">
        <v>74</v>
      </c>
      <c r="BI468">
        <v>6</v>
      </c>
      <c r="BJ468" t="s">
        <v>130</v>
      </c>
      <c r="BK468" t="s">
        <v>100</v>
      </c>
      <c r="BL468" t="s">
        <v>131</v>
      </c>
      <c r="BM468" t="s">
        <v>7816</v>
      </c>
      <c r="BN468" t="s">
        <v>74</v>
      </c>
      <c r="BO468" t="s">
        <v>74</v>
      </c>
      <c r="BP468" t="s">
        <v>74</v>
      </c>
      <c r="BQ468" t="s">
        <v>74</v>
      </c>
      <c r="BR468" t="s">
        <v>103</v>
      </c>
      <c r="BS468" t="s">
        <v>8754</v>
      </c>
      <c r="BT468" t="str">
        <f>HYPERLINK("https%3A%2F%2Fwww.webofscience.com%2Fwos%2Fwoscc%2Ffull-record%2FWOS:000291089200021","View Full Record in Web of Science")</f>
        <v>View Full Record in Web of Science</v>
      </c>
    </row>
    <row r="469" spans="1:72" x14ac:dyDescent="0.15">
      <c r="A469" t="s">
        <v>72</v>
      </c>
      <c r="B469" t="s">
        <v>8755</v>
      </c>
      <c r="C469" t="s">
        <v>74</v>
      </c>
      <c r="D469" t="s">
        <v>74</v>
      </c>
      <c r="E469" t="s">
        <v>74</v>
      </c>
      <c r="F469" t="s">
        <v>8756</v>
      </c>
      <c r="G469" t="s">
        <v>74</v>
      </c>
      <c r="H469" t="s">
        <v>74</v>
      </c>
      <c r="I469" t="s">
        <v>8757</v>
      </c>
      <c r="J469" t="s">
        <v>8758</v>
      </c>
      <c r="K469" t="s">
        <v>74</v>
      </c>
      <c r="L469" t="s">
        <v>74</v>
      </c>
      <c r="M469" t="s">
        <v>78</v>
      </c>
      <c r="N469" t="s">
        <v>79</v>
      </c>
      <c r="O469" t="s">
        <v>74</v>
      </c>
      <c r="P469" t="s">
        <v>74</v>
      </c>
      <c r="Q469" t="s">
        <v>74</v>
      </c>
      <c r="R469" t="s">
        <v>74</v>
      </c>
      <c r="S469" t="s">
        <v>74</v>
      </c>
      <c r="T469" t="s">
        <v>74</v>
      </c>
      <c r="U469" t="s">
        <v>8759</v>
      </c>
      <c r="V469" t="s">
        <v>8760</v>
      </c>
      <c r="W469" t="s">
        <v>8761</v>
      </c>
      <c r="X469" t="s">
        <v>8762</v>
      </c>
      <c r="Y469" t="s">
        <v>8763</v>
      </c>
      <c r="Z469" t="s">
        <v>8764</v>
      </c>
      <c r="AA469" t="s">
        <v>8765</v>
      </c>
      <c r="AB469" t="s">
        <v>8766</v>
      </c>
      <c r="AC469" t="s">
        <v>74</v>
      </c>
      <c r="AD469" t="s">
        <v>74</v>
      </c>
      <c r="AE469" t="s">
        <v>74</v>
      </c>
      <c r="AF469" t="s">
        <v>74</v>
      </c>
      <c r="AG469">
        <v>27</v>
      </c>
      <c r="AH469">
        <v>65</v>
      </c>
      <c r="AI469">
        <v>71</v>
      </c>
      <c r="AJ469">
        <v>1</v>
      </c>
      <c r="AK469">
        <v>37</v>
      </c>
      <c r="AL469" t="s">
        <v>8767</v>
      </c>
      <c r="AM469" t="s">
        <v>8768</v>
      </c>
      <c r="AN469" t="s">
        <v>8769</v>
      </c>
      <c r="AO469" t="s">
        <v>8770</v>
      </c>
      <c r="AP469" t="s">
        <v>74</v>
      </c>
      <c r="AQ469" t="s">
        <v>74</v>
      </c>
      <c r="AR469" t="s">
        <v>8758</v>
      </c>
      <c r="AS469" t="s">
        <v>271</v>
      </c>
      <c r="AT469" t="s">
        <v>7032</v>
      </c>
      <c r="AU469">
        <v>2011</v>
      </c>
      <c r="AV469">
        <v>24</v>
      </c>
      <c r="AW469">
        <v>2</v>
      </c>
      <c r="AX469" t="s">
        <v>74</v>
      </c>
      <c r="AY469" t="s">
        <v>74</v>
      </c>
      <c r="AZ469" t="s">
        <v>864</v>
      </c>
      <c r="BA469" t="s">
        <v>74</v>
      </c>
      <c r="BB469">
        <v>174</v>
      </c>
      <c r="BC469">
        <v>181</v>
      </c>
      <c r="BD469" t="s">
        <v>74</v>
      </c>
      <c r="BE469" t="s">
        <v>8771</v>
      </c>
      <c r="BF469" t="str">
        <f>HYPERLINK("http://dx.doi.org/10.5670/oceanog.2011.37","http://dx.doi.org/10.5670/oceanog.2011.37")</f>
        <v>http://dx.doi.org/10.5670/oceanog.2011.37</v>
      </c>
      <c r="BG469" t="s">
        <v>74</v>
      </c>
      <c r="BH469" t="s">
        <v>74</v>
      </c>
      <c r="BI469">
        <v>8</v>
      </c>
      <c r="BJ469" t="s">
        <v>271</v>
      </c>
      <c r="BK469" t="s">
        <v>100</v>
      </c>
      <c r="BL469" t="s">
        <v>271</v>
      </c>
      <c r="BM469" t="s">
        <v>8772</v>
      </c>
      <c r="BN469" t="s">
        <v>74</v>
      </c>
      <c r="BO469" t="s">
        <v>8773</v>
      </c>
      <c r="BP469" t="s">
        <v>74</v>
      </c>
      <c r="BQ469" t="s">
        <v>74</v>
      </c>
      <c r="BR469" t="s">
        <v>103</v>
      </c>
      <c r="BS469" t="s">
        <v>8774</v>
      </c>
      <c r="BT469" t="str">
        <f>HYPERLINK("https%3A%2F%2Fwww.webofscience.com%2Fwos%2Fwoscc%2Ffull-record%2FWOS:000292348000019","View Full Record in Web of Science")</f>
        <v>View Full Record in Web of Science</v>
      </c>
    </row>
    <row r="470" spans="1:72" x14ac:dyDescent="0.15">
      <c r="A470" t="s">
        <v>72</v>
      </c>
      <c r="B470" t="s">
        <v>8775</v>
      </c>
      <c r="C470" t="s">
        <v>74</v>
      </c>
      <c r="D470" t="s">
        <v>74</v>
      </c>
      <c r="E470" t="s">
        <v>74</v>
      </c>
      <c r="F470" t="s">
        <v>8776</v>
      </c>
      <c r="G470" t="s">
        <v>74</v>
      </c>
      <c r="H470" t="s">
        <v>74</v>
      </c>
      <c r="I470" t="s">
        <v>8777</v>
      </c>
      <c r="J470" t="s">
        <v>8778</v>
      </c>
      <c r="K470" t="s">
        <v>74</v>
      </c>
      <c r="L470" t="s">
        <v>74</v>
      </c>
      <c r="M470" t="s">
        <v>78</v>
      </c>
      <c r="N470" t="s">
        <v>79</v>
      </c>
      <c r="O470" t="s">
        <v>74</v>
      </c>
      <c r="P470" t="s">
        <v>74</v>
      </c>
      <c r="Q470" t="s">
        <v>74</v>
      </c>
      <c r="R470" t="s">
        <v>74</v>
      </c>
      <c r="S470" t="s">
        <v>74</v>
      </c>
      <c r="T470" t="s">
        <v>8779</v>
      </c>
      <c r="U470" t="s">
        <v>8780</v>
      </c>
      <c r="V470" t="s">
        <v>8781</v>
      </c>
      <c r="W470" t="s">
        <v>8782</v>
      </c>
      <c r="X470" t="s">
        <v>8783</v>
      </c>
      <c r="Y470" t="s">
        <v>8784</v>
      </c>
      <c r="Z470" t="s">
        <v>8785</v>
      </c>
      <c r="AA470" t="s">
        <v>8786</v>
      </c>
      <c r="AB470" t="s">
        <v>8787</v>
      </c>
      <c r="AC470" t="s">
        <v>8788</v>
      </c>
      <c r="AD470" t="s">
        <v>8789</v>
      </c>
      <c r="AE470" t="s">
        <v>8790</v>
      </c>
      <c r="AF470" t="s">
        <v>74</v>
      </c>
      <c r="AG470">
        <v>36</v>
      </c>
      <c r="AH470">
        <v>13</v>
      </c>
      <c r="AI470">
        <v>16</v>
      </c>
      <c r="AJ470">
        <v>3</v>
      </c>
      <c r="AK470">
        <v>14</v>
      </c>
      <c r="AL470" t="s">
        <v>4179</v>
      </c>
      <c r="AM470" t="s">
        <v>4200</v>
      </c>
      <c r="AN470" t="s">
        <v>4201</v>
      </c>
      <c r="AO470" t="s">
        <v>8791</v>
      </c>
      <c r="AP470" t="s">
        <v>74</v>
      </c>
      <c r="AQ470" t="s">
        <v>74</v>
      </c>
      <c r="AR470" t="s">
        <v>8792</v>
      </c>
      <c r="AS470" t="s">
        <v>8793</v>
      </c>
      <c r="AT470" t="s">
        <v>7032</v>
      </c>
      <c r="AU470">
        <v>2011</v>
      </c>
      <c r="AV470">
        <v>36</v>
      </c>
      <c r="AW470">
        <v>2</v>
      </c>
      <c r="AX470" t="s">
        <v>74</v>
      </c>
      <c r="AY470" t="s">
        <v>74</v>
      </c>
      <c r="AZ470" t="s">
        <v>74</v>
      </c>
      <c r="BA470" t="s">
        <v>74</v>
      </c>
      <c r="BB470">
        <v>135</v>
      </c>
      <c r="BC470">
        <v>140</v>
      </c>
      <c r="BD470" t="s">
        <v>74</v>
      </c>
      <c r="BE470" t="s">
        <v>8794</v>
      </c>
      <c r="BF470" t="str">
        <f>HYPERLINK("http://dx.doi.org/10.1111/j.1365-3032.2010.00772.x","http://dx.doi.org/10.1111/j.1365-3032.2010.00772.x")</f>
        <v>http://dx.doi.org/10.1111/j.1365-3032.2010.00772.x</v>
      </c>
      <c r="BG470" t="s">
        <v>74</v>
      </c>
      <c r="BH470" t="s">
        <v>74</v>
      </c>
      <c r="BI470">
        <v>6</v>
      </c>
      <c r="BJ470" t="s">
        <v>8795</v>
      </c>
      <c r="BK470" t="s">
        <v>100</v>
      </c>
      <c r="BL470" t="s">
        <v>8795</v>
      </c>
      <c r="BM470" t="s">
        <v>8796</v>
      </c>
      <c r="BN470" t="s">
        <v>74</v>
      </c>
      <c r="BO470" t="s">
        <v>74</v>
      </c>
      <c r="BP470" t="s">
        <v>74</v>
      </c>
      <c r="BQ470" t="s">
        <v>74</v>
      </c>
      <c r="BR470" t="s">
        <v>103</v>
      </c>
      <c r="BS470" t="s">
        <v>8797</v>
      </c>
      <c r="BT470" t="str">
        <f>HYPERLINK("https%3A%2F%2Fwww.webofscience.com%2Fwos%2Fwoscc%2Ffull-record%2FWOS:000290489000005","View Full Record in Web of Science")</f>
        <v>View Full Record in Web of Science</v>
      </c>
    </row>
    <row r="471" spans="1:72" x14ac:dyDescent="0.15">
      <c r="A471" t="s">
        <v>72</v>
      </c>
      <c r="B471" t="s">
        <v>8798</v>
      </c>
      <c r="C471" t="s">
        <v>74</v>
      </c>
      <c r="D471" t="s">
        <v>74</v>
      </c>
      <c r="E471" t="s">
        <v>74</v>
      </c>
      <c r="F471" t="s">
        <v>8799</v>
      </c>
      <c r="G471" t="s">
        <v>74</v>
      </c>
      <c r="H471" t="s">
        <v>74</v>
      </c>
      <c r="I471" t="s">
        <v>8800</v>
      </c>
      <c r="J471" t="s">
        <v>1889</v>
      </c>
      <c r="K471" t="s">
        <v>74</v>
      </c>
      <c r="L471" t="s">
        <v>74</v>
      </c>
      <c r="M471" t="s">
        <v>78</v>
      </c>
      <c r="N471" t="s">
        <v>79</v>
      </c>
      <c r="O471" t="s">
        <v>74</v>
      </c>
      <c r="P471" t="s">
        <v>74</v>
      </c>
      <c r="Q471" t="s">
        <v>74</v>
      </c>
      <c r="R471" t="s">
        <v>74</v>
      </c>
      <c r="S471" t="s">
        <v>74</v>
      </c>
      <c r="T471" t="s">
        <v>8801</v>
      </c>
      <c r="U471" t="s">
        <v>8802</v>
      </c>
      <c r="V471" t="s">
        <v>8803</v>
      </c>
      <c r="W471" t="s">
        <v>8804</v>
      </c>
      <c r="X471" t="s">
        <v>8805</v>
      </c>
      <c r="Y471" t="s">
        <v>8806</v>
      </c>
      <c r="Z471" t="s">
        <v>8807</v>
      </c>
      <c r="AA471" t="s">
        <v>8808</v>
      </c>
      <c r="AB471" t="s">
        <v>8809</v>
      </c>
      <c r="AC471" t="s">
        <v>8810</v>
      </c>
      <c r="AD471" t="s">
        <v>8811</v>
      </c>
      <c r="AE471" t="s">
        <v>8812</v>
      </c>
      <c r="AF471" t="s">
        <v>74</v>
      </c>
      <c r="AG471">
        <v>70</v>
      </c>
      <c r="AH471">
        <v>29</v>
      </c>
      <c r="AI471">
        <v>41</v>
      </c>
      <c r="AJ471">
        <v>0</v>
      </c>
      <c r="AK471">
        <v>28</v>
      </c>
      <c r="AL471" t="s">
        <v>1441</v>
      </c>
      <c r="AM471" t="s">
        <v>91</v>
      </c>
      <c r="AN471" t="s">
        <v>1595</v>
      </c>
      <c r="AO471" t="s">
        <v>1903</v>
      </c>
      <c r="AP471" t="s">
        <v>1904</v>
      </c>
      <c r="AQ471" t="s">
        <v>74</v>
      </c>
      <c r="AR471" t="s">
        <v>1905</v>
      </c>
      <c r="AS471" t="s">
        <v>1906</v>
      </c>
      <c r="AT471" t="s">
        <v>7032</v>
      </c>
      <c r="AU471">
        <v>2011</v>
      </c>
      <c r="AV471">
        <v>34</v>
      </c>
      <c r="AW471">
        <v>6</v>
      </c>
      <c r="AX471" t="s">
        <v>74</v>
      </c>
      <c r="AY471" t="s">
        <v>74</v>
      </c>
      <c r="AZ471" t="s">
        <v>74</v>
      </c>
      <c r="BA471" t="s">
        <v>74</v>
      </c>
      <c r="BB471">
        <v>907</v>
      </c>
      <c r="BC471">
        <v>919</v>
      </c>
      <c r="BD471" t="s">
        <v>74</v>
      </c>
      <c r="BE471" t="s">
        <v>8813</v>
      </c>
      <c r="BF471" t="str">
        <f>HYPERLINK("http://dx.doi.org/10.1007/s00300-010-0947-0","http://dx.doi.org/10.1007/s00300-010-0947-0")</f>
        <v>http://dx.doi.org/10.1007/s00300-010-0947-0</v>
      </c>
      <c r="BG471" t="s">
        <v>74</v>
      </c>
      <c r="BH471" t="s">
        <v>74</v>
      </c>
      <c r="BI471">
        <v>13</v>
      </c>
      <c r="BJ471" t="s">
        <v>1908</v>
      </c>
      <c r="BK471" t="s">
        <v>100</v>
      </c>
      <c r="BL471" t="s">
        <v>1909</v>
      </c>
      <c r="BM471" t="s">
        <v>8814</v>
      </c>
      <c r="BN471" t="s">
        <v>74</v>
      </c>
      <c r="BO471" t="s">
        <v>74</v>
      </c>
      <c r="BP471" t="s">
        <v>74</v>
      </c>
      <c r="BQ471" t="s">
        <v>74</v>
      </c>
      <c r="BR471" t="s">
        <v>103</v>
      </c>
      <c r="BS471" t="s">
        <v>8815</v>
      </c>
      <c r="BT471" t="str">
        <f>HYPERLINK("https%3A%2F%2Fwww.webofscience.com%2Fwos%2Fwoscc%2Ffull-record%2FWOS:000290331300012","View Full Record in Web of Science")</f>
        <v>View Full Record in Web of Science</v>
      </c>
    </row>
    <row r="472" spans="1:72" x14ac:dyDescent="0.15">
      <c r="A472" t="s">
        <v>72</v>
      </c>
      <c r="B472" t="s">
        <v>8816</v>
      </c>
      <c r="C472" t="s">
        <v>74</v>
      </c>
      <c r="D472" t="s">
        <v>74</v>
      </c>
      <c r="E472" t="s">
        <v>74</v>
      </c>
      <c r="F472" t="s">
        <v>8817</v>
      </c>
      <c r="G472" t="s">
        <v>74</v>
      </c>
      <c r="H472" t="s">
        <v>74</v>
      </c>
      <c r="I472" t="s">
        <v>8818</v>
      </c>
      <c r="J472" t="s">
        <v>8819</v>
      </c>
      <c r="K472" t="s">
        <v>74</v>
      </c>
      <c r="L472" t="s">
        <v>74</v>
      </c>
      <c r="M472" t="s">
        <v>78</v>
      </c>
      <c r="N472" t="s">
        <v>79</v>
      </c>
      <c r="O472" t="s">
        <v>74</v>
      </c>
      <c r="P472" t="s">
        <v>74</v>
      </c>
      <c r="Q472" t="s">
        <v>74</v>
      </c>
      <c r="R472" t="s">
        <v>74</v>
      </c>
      <c r="S472" t="s">
        <v>74</v>
      </c>
      <c r="T472" t="s">
        <v>8820</v>
      </c>
      <c r="U472" t="s">
        <v>8821</v>
      </c>
      <c r="V472" t="s">
        <v>8822</v>
      </c>
      <c r="W472" t="s">
        <v>8823</v>
      </c>
      <c r="X472" t="s">
        <v>8824</v>
      </c>
      <c r="Y472" t="s">
        <v>8825</v>
      </c>
      <c r="Z472" t="s">
        <v>8826</v>
      </c>
      <c r="AA472" t="s">
        <v>8827</v>
      </c>
      <c r="AB472" t="s">
        <v>8828</v>
      </c>
      <c r="AC472" t="s">
        <v>8829</v>
      </c>
      <c r="AD472" t="s">
        <v>8830</v>
      </c>
      <c r="AE472" t="s">
        <v>8831</v>
      </c>
      <c r="AF472" t="s">
        <v>74</v>
      </c>
      <c r="AG472">
        <v>60</v>
      </c>
      <c r="AH472">
        <v>21</v>
      </c>
      <c r="AI472">
        <v>21</v>
      </c>
      <c r="AJ472">
        <v>0</v>
      </c>
      <c r="AK472">
        <v>9</v>
      </c>
      <c r="AL472" t="s">
        <v>308</v>
      </c>
      <c r="AM472" t="s">
        <v>309</v>
      </c>
      <c r="AN472" t="s">
        <v>310</v>
      </c>
      <c r="AO472" t="s">
        <v>8832</v>
      </c>
      <c r="AP472" t="s">
        <v>8833</v>
      </c>
      <c r="AQ472" t="s">
        <v>74</v>
      </c>
      <c r="AR472" t="s">
        <v>8834</v>
      </c>
      <c r="AS472" t="s">
        <v>8835</v>
      </c>
      <c r="AT472" t="s">
        <v>7032</v>
      </c>
      <c r="AU472">
        <v>2011</v>
      </c>
      <c r="AV472">
        <v>165</v>
      </c>
      <c r="AW472" t="s">
        <v>315</v>
      </c>
      <c r="AX472" t="s">
        <v>74</v>
      </c>
      <c r="AY472" t="s">
        <v>74</v>
      </c>
      <c r="AZ472" t="s">
        <v>74</v>
      </c>
      <c r="BA472" t="s">
        <v>74</v>
      </c>
      <c r="BB472">
        <v>175</v>
      </c>
      <c r="BC472">
        <v>182</v>
      </c>
      <c r="BD472" t="s">
        <v>74</v>
      </c>
      <c r="BE472" t="s">
        <v>8836</v>
      </c>
      <c r="BF472" t="str">
        <f>HYPERLINK("http://dx.doi.org/10.1016/j.revpalbo.2011.03.002","http://dx.doi.org/10.1016/j.revpalbo.2011.03.002")</f>
        <v>http://dx.doi.org/10.1016/j.revpalbo.2011.03.002</v>
      </c>
      <c r="BG472" t="s">
        <v>74</v>
      </c>
      <c r="BH472" t="s">
        <v>74</v>
      </c>
      <c r="BI472">
        <v>8</v>
      </c>
      <c r="BJ472" t="s">
        <v>8837</v>
      </c>
      <c r="BK472" t="s">
        <v>100</v>
      </c>
      <c r="BL472" t="s">
        <v>8837</v>
      </c>
      <c r="BM472" t="s">
        <v>8838</v>
      </c>
      <c r="BN472" t="s">
        <v>74</v>
      </c>
      <c r="BO472" t="s">
        <v>702</v>
      </c>
      <c r="BP472" t="s">
        <v>74</v>
      </c>
      <c r="BQ472" t="s">
        <v>74</v>
      </c>
      <c r="BR472" t="s">
        <v>103</v>
      </c>
      <c r="BS472" t="s">
        <v>8839</v>
      </c>
      <c r="BT472" t="str">
        <f>HYPERLINK("https%3A%2F%2Fwww.webofscience.com%2Fwos%2Fwoscc%2Ffull-record%2FWOS:000291899600004","View Full Record in Web of Science")</f>
        <v>View Full Record in Web of Science</v>
      </c>
    </row>
    <row r="473" spans="1:72" x14ac:dyDescent="0.15">
      <c r="A473" t="s">
        <v>72</v>
      </c>
      <c r="B473" t="s">
        <v>8840</v>
      </c>
      <c r="C473" t="s">
        <v>74</v>
      </c>
      <c r="D473" t="s">
        <v>74</v>
      </c>
      <c r="E473" t="s">
        <v>74</v>
      </c>
      <c r="F473" t="s">
        <v>8841</v>
      </c>
      <c r="G473" t="s">
        <v>74</v>
      </c>
      <c r="H473" t="s">
        <v>74</v>
      </c>
      <c r="I473" t="s">
        <v>8842</v>
      </c>
      <c r="J473" t="s">
        <v>8843</v>
      </c>
      <c r="K473" t="s">
        <v>74</v>
      </c>
      <c r="L473" t="s">
        <v>74</v>
      </c>
      <c r="M473" t="s">
        <v>78</v>
      </c>
      <c r="N473" t="s">
        <v>79</v>
      </c>
      <c r="O473" t="s">
        <v>74</v>
      </c>
      <c r="P473" t="s">
        <v>74</v>
      </c>
      <c r="Q473" t="s">
        <v>74</v>
      </c>
      <c r="R473" t="s">
        <v>74</v>
      </c>
      <c r="S473" t="s">
        <v>74</v>
      </c>
      <c r="T473" t="s">
        <v>74</v>
      </c>
      <c r="U473" t="s">
        <v>74</v>
      </c>
      <c r="V473" t="s">
        <v>74</v>
      </c>
      <c r="W473" t="s">
        <v>8844</v>
      </c>
      <c r="X473" t="s">
        <v>8845</v>
      </c>
      <c r="Y473" t="s">
        <v>8846</v>
      </c>
      <c r="Z473" t="s">
        <v>74</v>
      </c>
      <c r="AA473" t="s">
        <v>8847</v>
      </c>
      <c r="AB473" t="s">
        <v>8848</v>
      </c>
      <c r="AC473" t="s">
        <v>8849</v>
      </c>
      <c r="AD473" t="s">
        <v>8850</v>
      </c>
      <c r="AE473" t="s">
        <v>8851</v>
      </c>
      <c r="AF473" t="s">
        <v>74</v>
      </c>
      <c r="AG473">
        <v>0</v>
      </c>
      <c r="AH473">
        <v>0</v>
      </c>
      <c r="AI473">
        <v>0</v>
      </c>
      <c r="AJ473">
        <v>0</v>
      </c>
      <c r="AK473">
        <v>0</v>
      </c>
      <c r="AL473" t="s">
        <v>8852</v>
      </c>
      <c r="AM473" t="s">
        <v>8853</v>
      </c>
      <c r="AN473" t="s">
        <v>8854</v>
      </c>
      <c r="AO473" t="s">
        <v>8855</v>
      </c>
      <c r="AP473" t="s">
        <v>74</v>
      </c>
      <c r="AQ473" t="s">
        <v>74</v>
      </c>
      <c r="AR473" t="s">
        <v>8856</v>
      </c>
      <c r="AS473" t="s">
        <v>8857</v>
      </c>
      <c r="AT473" t="s">
        <v>7032</v>
      </c>
      <c r="AU473">
        <v>2011</v>
      </c>
      <c r="AV473">
        <v>52</v>
      </c>
      <c r="AW473">
        <v>6</v>
      </c>
      <c r="AX473" t="s">
        <v>74</v>
      </c>
      <c r="AY473" t="s">
        <v>74</v>
      </c>
      <c r="AZ473" t="s">
        <v>74</v>
      </c>
      <c r="BA473" t="s">
        <v>74</v>
      </c>
      <c r="BB473">
        <v>13</v>
      </c>
      <c r="BC473" t="s">
        <v>8858</v>
      </c>
      <c r="BD473" t="s">
        <v>74</v>
      </c>
      <c r="BE473" t="s">
        <v>74</v>
      </c>
      <c r="BF473" t="s">
        <v>74</v>
      </c>
      <c r="BG473" t="s">
        <v>74</v>
      </c>
      <c r="BH473" t="s">
        <v>74</v>
      </c>
      <c r="BI473">
        <v>4</v>
      </c>
      <c r="BJ473" t="s">
        <v>8859</v>
      </c>
      <c r="BK473" t="s">
        <v>100</v>
      </c>
      <c r="BL473" t="s">
        <v>8860</v>
      </c>
      <c r="BM473" t="s">
        <v>8861</v>
      </c>
      <c r="BN473" t="s">
        <v>74</v>
      </c>
      <c r="BO473" t="s">
        <v>74</v>
      </c>
      <c r="BP473" t="s">
        <v>74</v>
      </c>
      <c r="BQ473" t="s">
        <v>74</v>
      </c>
      <c r="BR473" t="s">
        <v>103</v>
      </c>
      <c r="BS473" t="s">
        <v>8862</v>
      </c>
      <c r="BT473" t="str">
        <f>HYPERLINK("https%3A%2F%2Fwww.webofscience.com%2Fwos%2Fwoscc%2Ffull-record%2FWOS:000292059400003","View Full Record in Web of Science")</f>
        <v>View Full Record in Web of Science</v>
      </c>
    </row>
    <row r="474" spans="1:72" x14ac:dyDescent="0.15">
      <c r="A474" t="s">
        <v>72</v>
      </c>
      <c r="B474" t="s">
        <v>8863</v>
      </c>
      <c r="C474" t="s">
        <v>74</v>
      </c>
      <c r="D474" t="s">
        <v>74</v>
      </c>
      <c r="E474" t="s">
        <v>74</v>
      </c>
      <c r="F474" t="s">
        <v>8864</v>
      </c>
      <c r="G474" t="s">
        <v>74</v>
      </c>
      <c r="H474" t="s">
        <v>74</v>
      </c>
      <c r="I474" t="s">
        <v>8865</v>
      </c>
      <c r="J474" t="s">
        <v>8866</v>
      </c>
      <c r="K474" t="s">
        <v>74</v>
      </c>
      <c r="L474" t="s">
        <v>74</v>
      </c>
      <c r="M474" t="s">
        <v>78</v>
      </c>
      <c r="N474" t="s">
        <v>7194</v>
      </c>
      <c r="O474" t="s">
        <v>74</v>
      </c>
      <c r="P474" t="s">
        <v>74</v>
      </c>
      <c r="Q474" t="s">
        <v>74</v>
      </c>
      <c r="R474" t="s">
        <v>74</v>
      </c>
      <c r="S474" t="s">
        <v>74</v>
      </c>
      <c r="T474" t="s">
        <v>74</v>
      </c>
      <c r="U474" t="s">
        <v>8867</v>
      </c>
      <c r="V474" t="s">
        <v>74</v>
      </c>
      <c r="W474" t="s">
        <v>8868</v>
      </c>
      <c r="X474" t="s">
        <v>8869</v>
      </c>
      <c r="Y474" t="s">
        <v>8870</v>
      </c>
      <c r="Z474" t="s">
        <v>854</v>
      </c>
      <c r="AA474" t="s">
        <v>8871</v>
      </c>
      <c r="AB474" t="s">
        <v>856</v>
      </c>
      <c r="AC474" t="s">
        <v>74</v>
      </c>
      <c r="AD474" t="s">
        <v>74</v>
      </c>
      <c r="AE474" t="s">
        <v>74</v>
      </c>
      <c r="AF474" t="s">
        <v>74</v>
      </c>
      <c r="AG474">
        <v>12</v>
      </c>
      <c r="AH474">
        <v>34</v>
      </c>
      <c r="AI474">
        <v>34</v>
      </c>
      <c r="AJ474">
        <v>1</v>
      </c>
      <c r="AK474">
        <v>11</v>
      </c>
      <c r="AL474" t="s">
        <v>8872</v>
      </c>
      <c r="AM474" t="s">
        <v>1490</v>
      </c>
      <c r="AN474" t="s">
        <v>8873</v>
      </c>
      <c r="AO474" t="s">
        <v>8874</v>
      </c>
      <c r="AP474" t="s">
        <v>74</v>
      </c>
      <c r="AQ474" t="s">
        <v>74</v>
      </c>
      <c r="AR474" t="s">
        <v>8875</v>
      </c>
      <c r="AS474" t="s">
        <v>8876</v>
      </c>
      <c r="AT474" t="s">
        <v>7032</v>
      </c>
      <c r="AU474">
        <v>2011</v>
      </c>
      <c r="AV474">
        <v>26</v>
      </c>
      <c r="AW474">
        <v>6</v>
      </c>
      <c r="AX474" t="s">
        <v>74</v>
      </c>
      <c r="AY474" t="s">
        <v>74</v>
      </c>
      <c r="AZ474" t="s">
        <v>74</v>
      </c>
      <c r="BA474" t="s">
        <v>74</v>
      </c>
      <c r="BB474">
        <v>261</v>
      </c>
      <c r="BC474">
        <v>262</v>
      </c>
      <c r="BD474" t="s">
        <v>74</v>
      </c>
      <c r="BE474" t="s">
        <v>8877</v>
      </c>
      <c r="BF474" t="str">
        <f>HYPERLINK("http://dx.doi.org/10.1016/j.tree.2011.03.017","http://dx.doi.org/10.1016/j.tree.2011.03.017")</f>
        <v>http://dx.doi.org/10.1016/j.tree.2011.03.017</v>
      </c>
      <c r="BG474" t="s">
        <v>74</v>
      </c>
      <c r="BH474" t="s">
        <v>74</v>
      </c>
      <c r="BI474">
        <v>2</v>
      </c>
      <c r="BJ474" t="s">
        <v>5461</v>
      </c>
      <c r="BK474" t="s">
        <v>100</v>
      </c>
      <c r="BL474" t="s">
        <v>5462</v>
      </c>
      <c r="BM474" t="s">
        <v>8878</v>
      </c>
      <c r="BN474">
        <v>21497409</v>
      </c>
      <c r="BO474" t="s">
        <v>74</v>
      </c>
      <c r="BP474" t="s">
        <v>74</v>
      </c>
      <c r="BQ474" t="s">
        <v>74</v>
      </c>
      <c r="BR474" t="s">
        <v>103</v>
      </c>
      <c r="BS474" t="s">
        <v>8879</v>
      </c>
      <c r="BT474" t="str">
        <f>HYPERLINK("https%3A%2F%2Fwww.webofscience.com%2Fwos%2Fwoscc%2Ffull-record%2FWOS:000291843900001","View Full Record in Web of Science")</f>
        <v>View Full Record in Web of Science</v>
      </c>
    </row>
    <row r="475" spans="1:72" x14ac:dyDescent="0.15">
      <c r="A475" t="s">
        <v>72</v>
      </c>
      <c r="B475" t="s">
        <v>8880</v>
      </c>
      <c r="C475" t="s">
        <v>74</v>
      </c>
      <c r="D475" t="s">
        <v>74</v>
      </c>
      <c r="E475" t="s">
        <v>74</v>
      </c>
      <c r="F475" t="s">
        <v>8881</v>
      </c>
      <c r="G475" t="s">
        <v>74</v>
      </c>
      <c r="H475" t="s">
        <v>74</v>
      </c>
      <c r="I475" t="s">
        <v>8882</v>
      </c>
      <c r="J475" t="s">
        <v>8883</v>
      </c>
      <c r="K475" t="s">
        <v>74</v>
      </c>
      <c r="L475" t="s">
        <v>74</v>
      </c>
      <c r="M475" t="s">
        <v>78</v>
      </c>
      <c r="N475" t="s">
        <v>79</v>
      </c>
      <c r="O475" t="s">
        <v>74</v>
      </c>
      <c r="P475" t="s">
        <v>74</v>
      </c>
      <c r="Q475" t="s">
        <v>74</v>
      </c>
      <c r="R475" t="s">
        <v>74</v>
      </c>
      <c r="S475" t="s">
        <v>74</v>
      </c>
      <c r="T475" t="s">
        <v>8884</v>
      </c>
      <c r="U475" t="s">
        <v>8885</v>
      </c>
      <c r="V475" t="s">
        <v>8886</v>
      </c>
      <c r="W475" t="s">
        <v>8887</v>
      </c>
      <c r="X475" t="s">
        <v>8888</v>
      </c>
      <c r="Y475" t="s">
        <v>8889</v>
      </c>
      <c r="Z475" t="s">
        <v>8890</v>
      </c>
      <c r="AA475" t="s">
        <v>74</v>
      </c>
      <c r="AB475" t="s">
        <v>74</v>
      </c>
      <c r="AC475" t="s">
        <v>8891</v>
      </c>
      <c r="AD475" t="s">
        <v>8891</v>
      </c>
      <c r="AE475" t="s">
        <v>8892</v>
      </c>
      <c r="AF475" t="s">
        <v>74</v>
      </c>
      <c r="AG475">
        <v>48</v>
      </c>
      <c r="AH475">
        <v>95</v>
      </c>
      <c r="AI475">
        <v>102</v>
      </c>
      <c r="AJ475">
        <v>0</v>
      </c>
      <c r="AK475">
        <v>59</v>
      </c>
      <c r="AL475" t="s">
        <v>1323</v>
      </c>
      <c r="AM475" t="s">
        <v>1324</v>
      </c>
      <c r="AN475" t="s">
        <v>1325</v>
      </c>
      <c r="AO475" t="s">
        <v>8893</v>
      </c>
      <c r="AP475" t="s">
        <v>8894</v>
      </c>
      <c r="AQ475" t="s">
        <v>74</v>
      </c>
      <c r="AR475" t="s">
        <v>8895</v>
      </c>
      <c r="AS475" t="s">
        <v>8896</v>
      </c>
      <c r="AT475" t="s">
        <v>7032</v>
      </c>
      <c r="AU475">
        <v>2011</v>
      </c>
      <c r="AV475">
        <v>12</v>
      </c>
      <c r="AW475">
        <v>2</v>
      </c>
      <c r="AX475" t="s">
        <v>74</v>
      </c>
      <c r="AY475" t="s">
        <v>74</v>
      </c>
      <c r="AZ475" t="s">
        <v>74</v>
      </c>
      <c r="BA475" t="s">
        <v>74</v>
      </c>
      <c r="BB475">
        <v>138</v>
      </c>
      <c r="BC475">
        <v>151</v>
      </c>
      <c r="BD475" t="s">
        <v>74</v>
      </c>
      <c r="BE475" t="s">
        <v>8897</v>
      </c>
      <c r="BF475" t="str">
        <f>HYPERLINK("http://dx.doi.org/10.1111/j.1467-2979.2011.00410.x","http://dx.doi.org/10.1111/j.1467-2979.2011.00410.x")</f>
        <v>http://dx.doi.org/10.1111/j.1467-2979.2011.00410.x</v>
      </c>
      <c r="BG475" t="s">
        <v>74</v>
      </c>
      <c r="BH475" t="s">
        <v>74</v>
      </c>
      <c r="BI475">
        <v>14</v>
      </c>
      <c r="BJ475" t="s">
        <v>4362</v>
      </c>
      <c r="BK475" t="s">
        <v>100</v>
      </c>
      <c r="BL475" t="s">
        <v>4362</v>
      </c>
      <c r="BM475" t="s">
        <v>8898</v>
      </c>
      <c r="BN475" t="s">
        <v>74</v>
      </c>
      <c r="BO475" t="s">
        <v>74</v>
      </c>
      <c r="BP475" t="s">
        <v>74</v>
      </c>
      <c r="BQ475" t="s">
        <v>74</v>
      </c>
      <c r="BR475" t="s">
        <v>103</v>
      </c>
      <c r="BS475" t="s">
        <v>8899</v>
      </c>
      <c r="BT475" t="str">
        <f>HYPERLINK("https%3A%2F%2Fwww.webofscience.com%2Fwos%2Fwoscc%2Ffull-record%2FWOS:000290540700003","View Full Record in Web of Science")</f>
        <v>View Full Record in Web of Science</v>
      </c>
    </row>
    <row r="476" spans="1:72" x14ac:dyDescent="0.15">
      <c r="A476" t="s">
        <v>72</v>
      </c>
      <c r="B476" t="s">
        <v>8900</v>
      </c>
      <c r="C476" t="s">
        <v>74</v>
      </c>
      <c r="D476" t="s">
        <v>74</v>
      </c>
      <c r="E476" t="s">
        <v>74</v>
      </c>
      <c r="F476" t="s">
        <v>8901</v>
      </c>
      <c r="G476" t="s">
        <v>74</v>
      </c>
      <c r="H476" t="s">
        <v>74</v>
      </c>
      <c r="I476" t="s">
        <v>8902</v>
      </c>
      <c r="J476" t="s">
        <v>1765</v>
      </c>
      <c r="K476" t="s">
        <v>74</v>
      </c>
      <c r="L476" t="s">
        <v>74</v>
      </c>
      <c r="M476" t="s">
        <v>78</v>
      </c>
      <c r="N476" t="s">
        <v>79</v>
      </c>
      <c r="O476" t="s">
        <v>74</v>
      </c>
      <c r="P476" t="s">
        <v>74</v>
      </c>
      <c r="Q476" t="s">
        <v>74</v>
      </c>
      <c r="R476" t="s">
        <v>74</v>
      </c>
      <c r="S476" t="s">
        <v>74</v>
      </c>
      <c r="T476" t="s">
        <v>8903</v>
      </c>
      <c r="U476" t="s">
        <v>8904</v>
      </c>
      <c r="V476" t="s">
        <v>8905</v>
      </c>
      <c r="W476" t="s">
        <v>8906</v>
      </c>
      <c r="X476" t="s">
        <v>8907</v>
      </c>
      <c r="Y476" t="s">
        <v>8908</v>
      </c>
      <c r="Z476" t="s">
        <v>8909</v>
      </c>
      <c r="AA476" t="s">
        <v>8910</v>
      </c>
      <c r="AB476" t="s">
        <v>8911</v>
      </c>
      <c r="AC476" t="s">
        <v>8912</v>
      </c>
      <c r="AD476" t="s">
        <v>8912</v>
      </c>
      <c r="AE476" t="s">
        <v>8913</v>
      </c>
      <c r="AF476" t="s">
        <v>74</v>
      </c>
      <c r="AG476">
        <v>42</v>
      </c>
      <c r="AH476">
        <v>2</v>
      </c>
      <c r="AI476">
        <v>3</v>
      </c>
      <c r="AJ476">
        <v>1</v>
      </c>
      <c r="AK476">
        <v>12</v>
      </c>
      <c r="AL476" t="s">
        <v>1777</v>
      </c>
      <c r="AM476" t="s">
        <v>1778</v>
      </c>
      <c r="AN476" t="s">
        <v>1779</v>
      </c>
      <c r="AO476" t="s">
        <v>1780</v>
      </c>
      <c r="AP476" t="s">
        <v>74</v>
      </c>
      <c r="AQ476" t="s">
        <v>74</v>
      </c>
      <c r="AR476" t="s">
        <v>1781</v>
      </c>
      <c r="AS476" t="s">
        <v>1782</v>
      </c>
      <c r="AT476" t="s">
        <v>7032</v>
      </c>
      <c r="AU476">
        <v>2011</v>
      </c>
      <c r="AV476">
        <v>214</v>
      </c>
      <c r="AW476">
        <v>11</v>
      </c>
      <c r="AX476" t="s">
        <v>74</v>
      </c>
      <c r="AY476" t="s">
        <v>74</v>
      </c>
      <c r="AZ476" t="s">
        <v>74</v>
      </c>
      <c r="BA476" t="s">
        <v>74</v>
      </c>
      <c r="BB476">
        <v>1829</v>
      </c>
      <c r="BC476">
        <v>1835</v>
      </c>
      <c r="BD476" t="s">
        <v>74</v>
      </c>
      <c r="BE476" t="s">
        <v>8914</v>
      </c>
      <c r="BF476" t="str">
        <f>HYPERLINK("http://dx.doi.org/10.1242/jeb.051839","http://dx.doi.org/10.1242/jeb.051839")</f>
        <v>http://dx.doi.org/10.1242/jeb.051839</v>
      </c>
      <c r="BG476" t="s">
        <v>74</v>
      </c>
      <c r="BH476" t="s">
        <v>74</v>
      </c>
      <c r="BI476">
        <v>7</v>
      </c>
      <c r="BJ476" t="s">
        <v>1784</v>
      </c>
      <c r="BK476" t="s">
        <v>100</v>
      </c>
      <c r="BL476" t="s">
        <v>1785</v>
      </c>
      <c r="BM476" t="s">
        <v>8915</v>
      </c>
      <c r="BN476">
        <v>21562169</v>
      </c>
      <c r="BO476" t="s">
        <v>1039</v>
      </c>
      <c r="BP476" t="s">
        <v>74</v>
      </c>
      <c r="BQ476" t="s">
        <v>74</v>
      </c>
      <c r="BR476" t="s">
        <v>103</v>
      </c>
      <c r="BS476" t="s">
        <v>8916</v>
      </c>
      <c r="BT476" t="str">
        <f>HYPERLINK("https%3A%2F%2Fwww.webofscience.com%2Fwos%2Fwoscc%2Ffull-record%2FWOS:000290473300013","View Full Record in Web of Science")</f>
        <v>View Full Record in Web of Science</v>
      </c>
    </row>
    <row r="477" spans="1:72" x14ac:dyDescent="0.15">
      <c r="A477" t="s">
        <v>72</v>
      </c>
      <c r="B477" t="s">
        <v>8917</v>
      </c>
      <c r="C477" t="s">
        <v>74</v>
      </c>
      <c r="D477" t="s">
        <v>74</v>
      </c>
      <c r="E477" t="s">
        <v>74</v>
      </c>
      <c r="F477" t="s">
        <v>8918</v>
      </c>
      <c r="G477" t="s">
        <v>74</v>
      </c>
      <c r="H477" t="s">
        <v>74</v>
      </c>
      <c r="I477" t="s">
        <v>8919</v>
      </c>
      <c r="J477" t="s">
        <v>1765</v>
      </c>
      <c r="K477" t="s">
        <v>74</v>
      </c>
      <c r="L477" t="s">
        <v>74</v>
      </c>
      <c r="M477" t="s">
        <v>78</v>
      </c>
      <c r="N477" t="s">
        <v>79</v>
      </c>
      <c r="O477" t="s">
        <v>74</v>
      </c>
      <c r="P477" t="s">
        <v>74</v>
      </c>
      <c r="Q477" t="s">
        <v>74</v>
      </c>
      <c r="R477" t="s">
        <v>74</v>
      </c>
      <c r="S477" t="s">
        <v>74</v>
      </c>
      <c r="T477" t="s">
        <v>8920</v>
      </c>
      <c r="U477" t="s">
        <v>8921</v>
      </c>
      <c r="V477" t="s">
        <v>8922</v>
      </c>
      <c r="W477" t="s">
        <v>8923</v>
      </c>
      <c r="X477" t="s">
        <v>8924</v>
      </c>
      <c r="Y477" t="s">
        <v>8925</v>
      </c>
      <c r="Z477" t="s">
        <v>8926</v>
      </c>
      <c r="AA477" t="s">
        <v>8927</v>
      </c>
      <c r="AB477" t="s">
        <v>8928</v>
      </c>
      <c r="AC477" t="s">
        <v>8929</v>
      </c>
      <c r="AD477" t="s">
        <v>5115</v>
      </c>
      <c r="AE477" t="s">
        <v>8930</v>
      </c>
      <c r="AF477" t="s">
        <v>74</v>
      </c>
      <c r="AG477">
        <v>50</v>
      </c>
      <c r="AH477">
        <v>35</v>
      </c>
      <c r="AI477">
        <v>45</v>
      </c>
      <c r="AJ477">
        <v>0</v>
      </c>
      <c r="AK477">
        <v>16</v>
      </c>
      <c r="AL477" t="s">
        <v>8931</v>
      </c>
      <c r="AM477" t="s">
        <v>1778</v>
      </c>
      <c r="AN477" t="s">
        <v>8932</v>
      </c>
      <c r="AO477" t="s">
        <v>1780</v>
      </c>
      <c r="AP477" t="s">
        <v>5478</v>
      </c>
      <c r="AQ477" t="s">
        <v>74</v>
      </c>
      <c r="AR477" t="s">
        <v>1781</v>
      </c>
      <c r="AS477" t="s">
        <v>1782</v>
      </c>
      <c r="AT477" t="s">
        <v>7032</v>
      </c>
      <c r="AU477">
        <v>2011</v>
      </c>
      <c r="AV477">
        <v>214</v>
      </c>
      <c r="AW477">
        <v>11</v>
      </c>
      <c r="AX477" t="s">
        <v>74</v>
      </c>
      <c r="AY477" t="s">
        <v>74</v>
      </c>
      <c r="AZ477" t="s">
        <v>74</v>
      </c>
      <c r="BA477" t="s">
        <v>74</v>
      </c>
      <c r="BB477">
        <v>1845</v>
      </c>
      <c r="BC477">
        <v>1856</v>
      </c>
      <c r="BD477" t="s">
        <v>74</v>
      </c>
      <c r="BE477" t="s">
        <v>8933</v>
      </c>
      <c r="BF477" t="str">
        <f>HYPERLINK("http://dx.doi.org/10.1242/jeb.050997","http://dx.doi.org/10.1242/jeb.050997")</f>
        <v>http://dx.doi.org/10.1242/jeb.050997</v>
      </c>
      <c r="BG477" t="s">
        <v>74</v>
      </c>
      <c r="BH477" t="s">
        <v>74</v>
      </c>
      <c r="BI477">
        <v>12</v>
      </c>
      <c r="BJ477" t="s">
        <v>1784</v>
      </c>
      <c r="BK477" t="s">
        <v>100</v>
      </c>
      <c r="BL477" t="s">
        <v>1785</v>
      </c>
      <c r="BM477" t="s">
        <v>8915</v>
      </c>
      <c r="BN477">
        <v>21562171</v>
      </c>
      <c r="BO477" t="s">
        <v>74</v>
      </c>
      <c r="BP477" t="s">
        <v>74</v>
      </c>
      <c r="BQ477" t="s">
        <v>74</v>
      </c>
      <c r="BR477" t="s">
        <v>103</v>
      </c>
      <c r="BS477" t="s">
        <v>8934</v>
      </c>
      <c r="BT477" t="str">
        <f>HYPERLINK("https%3A%2F%2Fwww.webofscience.com%2Fwos%2Fwoscc%2Ffull-record%2FWOS:000290473300015","View Full Record in Web of Science")</f>
        <v>View Full Record in Web of Science</v>
      </c>
    </row>
    <row r="478" spans="1:72" x14ac:dyDescent="0.15">
      <c r="A478" t="s">
        <v>72</v>
      </c>
      <c r="B478" t="s">
        <v>8935</v>
      </c>
      <c r="C478" t="s">
        <v>74</v>
      </c>
      <c r="D478" t="s">
        <v>74</v>
      </c>
      <c r="E478" t="s">
        <v>74</v>
      </c>
      <c r="F478" t="s">
        <v>8936</v>
      </c>
      <c r="G478" t="s">
        <v>74</v>
      </c>
      <c r="H478" t="s">
        <v>74</v>
      </c>
      <c r="I478" t="s">
        <v>8937</v>
      </c>
      <c r="J478" t="s">
        <v>5590</v>
      </c>
      <c r="K478" t="s">
        <v>74</v>
      </c>
      <c r="L478" t="s">
        <v>74</v>
      </c>
      <c r="M478" t="s">
        <v>78</v>
      </c>
      <c r="N478" t="s">
        <v>79</v>
      </c>
      <c r="O478" t="s">
        <v>74</v>
      </c>
      <c r="P478" t="s">
        <v>74</v>
      </c>
      <c r="Q478" t="s">
        <v>74</v>
      </c>
      <c r="R478" t="s">
        <v>74</v>
      </c>
      <c r="S478" t="s">
        <v>74</v>
      </c>
      <c r="T478" t="s">
        <v>8938</v>
      </c>
      <c r="U478" t="s">
        <v>8939</v>
      </c>
      <c r="V478" t="s">
        <v>8940</v>
      </c>
      <c r="W478" t="s">
        <v>8941</v>
      </c>
      <c r="X478" t="s">
        <v>8942</v>
      </c>
      <c r="Y478" t="s">
        <v>8943</v>
      </c>
      <c r="Z478" t="s">
        <v>8944</v>
      </c>
      <c r="AA478" t="s">
        <v>74</v>
      </c>
      <c r="AB478" t="s">
        <v>74</v>
      </c>
      <c r="AC478" t="s">
        <v>8945</v>
      </c>
      <c r="AD478" t="s">
        <v>8945</v>
      </c>
      <c r="AE478" t="s">
        <v>8946</v>
      </c>
      <c r="AF478" t="s">
        <v>74</v>
      </c>
      <c r="AG478">
        <v>42</v>
      </c>
      <c r="AH478">
        <v>5</v>
      </c>
      <c r="AI478">
        <v>5</v>
      </c>
      <c r="AJ478">
        <v>0</v>
      </c>
      <c r="AK478">
        <v>6</v>
      </c>
      <c r="AL478" t="s">
        <v>2968</v>
      </c>
      <c r="AM478" t="s">
        <v>508</v>
      </c>
      <c r="AN478" t="s">
        <v>2969</v>
      </c>
      <c r="AO478" t="s">
        <v>5601</v>
      </c>
      <c r="AP478" t="s">
        <v>8713</v>
      </c>
      <c r="AQ478" t="s">
        <v>74</v>
      </c>
      <c r="AR478" t="s">
        <v>5602</v>
      </c>
      <c r="AS478" t="s">
        <v>5603</v>
      </c>
      <c r="AT478" t="s">
        <v>7032</v>
      </c>
      <c r="AU478">
        <v>2011</v>
      </c>
      <c r="AV478">
        <v>33</v>
      </c>
      <c r="AW478">
        <v>6</v>
      </c>
      <c r="AX478" t="s">
        <v>74</v>
      </c>
      <c r="AY478" t="s">
        <v>74</v>
      </c>
      <c r="AZ478" t="s">
        <v>74</v>
      </c>
      <c r="BA478" t="s">
        <v>74</v>
      </c>
      <c r="BB478">
        <v>891</v>
      </c>
      <c r="BC478">
        <v>906</v>
      </c>
      <c r="BD478" t="s">
        <v>74</v>
      </c>
      <c r="BE478" t="s">
        <v>8947</v>
      </c>
      <c r="BF478" t="str">
        <f>HYPERLINK("http://dx.doi.org/10.1093/plankt/fbq162","http://dx.doi.org/10.1093/plankt/fbq162")</f>
        <v>http://dx.doi.org/10.1093/plankt/fbq162</v>
      </c>
      <c r="BG478" t="s">
        <v>74</v>
      </c>
      <c r="BH478" t="s">
        <v>74</v>
      </c>
      <c r="BI478">
        <v>16</v>
      </c>
      <c r="BJ478" t="s">
        <v>5605</v>
      </c>
      <c r="BK478" t="s">
        <v>100</v>
      </c>
      <c r="BL478" t="s">
        <v>5605</v>
      </c>
      <c r="BM478" t="s">
        <v>8715</v>
      </c>
      <c r="BN478" t="s">
        <v>74</v>
      </c>
      <c r="BO478" t="s">
        <v>152</v>
      </c>
      <c r="BP478" t="s">
        <v>74</v>
      </c>
      <c r="BQ478" t="s">
        <v>74</v>
      </c>
      <c r="BR478" t="s">
        <v>103</v>
      </c>
      <c r="BS478" t="s">
        <v>8948</v>
      </c>
      <c r="BT478" t="str">
        <f>HYPERLINK("https%3A%2F%2Fwww.webofscience.com%2Fwos%2Fwoscc%2Ffull-record%2FWOS:000290394300005","View Full Record in Web of Science")</f>
        <v>View Full Record in Web of Science</v>
      </c>
    </row>
    <row r="479" spans="1:72" x14ac:dyDescent="0.15">
      <c r="A479" t="s">
        <v>72</v>
      </c>
      <c r="B479" t="s">
        <v>8949</v>
      </c>
      <c r="C479" t="s">
        <v>74</v>
      </c>
      <c r="D479" t="s">
        <v>74</v>
      </c>
      <c r="E479" t="s">
        <v>74</v>
      </c>
      <c r="F479" t="s">
        <v>8950</v>
      </c>
      <c r="G479" t="s">
        <v>74</v>
      </c>
      <c r="H479" t="s">
        <v>74</v>
      </c>
      <c r="I479" t="s">
        <v>8951</v>
      </c>
      <c r="J479" t="s">
        <v>8952</v>
      </c>
      <c r="K479" t="s">
        <v>74</v>
      </c>
      <c r="L479" t="s">
        <v>74</v>
      </c>
      <c r="M479" t="s">
        <v>78</v>
      </c>
      <c r="N479" t="s">
        <v>79</v>
      </c>
      <c r="O479" t="s">
        <v>74</v>
      </c>
      <c r="P479" t="s">
        <v>74</v>
      </c>
      <c r="Q479" t="s">
        <v>74</v>
      </c>
      <c r="R479" t="s">
        <v>74</v>
      </c>
      <c r="S479" t="s">
        <v>74</v>
      </c>
      <c r="T479" t="s">
        <v>8953</v>
      </c>
      <c r="U479" t="s">
        <v>8954</v>
      </c>
      <c r="V479" t="s">
        <v>8955</v>
      </c>
      <c r="W479" t="s">
        <v>8956</v>
      </c>
      <c r="X479" t="s">
        <v>74</v>
      </c>
      <c r="Y479" t="s">
        <v>8957</v>
      </c>
      <c r="Z479" t="s">
        <v>8958</v>
      </c>
      <c r="AA479" t="s">
        <v>74</v>
      </c>
      <c r="AB479" t="s">
        <v>74</v>
      </c>
      <c r="AC479" t="s">
        <v>74</v>
      </c>
      <c r="AD479" t="s">
        <v>74</v>
      </c>
      <c r="AE479" t="s">
        <v>74</v>
      </c>
      <c r="AF479" t="s">
        <v>74</v>
      </c>
      <c r="AG479">
        <v>29</v>
      </c>
      <c r="AH479">
        <v>9</v>
      </c>
      <c r="AI479">
        <v>11</v>
      </c>
      <c r="AJ479">
        <v>2</v>
      </c>
      <c r="AK479">
        <v>28</v>
      </c>
      <c r="AL479" t="s">
        <v>1441</v>
      </c>
      <c r="AM479" t="s">
        <v>1442</v>
      </c>
      <c r="AN479" t="s">
        <v>1443</v>
      </c>
      <c r="AO479" t="s">
        <v>8959</v>
      </c>
      <c r="AP479" t="s">
        <v>8960</v>
      </c>
      <c r="AQ479" t="s">
        <v>74</v>
      </c>
      <c r="AR479" t="s">
        <v>8961</v>
      </c>
      <c r="AS479" t="s">
        <v>8962</v>
      </c>
      <c r="AT479" t="s">
        <v>7032</v>
      </c>
      <c r="AU479">
        <v>2011</v>
      </c>
      <c r="AV479">
        <v>16</v>
      </c>
      <c r="AW479">
        <v>5</v>
      </c>
      <c r="AX479" t="s">
        <v>74</v>
      </c>
      <c r="AY479" t="s">
        <v>74</v>
      </c>
      <c r="AZ479" t="s">
        <v>74</v>
      </c>
      <c r="BA479" t="s">
        <v>74</v>
      </c>
      <c r="BB479">
        <v>567</v>
      </c>
      <c r="BC479">
        <v>584</v>
      </c>
      <c r="BD479" t="s">
        <v>74</v>
      </c>
      <c r="BE479" t="s">
        <v>8963</v>
      </c>
      <c r="BF479" t="str">
        <f>HYPERLINK("http://dx.doi.org/10.1007/s11027-011-9281-2","http://dx.doi.org/10.1007/s11027-011-9281-2")</f>
        <v>http://dx.doi.org/10.1007/s11027-011-9281-2</v>
      </c>
      <c r="BG479" t="s">
        <v>74</v>
      </c>
      <c r="BH479" t="s">
        <v>74</v>
      </c>
      <c r="BI479">
        <v>18</v>
      </c>
      <c r="BJ479" t="s">
        <v>6748</v>
      </c>
      <c r="BK479" t="s">
        <v>867</v>
      </c>
      <c r="BL479" t="s">
        <v>5193</v>
      </c>
      <c r="BM479" t="s">
        <v>8964</v>
      </c>
      <c r="BN479" t="s">
        <v>74</v>
      </c>
      <c r="BO479" t="s">
        <v>74</v>
      </c>
      <c r="BP479" t="s">
        <v>74</v>
      </c>
      <c r="BQ479" t="s">
        <v>74</v>
      </c>
      <c r="BR479" t="s">
        <v>103</v>
      </c>
      <c r="BS479" t="s">
        <v>8965</v>
      </c>
      <c r="BT479" t="str">
        <f>HYPERLINK("https%3A%2F%2Fwww.webofscience.com%2Fwos%2Fwoscc%2Ffull-record%2FWOS:000290581400005","View Full Record in Web of Science")</f>
        <v>View Full Record in Web of Science</v>
      </c>
    </row>
    <row r="480" spans="1:72" x14ac:dyDescent="0.15">
      <c r="A480" t="s">
        <v>72</v>
      </c>
      <c r="B480" t="s">
        <v>8966</v>
      </c>
      <c r="C480" t="s">
        <v>74</v>
      </c>
      <c r="D480" t="s">
        <v>74</v>
      </c>
      <c r="E480" t="s">
        <v>74</v>
      </c>
      <c r="F480" t="s">
        <v>8967</v>
      </c>
      <c r="G480" t="s">
        <v>74</v>
      </c>
      <c r="H480" t="s">
        <v>74</v>
      </c>
      <c r="I480" t="s">
        <v>8968</v>
      </c>
      <c r="J480" t="s">
        <v>680</v>
      </c>
      <c r="K480" t="s">
        <v>74</v>
      </c>
      <c r="L480" t="s">
        <v>74</v>
      </c>
      <c r="M480" t="s">
        <v>78</v>
      </c>
      <c r="N480" t="s">
        <v>79</v>
      </c>
      <c r="O480" t="s">
        <v>74</v>
      </c>
      <c r="P480" t="s">
        <v>74</v>
      </c>
      <c r="Q480" t="s">
        <v>74</v>
      </c>
      <c r="R480" t="s">
        <v>74</v>
      </c>
      <c r="S480" t="s">
        <v>74</v>
      </c>
      <c r="T480" t="s">
        <v>8969</v>
      </c>
      <c r="U480" t="s">
        <v>8970</v>
      </c>
      <c r="V480" t="s">
        <v>8971</v>
      </c>
      <c r="W480" t="s">
        <v>8972</v>
      </c>
      <c r="X480" t="s">
        <v>8973</v>
      </c>
      <c r="Y480" t="s">
        <v>8974</v>
      </c>
      <c r="Z480" t="s">
        <v>8975</v>
      </c>
      <c r="AA480" t="s">
        <v>74</v>
      </c>
      <c r="AB480" t="s">
        <v>74</v>
      </c>
      <c r="AC480" t="s">
        <v>8976</v>
      </c>
      <c r="AD480" t="s">
        <v>8977</v>
      </c>
      <c r="AE480" t="s">
        <v>8978</v>
      </c>
      <c r="AF480" t="s">
        <v>74</v>
      </c>
      <c r="AG480">
        <v>57</v>
      </c>
      <c r="AH480">
        <v>8</v>
      </c>
      <c r="AI480">
        <v>9</v>
      </c>
      <c r="AJ480">
        <v>0</v>
      </c>
      <c r="AK480">
        <v>16</v>
      </c>
      <c r="AL480" t="s">
        <v>693</v>
      </c>
      <c r="AM480" t="s">
        <v>91</v>
      </c>
      <c r="AN480" t="s">
        <v>694</v>
      </c>
      <c r="AO480" t="s">
        <v>695</v>
      </c>
      <c r="AP480" t="s">
        <v>696</v>
      </c>
      <c r="AQ480" t="s">
        <v>74</v>
      </c>
      <c r="AR480" t="s">
        <v>697</v>
      </c>
      <c r="AS480" t="s">
        <v>698</v>
      </c>
      <c r="AT480" t="s">
        <v>7032</v>
      </c>
      <c r="AU480">
        <v>2011</v>
      </c>
      <c r="AV480">
        <v>91</v>
      </c>
      <c r="AW480">
        <v>4</v>
      </c>
      <c r="AX480" t="s">
        <v>74</v>
      </c>
      <c r="AY480" t="s">
        <v>74</v>
      </c>
      <c r="AZ480" t="s">
        <v>74</v>
      </c>
      <c r="BA480" t="s">
        <v>74</v>
      </c>
      <c r="BB480">
        <v>783</v>
      </c>
      <c r="BC480">
        <v>792</v>
      </c>
      <c r="BD480" t="s">
        <v>74</v>
      </c>
      <c r="BE480" t="s">
        <v>8979</v>
      </c>
      <c r="BF480" t="str">
        <f>HYPERLINK("http://dx.doi.org/10.1017/S0025315410002018","http://dx.doi.org/10.1017/S0025315410002018")</f>
        <v>http://dx.doi.org/10.1017/S0025315410002018</v>
      </c>
      <c r="BG480" t="s">
        <v>74</v>
      </c>
      <c r="BH480" t="s">
        <v>74</v>
      </c>
      <c r="BI480">
        <v>10</v>
      </c>
      <c r="BJ480" t="s">
        <v>700</v>
      </c>
      <c r="BK480" t="s">
        <v>100</v>
      </c>
      <c r="BL480" t="s">
        <v>700</v>
      </c>
      <c r="BM480" t="s">
        <v>8980</v>
      </c>
      <c r="BN480" t="s">
        <v>74</v>
      </c>
      <c r="BO480" t="s">
        <v>74</v>
      </c>
      <c r="BP480" t="s">
        <v>74</v>
      </c>
      <c r="BQ480" t="s">
        <v>74</v>
      </c>
      <c r="BR480" t="s">
        <v>103</v>
      </c>
      <c r="BS480" t="s">
        <v>8981</v>
      </c>
      <c r="BT480" t="str">
        <f>HYPERLINK("https%3A%2F%2Fwww.webofscience.com%2Fwos%2Fwoscc%2Ffull-record%2FWOS:000290213000003","View Full Record in Web of Science")</f>
        <v>View Full Record in Web of Science</v>
      </c>
    </row>
    <row r="481" spans="1:72" x14ac:dyDescent="0.15">
      <c r="A481" t="s">
        <v>72</v>
      </c>
      <c r="B481" t="s">
        <v>8982</v>
      </c>
      <c r="C481" t="s">
        <v>74</v>
      </c>
      <c r="D481" t="s">
        <v>74</v>
      </c>
      <c r="E481" t="s">
        <v>74</v>
      </c>
      <c r="F481" t="s">
        <v>8983</v>
      </c>
      <c r="G481" t="s">
        <v>74</v>
      </c>
      <c r="H481" t="s">
        <v>74</v>
      </c>
      <c r="I481" t="s">
        <v>8984</v>
      </c>
      <c r="J481" t="s">
        <v>1889</v>
      </c>
      <c r="K481" t="s">
        <v>74</v>
      </c>
      <c r="L481" t="s">
        <v>74</v>
      </c>
      <c r="M481" t="s">
        <v>78</v>
      </c>
      <c r="N481" t="s">
        <v>79</v>
      </c>
      <c r="O481" t="s">
        <v>74</v>
      </c>
      <c r="P481" t="s">
        <v>74</v>
      </c>
      <c r="Q481" t="s">
        <v>74</v>
      </c>
      <c r="R481" t="s">
        <v>74</v>
      </c>
      <c r="S481" t="s">
        <v>74</v>
      </c>
      <c r="T481" t="s">
        <v>8985</v>
      </c>
      <c r="U481" t="s">
        <v>8986</v>
      </c>
      <c r="V481" t="s">
        <v>8987</v>
      </c>
      <c r="W481" t="s">
        <v>8988</v>
      </c>
      <c r="X481" t="s">
        <v>8989</v>
      </c>
      <c r="Y481" t="s">
        <v>8990</v>
      </c>
      <c r="Z481" t="s">
        <v>8991</v>
      </c>
      <c r="AA481" t="s">
        <v>8992</v>
      </c>
      <c r="AB481" t="s">
        <v>8993</v>
      </c>
      <c r="AC481" t="s">
        <v>8994</v>
      </c>
      <c r="AD481" t="s">
        <v>8994</v>
      </c>
      <c r="AE481" t="s">
        <v>8995</v>
      </c>
      <c r="AF481" t="s">
        <v>74</v>
      </c>
      <c r="AG481">
        <v>41</v>
      </c>
      <c r="AH481">
        <v>10</v>
      </c>
      <c r="AI481">
        <v>10</v>
      </c>
      <c r="AJ481">
        <v>0</v>
      </c>
      <c r="AK481">
        <v>11</v>
      </c>
      <c r="AL481" t="s">
        <v>1441</v>
      </c>
      <c r="AM481" t="s">
        <v>91</v>
      </c>
      <c r="AN481" t="s">
        <v>1902</v>
      </c>
      <c r="AO481" t="s">
        <v>1903</v>
      </c>
      <c r="AP481" t="s">
        <v>1904</v>
      </c>
      <c r="AQ481" t="s">
        <v>74</v>
      </c>
      <c r="AR481" t="s">
        <v>1905</v>
      </c>
      <c r="AS481" t="s">
        <v>1906</v>
      </c>
      <c r="AT481" t="s">
        <v>7032</v>
      </c>
      <c r="AU481">
        <v>2011</v>
      </c>
      <c r="AV481">
        <v>34</v>
      </c>
      <c r="AW481">
        <v>6</v>
      </c>
      <c r="AX481" t="s">
        <v>74</v>
      </c>
      <c r="AY481" t="s">
        <v>74</v>
      </c>
      <c r="AZ481" t="s">
        <v>74</v>
      </c>
      <c r="BA481" t="s">
        <v>74</v>
      </c>
      <c r="BB481">
        <v>781</v>
      </c>
      <c r="BC481">
        <v>790</v>
      </c>
      <c r="BD481" t="s">
        <v>74</v>
      </c>
      <c r="BE481" t="s">
        <v>8996</v>
      </c>
      <c r="BF481" t="str">
        <f>HYPERLINK("http://dx.doi.org/10.1007/s00300-010-0931-8","http://dx.doi.org/10.1007/s00300-010-0931-8")</f>
        <v>http://dx.doi.org/10.1007/s00300-010-0931-8</v>
      </c>
      <c r="BG481" t="s">
        <v>74</v>
      </c>
      <c r="BH481" t="s">
        <v>74</v>
      </c>
      <c r="BI481">
        <v>10</v>
      </c>
      <c r="BJ481" t="s">
        <v>1908</v>
      </c>
      <c r="BK481" t="s">
        <v>100</v>
      </c>
      <c r="BL481" t="s">
        <v>1909</v>
      </c>
      <c r="BM481" t="s">
        <v>8814</v>
      </c>
      <c r="BN481" t="s">
        <v>74</v>
      </c>
      <c r="BO481" t="s">
        <v>74</v>
      </c>
      <c r="BP481" t="s">
        <v>74</v>
      </c>
      <c r="BQ481" t="s">
        <v>74</v>
      </c>
      <c r="BR481" t="s">
        <v>103</v>
      </c>
      <c r="BS481" t="s">
        <v>8997</v>
      </c>
      <c r="BT481" t="str">
        <f>HYPERLINK("https%3A%2F%2Fwww.webofscience.com%2Fwos%2Fwoscc%2Ffull-record%2FWOS:000290331300001","View Full Record in Web of Science")</f>
        <v>View Full Record in Web of Science</v>
      </c>
    </row>
    <row r="482" spans="1:72" x14ac:dyDescent="0.15">
      <c r="A482" t="s">
        <v>72</v>
      </c>
      <c r="B482" t="s">
        <v>8998</v>
      </c>
      <c r="C482" t="s">
        <v>74</v>
      </c>
      <c r="D482" t="s">
        <v>74</v>
      </c>
      <c r="E482" t="s">
        <v>74</v>
      </c>
      <c r="F482" t="s">
        <v>8999</v>
      </c>
      <c r="G482" t="s">
        <v>74</v>
      </c>
      <c r="H482" t="s">
        <v>74</v>
      </c>
      <c r="I482" t="s">
        <v>9000</v>
      </c>
      <c r="J482" t="s">
        <v>1889</v>
      </c>
      <c r="K482" t="s">
        <v>74</v>
      </c>
      <c r="L482" t="s">
        <v>74</v>
      </c>
      <c r="M482" t="s">
        <v>78</v>
      </c>
      <c r="N482" t="s">
        <v>79</v>
      </c>
      <c r="O482" t="s">
        <v>74</v>
      </c>
      <c r="P482" t="s">
        <v>74</v>
      </c>
      <c r="Q482" t="s">
        <v>74</v>
      </c>
      <c r="R482" t="s">
        <v>74</v>
      </c>
      <c r="S482" t="s">
        <v>74</v>
      </c>
      <c r="T482" t="s">
        <v>9001</v>
      </c>
      <c r="U482" t="s">
        <v>9002</v>
      </c>
      <c r="V482" t="s">
        <v>9003</v>
      </c>
      <c r="W482" t="s">
        <v>9004</v>
      </c>
      <c r="X482" t="s">
        <v>9005</v>
      </c>
      <c r="Y482" t="s">
        <v>9006</v>
      </c>
      <c r="Z482" t="s">
        <v>9007</v>
      </c>
      <c r="AA482" t="s">
        <v>9008</v>
      </c>
      <c r="AB482" t="s">
        <v>9009</v>
      </c>
      <c r="AC482" t="s">
        <v>9010</v>
      </c>
      <c r="AD482" t="s">
        <v>9010</v>
      </c>
      <c r="AE482" t="s">
        <v>9011</v>
      </c>
      <c r="AF482" t="s">
        <v>74</v>
      </c>
      <c r="AG482">
        <v>40</v>
      </c>
      <c r="AH482">
        <v>2</v>
      </c>
      <c r="AI482">
        <v>2</v>
      </c>
      <c r="AJ482">
        <v>0</v>
      </c>
      <c r="AK482">
        <v>5</v>
      </c>
      <c r="AL482" t="s">
        <v>1441</v>
      </c>
      <c r="AM482" t="s">
        <v>91</v>
      </c>
      <c r="AN482" t="s">
        <v>1902</v>
      </c>
      <c r="AO482" t="s">
        <v>1903</v>
      </c>
      <c r="AP482" t="s">
        <v>1904</v>
      </c>
      <c r="AQ482" t="s">
        <v>74</v>
      </c>
      <c r="AR482" t="s">
        <v>1905</v>
      </c>
      <c r="AS482" t="s">
        <v>1906</v>
      </c>
      <c r="AT482" t="s">
        <v>7032</v>
      </c>
      <c r="AU482">
        <v>2011</v>
      </c>
      <c r="AV482">
        <v>34</v>
      </c>
      <c r="AW482">
        <v>6</v>
      </c>
      <c r="AX482" t="s">
        <v>74</v>
      </c>
      <c r="AY482" t="s">
        <v>74</v>
      </c>
      <c r="AZ482" t="s">
        <v>74</v>
      </c>
      <c r="BA482" t="s">
        <v>74</v>
      </c>
      <c r="BB482">
        <v>791</v>
      </c>
      <c r="BC482">
        <v>798</v>
      </c>
      <c r="BD482" t="s">
        <v>74</v>
      </c>
      <c r="BE482" t="s">
        <v>9012</v>
      </c>
      <c r="BF482" t="str">
        <f>HYPERLINK("http://dx.doi.org/10.1007/s00300-010-0933-6","http://dx.doi.org/10.1007/s00300-010-0933-6")</f>
        <v>http://dx.doi.org/10.1007/s00300-010-0933-6</v>
      </c>
      <c r="BG482" t="s">
        <v>74</v>
      </c>
      <c r="BH482" t="s">
        <v>74</v>
      </c>
      <c r="BI482">
        <v>8</v>
      </c>
      <c r="BJ482" t="s">
        <v>1908</v>
      </c>
      <c r="BK482" t="s">
        <v>100</v>
      </c>
      <c r="BL482" t="s">
        <v>1909</v>
      </c>
      <c r="BM482" t="s">
        <v>8814</v>
      </c>
      <c r="BN482" t="s">
        <v>74</v>
      </c>
      <c r="BO482" t="s">
        <v>74</v>
      </c>
      <c r="BP482" t="s">
        <v>74</v>
      </c>
      <c r="BQ482" t="s">
        <v>74</v>
      </c>
      <c r="BR482" t="s">
        <v>103</v>
      </c>
      <c r="BS482" t="s">
        <v>9013</v>
      </c>
      <c r="BT482" t="str">
        <f>HYPERLINK("https%3A%2F%2Fwww.webofscience.com%2Fwos%2Fwoscc%2Ffull-record%2FWOS:000290331300002","View Full Record in Web of Science")</f>
        <v>View Full Record in Web of Science</v>
      </c>
    </row>
    <row r="483" spans="1:72" x14ac:dyDescent="0.15">
      <c r="A483" t="s">
        <v>72</v>
      </c>
      <c r="B483" t="s">
        <v>9014</v>
      </c>
      <c r="C483" t="s">
        <v>74</v>
      </c>
      <c r="D483" t="s">
        <v>74</v>
      </c>
      <c r="E483" t="s">
        <v>74</v>
      </c>
      <c r="F483" t="s">
        <v>9015</v>
      </c>
      <c r="G483" t="s">
        <v>74</v>
      </c>
      <c r="H483" t="s">
        <v>74</v>
      </c>
      <c r="I483" t="s">
        <v>9016</v>
      </c>
      <c r="J483" t="s">
        <v>1889</v>
      </c>
      <c r="K483" t="s">
        <v>74</v>
      </c>
      <c r="L483" t="s">
        <v>74</v>
      </c>
      <c r="M483" t="s">
        <v>78</v>
      </c>
      <c r="N483" t="s">
        <v>79</v>
      </c>
      <c r="O483" t="s">
        <v>74</v>
      </c>
      <c r="P483" t="s">
        <v>74</v>
      </c>
      <c r="Q483" t="s">
        <v>74</v>
      </c>
      <c r="R483" t="s">
        <v>74</v>
      </c>
      <c r="S483" t="s">
        <v>74</v>
      </c>
      <c r="T483" t="s">
        <v>9017</v>
      </c>
      <c r="U483" t="s">
        <v>9018</v>
      </c>
      <c r="V483" t="s">
        <v>9019</v>
      </c>
      <c r="W483" t="s">
        <v>9020</v>
      </c>
      <c r="X483" t="s">
        <v>9021</v>
      </c>
      <c r="Y483" t="s">
        <v>9022</v>
      </c>
      <c r="Z483" t="s">
        <v>9023</v>
      </c>
      <c r="AA483" t="s">
        <v>9024</v>
      </c>
      <c r="AB483" t="s">
        <v>9025</v>
      </c>
      <c r="AC483" t="s">
        <v>9026</v>
      </c>
      <c r="AD483" t="s">
        <v>9027</v>
      </c>
      <c r="AE483" t="s">
        <v>9028</v>
      </c>
      <c r="AF483" t="s">
        <v>74</v>
      </c>
      <c r="AG483">
        <v>58</v>
      </c>
      <c r="AH483">
        <v>4</v>
      </c>
      <c r="AI483">
        <v>5</v>
      </c>
      <c r="AJ483">
        <v>1</v>
      </c>
      <c r="AK483">
        <v>21</v>
      </c>
      <c r="AL483" t="s">
        <v>1441</v>
      </c>
      <c r="AM483" t="s">
        <v>91</v>
      </c>
      <c r="AN483" t="s">
        <v>1595</v>
      </c>
      <c r="AO483" t="s">
        <v>1903</v>
      </c>
      <c r="AP483" t="s">
        <v>1904</v>
      </c>
      <c r="AQ483" t="s">
        <v>74</v>
      </c>
      <c r="AR483" t="s">
        <v>1905</v>
      </c>
      <c r="AS483" t="s">
        <v>1906</v>
      </c>
      <c r="AT483" t="s">
        <v>7032</v>
      </c>
      <c r="AU483">
        <v>2011</v>
      </c>
      <c r="AV483">
        <v>34</v>
      </c>
      <c r="AW483">
        <v>6</v>
      </c>
      <c r="AX483" t="s">
        <v>74</v>
      </c>
      <c r="AY483" t="s">
        <v>74</v>
      </c>
      <c r="AZ483" t="s">
        <v>74</v>
      </c>
      <c r="BA483" t="s">
        <v>74</v>
      </c>
      <c r="BB483">
        <v>855</v>
      </c>
      <c r="BC483">
        <v>869</v>
      </c>
      <c r="BD483" t="s">
        <v>74</v>
      </c>
      <c r="BE483" t="s">
        <v>9029</v>
      </c>
      <c r="BF483" t="str">
        <f>HYPERLINK("http://dx.doi.org/10.1007/s00300-010-0943-4","http://dx.doi.org/10.1007/s00300-010-0943-4")</f>
        <v>http://dx.doi.org/10.1007/s00300-010-0943-4</v>
      </c>
      <c r="BG483" t="s">
        <v>74</v>
      </c>
      <c r="BH483" t="s">
        <v>74</v>
      </c>
      <c r="BI483">
        <v>15</v>
      </c>
      <c r="BJ483" t="s">
        <v>1908</v>
      </c>
      <c r="BK483" t="s">
        <v>100</v>
      </c>
      <c r="BL483" t="s">
        <v>1909</v>
      </c>
      <c r="BM483" t="s">
        <v>8814</v>
      </c>
      <c r="BN483" t="s">
        <v>74</v>
      </c>
      <c r="BO483" t="s">
        <v>74</v>
      </c>
      <c r="BP483" t="s">
        <v>74</v>
      </c>
      <c r="BQ483" t="s">
        <v>74</v>
      </c>
      <c r="BR483" t="s">
        <v>103</v>
      </c>
      <c r="BS483" t="s">
        <v>9030</v>
      </c>
      <c r="BT483" t="str">
        <f>HYPERLINK("https%3A%2F%2Fwww.webofscience.com%2Fwos%2Fwoscc%2Ffull-record%2FWOS:000290331300008","View Full Record in Web of Science")</f>
        <v>View Full Record in Web of Science</v>
      </c>
    </row>
    <row r="484" spans="1:72" x14ac:dyDescent="0.15">
      <c r="A484" t="s">
        <v>72</v>
      </c>
      <c r="B484" t="s">
        <v>9031</v>
      </c>
      <c r="C484" t="s">
        <v>74</v>
      </c>
      <c r="D484" t="s">
        <v>74</v>
      </c>
      <c r="E484" t="s">
        <v>74</v>
      </c>
      <c r="F484" t="s">
        <v>9032</v>
      </c>
      <c r="G484" t="s">
        <v>74</v>
      </c>
      <c r="H484" t="s">
        <v>74</v>
      </c>
      <c r="I484" t="s">
        <v>9033</v>
      </c>
      <c r="J484" t="s">
        <v>1889</v>
      </c>
      <c r="K484" t="s">
        <v>74</v>
      </c>
      <c r="L484" t="s">
        <v>74</v>
      </c>
      <c r="M484" t="s">
        <v>78</v>
      </c>
      <c r="N484" t="s">
        <v>79</v>
      </c>
      <c r="O484" t="s">
        <v>74</v>
      </c>
      <c r="P484" t="s">
        <v>74</v>
      </c>
      <c r="Q484" t="s">
        <v>74</v>
      </c>
      <c r="R484" t="s">
        <v>74</v>
      </c>
      <c r="S484" t="s">
        <v>74</v>
      </c>
      <c r="T484" t="s">
        <v>9034</v>
      </c>
      <c r="U484" t="s">
        <v>9035</v>
      </c>
      <c r="V484" t="s">
        <v>9036</v>
      </c>
      <c r="W484" t="s">
        <v>9037</v>
      </c>
      <c r="X484" t="s">
        <v>9038</v>
      </c>
      <c r="Y484" t="s">
        <v>9039</v>
      </c>
      <c r="Z484" t="s">
        <v>9040</v>
      </c>
      <c r="AA484" t="s">
        <v>9041</v>
      </c>
      <c r="AB484" t="s">
        <v>9042</v>
      </c>
      <c r="AC484" t="s">
        <v>9043</v>
      </c>
      <c r="AD484" t="s">
        <v>9044</v>
      </c>
      <c r="AE484" t="s">
        <v>9045</v>
      </c>
      <c r="AF484" t="s">
        <v>74</v>
      </c>
      <c r="AG484">
        <v>55</v>
      </c>
      <c r="AH484">
        <v>16</v>
      </c>
      <c r="AI484">
        <v>23</v>
      </c>
      <c r="AJ484">
        <v>1</v>
      </c>
      <c r="AK484">
        <v>26</v>
      </c>
      <c r="AL484" t="s">
        <v>1441</v>
      </c>
      <c r="AM484" t="s">
        <v>91</v>
      </c>
      <c r="AN484" t="s">
        <v>1595</v>
      </c>
      <c r="AO484" t="s">
        <v>1903</v>
      </c>
      <c r="AP484" t="s">
        <v>1904</v>
      </c>
      <c r="AQ484" t="s">
        <v>74</v>
      </c>
      <c r="AR484" t="s">
        <v>1905</v>
      </c>
      <c r="AS484" t="s">
        <v>1906</v>
      </c>
      <c r="AT484" t="s">
        <v>7032</v>
      </c>
      <c r="AU484">
        <v>2011</v>
      </c>
      <c r="AV484">
        <v>34</v>
      </c>
      <c r="AW484">
        <v>6</v>
      </c>
      <c r="AX484" t="s">
        <v>74</v>
      </c>
      <c r="AY484" t="s">
        <v>74</v>
      </c>
      <c r="AZ484" t="s">
        <v>74</v>
      </c>
      <c r="BA484" t="s">
        <v>74</v>
      </c>
      <c r="BB484">
        <v>921</v>
      </c>
      <c r="BC484">
        <v>932</v>
      </c>
      <c r="BD484" t="s">
        <v>74</v>
      </c>
      <c r="BE484" t="s">
        <v>9046</v>
      </c>
      <c r="BF484" t="str">
        <f>HYPERLINK("http://dx.doi.org/10.1007/s00300-010-0948-z","http://dx.doi.org/10.1007/s00300-010-0948-z")</f>
        <v>http://dx.doi.org/10.1007/s00300-010-0948-z</v>
      </c>
      <c r="BG484" t="s">
        <v>74</v>
      </c>
      <c r="BH484" t="s">
        <v>74</v>
      </c>
      <c r="BI484">
        <v>12</v>
      </c>
      <c r="BJ484" t="s">
        <v>1908</v>
      </c>
      <c r="BK484" t="s">
        <v>100</v>
      </c>
      <c r="BL484" t="s">
        <v>1909</v>
      </c>
      <c r="BM484" t="s">
        <v>8814</v>
      </c>
      <c r="BN484" t="s">
        <v>74</v>
      </c>
      <c r="BO484" t="s">
        <v>74</v>
      </c>
      <c r="BP484" t="s">
        <v>74</v>
      </c>
      <c r="BQ484" t="s">
        <v>74</v>
      </c>
      <c r="BR484" t="s">
        <v>103</v>
      </c>
      <c r="BS484" t="s">
        <v>9047</v>
      </c>
      <c r="BT484" t="str">
        <f>HYPERLINK("https%3A%2F%2Fwww.webofscience.com%2Fwos%2Fwoscc%2Ffull-record%2FWOS:000290331300013","View Full Record in Web of Science")</f>
        <v>View Full Record in Web of Science</v>
      </c>
    </row>
    <row r="485" spans="1:72" x14ac:dyDescent="0.15">
      <c r="A485" t="s">
        <v>72</v>
      </c>
      <c r="B485" t="s">
        <v>9048</v>
      </c>
      <c r="C485" t="s">
        <v>74</v>
      </c>
      <c r="D485" t="s">
        <v>74</v>
      </c>
      <c r="E485" t="s">
        <v>74</v>
      </c>
      <c r="F485" t="s">
        <v>9049</v>
      </c>
      <c r="G485" t="s">
        <v>74</v>
      </c>
      <c r="H485" t="s">
        <v>74</v>
      </c>
      <c r="I485" t="s">
        <v>9050</v>
      </c>
      <c r="J485" t="s">
        <v>1889</v>
      </c>
      <c r="K485" t="s">
        <v>74</v>
      </c>
      <c r="L485" t="s">
        <v>74</v>
      </c>
      <c r="M485" t="s">
        <v>78</v>
      </c>
      <c r="N485" t="s">
        <v>79</v>
      </c>
      <c r="O485" t="s">
        <v>74</v>
      </c>
      <c r="P485" t="s">
        <v>74</v>
      </c>
      <c r="Q485" t="s">
        <v>74</v>
      </c>
      <c r="R485" t="s">
        <v>74</v>
      </c>
      <c r="S485" t="s">
        <v>74</v>
      </c>
      <c r="T485" t="s">
        <v>9051</v>
      </c>
      <c r="U485" t="s">
        <v>9052</v>
      </c>
      <c r="V485" t="s">
        <v>9053</v>
      </c>
      <c r="W485" t="s">
        <v>9054</v>
      </c>
      <c r="X485" t="s">
        <v>9055</v>
      </c>
      <c r="Y485" t="s">
        <v>9056</v>
      </c>
      <c r="Z485" t="s">
        <v>9057</v>
      </c>
      <c r="AA485" t="s">
        <v>9058</v>
      </c>
      <c r="AB485" t="s">
        <v>9059</v>
      </c>
      <c r="AC485" t="s">
        <v>9060</v>
      </c>
      <c r="AD485" t="s">
        <v>9060</v>
      </c>
      <c r="AE485" t="s">
        <v>9061</v>
      </c>
      <c r="AF485" t="s">
        <v>74</v>
      </c>
      <c r="AG485">
        <v>36</v>
      </c>
      <c r="AH485">
        <v>9</v>
      </c>
      <c r="AI485">
        <v>10</v>
      </c>
      <c r="AJ485">
        <v>0</v>
      </c>
      <c r="AK485">
        <v>11</v>
      </c>
      <c r="AL485" t="s">
        <v>1441</v>
      </c>
      <c r="AM485" t="s">
        <v>91</v>
      </c>
      <c r="AN485" t="s">
        <v>1595</v>
      </c>
      <c r="AO485" t="s">
        <v>1903</v>
      </c>
      <c r="AP485" t="s">
        <v>74</v>
      </c>
      <c r="AQ485" t="s">
        <v>74</v>
      </c>
      <c r="AR485" t="s">
        <v>1905</v>
      </c>
      <c r="AS485" t="s">
        <v>1906</v>
      </c>
      <c r="AT485" t="s">
        <v>7032</v>
      </c>
      <c r="AU485">
        <v>2011</v>
      </c>
      <c r="AV485">
        <v>34</v>
      </c>
      <c r="AW485">
        <v>6</v>
      </c>
      <c r="AX485" t="s">
        <v>74</v>
      </c>
      <c r="AY485" t="s">
        <v>74</v>
      </c>
      <c r="AZ485" t="s">
        <v>74</v>
      </c>
      <c r="BA485" t="s">
        <v>74</v>
      </c>
      <c r="BB485">
        <v>939</v>
      </c>
      <c r="BC485">
        <v>943</v>
      </c>
      <c r="BD485" t="s">
        <v>74</v>
      </c>
      <c r="BE485" t="s">
        <v>9062</v>
      </c>
      <c r="BF485" t="str">
        <f>HYPERLINK("http://dx.doi.org/10.1007/s00300-010-0951-4","http://dx.doi.org/10.1007/s00300-010-0951-4")</f>
        <v>http://dx.doi.org/10.1007/s00300-010-0951-4</v>
      </c>
      <c r="BG485" t="s">
        <v>74</v>
      </c>
      <c r="BH485" t="s">
        <v>74</v>
      </c>
      <c r="BI485">
        <v>5</v>
      </c>
      <c r="BJ485" t="s">
        <v>1908</v>
      </c>
      <c r="BK485" t="s">
        <v>100</v>
      </c>
      <c r="BL485" t="s">
        <v>1909</v>
      </c>
      <c r="BM485" t="s">
        <v>8814</v>
      </c>
      <c r="BN485" t="s">
        <v>74</v>
      </c>
      <c r="BO485" t="s">
        <v>74</v>
      </c>
      <c r="BP485" t="s">
        <v>74</v>
      </c>
      <c r="BQ485" t="s">
        <v>74</v>
      </c>
      <c r="BR485" t="s">
        <v>103</v>
      </c>
      <c r="BS485" t="s">
        <v>9063</v>
      </c>
      <c r="BT485" t="str">
        <f>HYPERLINK("https%3A%2F%2Fwww.webofscience.com%2Fwos%2Fwoscc%2Ffull-record%2FWOS:000290331300015","View Full Record in Web of Science")</f>
        <v>View Full Record in Web of Science</v>
      </c>
    </row>
    <row r="486" spans="1:72" x14ac:dyDescent="0.15">
      <c r="A486" t="s">
        <v>72</v>
      </c>
      <c r="B486" t="s">
        <v>9064</v>
      </c>
      <c r="C486" t="s">
        <v>74</v>
      </c>
      <c r="D486" t="s">
        <v>74</v>
      </c>
      <c r="E486" t="s">
        <v>74</v>
      </c>
      <c r="F486" t="s">
        <v>9065</v>
      </c>
      <c r="G486" t="s">
        <v>74</v>
      </c>
      <c r="H486" t="s">
        <v>74</v>
      </c>
      <c r="I486" t="s">
        <v>9066</v>
      </c>
      <c r="J486" t="s">
        <v>9067</v>
      </c>
      <c r="K486" t="s">
        <v>74</v>
      </c>
      <c r="L486" t="s">
        <v>74</v>
      </c>
      <c r="M486" t="s">
        <v>78</v>
      </c>
      <c r="N486" t="s">
        <v>79</v>
      </c>
      <c r="O486" t="s">
        <v>74</v>
      </c>
      <c r="P486" t="s">
        <v>74</v>
      </c>
      <c r="Q486" t="s">
        <v>74</v>
      </c>
      <c r="R486" t="s">
        <v>74</v>
      </c>
      <c r="S486" t="s">
        <v>74</v>
      </c>
      <c r="T486" t="s">
        <v>9068</v>
      </c>
      <c r="U486" t="s">
        <v>9069</v>
      </c>
      <c r="V486" t="s">
        <v>9070</v>
      </c>
      <c r="W486" t="s">
        <v>9071</v>
      </c>
      <c r="X486" t="s">
        <v>9072</v>
      </c>
      <c r="Y486" t="s">
        <v>9073</v>
      </c>
      <c r="Z486" t="s">
        <v>9074</v>
      </c>
      <c r="AA486" t="s">
        <v>9075</v>
      </c>
      <c r="AB486" t="s">
        <v>9076</v>
      </c>
      <c r="AC486" t="s">
        <v>9077</v>
      </c>
      <c r="AD486" t="s">
        <v>9077</v>
      </c>
      <c r="AE486" t="s">
        <v>9078</v>
      </c>
      <c r="AF486" t="s">
        <v>74</v>
      </c>
      <c r="AG486">
        <v>25</v>
      </c>
      <c r="AH486">
        <v>12</v>
      </c>
      <c r="AI486">
        <v>12</v>
      </c>
      <c r="AJ486">
        <v>1</v>
      </c>
      <c r="AK486">
        <v>9</v>
      </c>
      <c r="AL486" t="s">
        <v>1441</v>
      </c>
      <c r="AM486" t="s">
        <v>1442</v>
      </c>
      <c r="AN486" t="s">
        <v>1443</v>
      </c>
      <c r="AO486" t="s">
        <v>9079</v>
      </c>
      <c r="AP486" t="s">
        <v>9080</v>
      </c>
      <c r="AQ486" t="s">
        <v>74</v>
      </c>
      <c r="AR486" t="s">
        <v>9081</v>
      </c>
      <c r="AS486" t="s">
        <v>9082</v>
      </c>
      <c r="AT486" t="s">
        <v>7032</v>
      </c>
      <c r="AU486">
        <v>2011</v>
      </c>
      <c r="AV486">
        <v>27</v>
      </c>
      <c r="AW486">
        <v>6</v>
      </c>
      <c r="AX486" t="s">
        <v>74</v>
      </c>
      <c r="AY486" t="s">
        <v>74</v>
      </c>
      <c r="AZ486" t="s">
        <v>74</v>
      </c>
      <c r="BA486" t="s">
        <v>74</v>
      </c>
      <c r="BB486">
        <v>1507</v>
      </c>
      <c r="BC486">
        <v>1512</v>
      </c>
      <c r="BD486" t="s">
        <v>74</v>
      </c>
      <c r="BE486" t="s">
        <v>9083</v>
      </c>
      <c r="BF486" t="str">
        <f>HYPERLINK("http://dx.doi.org/10.1007/s11274-010-0578-1","http://dx.doi.org/10.1007/s11274-010-0578-1")</f>
        <v>http://dx.doi.org/10.1007/s11274-010-0578-1</v>
      </c>
      <c r="BG486" t="s">
        <v>74</v>
      </c>
      <c r="BH486" t="s">
        <v>74</v>
      </c>
      <c r="BI486">
        <v>6</v>
      </c>
      <c r="BJ486" t="s">
        <v>3270</v>
      </c>
      <c r="BK486" t="s">
        <v>100</v>
      </c>
      <c r="BL486" t="s">
        <v>3270</v>
      </c>
      <c r="BM486" t="s">
        <v>9084</v>
      </c>
      <c r="BN486">
        <v>25187150</v>
      </c>
      <c r="BO486" t="s">
        <v>74</v>
      </c>
      <c r="BP486" t="s">
        <v>74</v>
      </c>
      <c r="BQ486" t="s">
        <v>74</v>
      </c>
      <c r="BR486" t="s">
        <v>103</v>
      </c>
      <c r="BS486" t="s">
        <v>9085</v>
      </c>
      <c r="BT486" t="str">
        <f>HYPERLINK("https%3A%2F%2Fwww.webofscience.com%2Fwos%2Fwoscc%2Ffull-record%2FWOS:000290320900026","View Full Record in Web of Science")</f>
        <v>View Full Record in Web of Science</v>
      </c>
    </row>
    <row r="487" spans="1:72" x14ac:dyDescent="0.15">
      <c r="A487" t="s">
        <v>72</v>
      </c>
      <c r="B487" t="s">
        <v>9086</v>
      </c>
      <c r="C487" t="s">
        <v>74</v>
      </c>
      <c r="D487" t="s">
        <v>74</v>
      </c>
      <c r="E487" t="s">
        <v>74</v>
      </c>
      <c r="F487" t="s">
        <v>9087</v>
      </c>
      <c r="G487" t="s">
        <v>74</v>
      </c>
      <c r="H487" t="s">
        <v>74</v>
      </c>
      <c r="I487" t="s">
        <v>9088</v>
      </c>
      <c r="J487" t="s">
        <v>9089</v>
      </c>
      <c r="K487" t="s">
        <v>74</v>
      </c>
      <c r="L487" t="s">
        <v>74</v>
      </c>
      <c r="M487" t="s">
        <v>78</v>
      </c>
      <c r="N487" t="s">
        <v>79</v>
      </c>
      <c r="O487" t="s">
        <v>74</v>
      </c>
      <c r="P487" t="s">
        <v>74</v>
      </c>
      <c r="Q487" t="s">
        <v>74</v>
      </c>
      <c r="R487" t="s">
        <v>74</v>
      </c>
      <c r="S487" t="s">
        <v>74</v>
      </c>
      <c r="T487" t="s">
        <v>74</v>
      </c>
      <c r="U487" t="s">
        <v>9090</v>
      </c>
      <c r="V487" t="s">
        <v>9091</v>
      </c>
      <c r="W487" t="s">
        <v>9092</v>
      </c>
      <c r="X487" t="s">
        <v>9093</v>
      </c>
      <c r="Y487" t="s">
        <v>9094</v>
      </c>
      <c r="Z487" t="s">
        <v>9095</v>
      </c>
      <c r="AA487" t="s">
        <v>9096</v>
      </c>
      <c r="AB487" t="s">
        <v>9097</v>
      </c>
      <c r="AC487" t="s">
        <v>9098</v>
      </c>
      <c r="AD487" t="s">
        <v>3390</v>
      </c>
      <c r="AE487" t="s">
        <v>9099</v>
      </c>
      <c r="AF487" t="s">
        <v>74</v>
      </c>
      <c r="AG487">
        <v>18</v>
      </c>
      <c r="AH487">
        <v>3</v>
      </c>
      <c r="AI487">
        <v>3</v>
      </c>
      <c r="AJ487">
        <v>0</v>
      </c>
      <c r="AK487">
        <v>5</v>
      </c>
      <c r="AL487" t="s">
        <v>4179</v>
      </c>
      <c r="AM487" t="s">
        <v>4200</v>
      </c>
      <c r="AN487" t="s">
        <v>4201</v>
      </c>
      <c r="AO487" t="s">
        <v>9100</v>
      </c>
      <c r="AP487" t="s">
        <v>74</v>
      </c>
      <c r="AQ487" t="s">
        <v>74</v>
      </c>
      <c r="AR487" t="s">
        <v>9101</v>
      </c>
      <c r="AS487" t="s">
        <v>9102</v>
      </c>
      <c r="AT487" t="s">
        <v>7032</v>
      </c>
      <c r="AU487">
        <v>2011</v>
      </c>
      <c r="AV487">
        <v>43</v>
      </c>
      <c r="AW487">
        <v>6</v>
      </c>
      <c r="AX487" t="s">
        <v>74</v>
      </c>
      <c r="AY487" t="s">
        <v>74</v>
      </c>
      <c r="AZ487" t="s">
        <v>74</v>
      </c>
      <c r="BA487" t="s">
        <v>74</v>
      </c>
      <c r="BB487">
        <v>312</v>
      </c>
      <c r="BC487">
        <v>321</v>
      </c>
      <c r="BD487" t="s">
        <v>74</v>
      </c>
      <c r="BE487" t="s">
        <v>9103</v>
      </c>
      <c r="BF487" t="str">
        <f>HYPERLINK("http://dx.doi.org/10.1002/kin.20556","http://dx.doi.org/10.1002/kin.20556")</f>
        <v>http://dx.doi.org/10.1002/kin.20556</v>
      </c>
      <c r="BG487" t="s">
        <v>74</v>
      </c>
      <c r="BH487" t="s">
        <v>74</v>
      </c>
      <c r="BI487">
        <v>10</v>
      </c>
      <c r="BJ487" t="s">
        <v>9104</v>
      </c>
      <c r="BK487" t="s">
        <v>100</v>
      </c>
      <c r="BL487" t="s">
        <v>6691</v>
      </c>
      <c r="BM487" t="s">
        <v>9105</v>
      </c>
      <c r="BN487" t="s">
        <v>74</v>
      </c>
      <c r="BO487" t="s">
        <v>74</v>
      </c>
      <c r="BP487" t="s">
        <v>74</v>
      </c>
      <c r="BQ487" t="s">
        <v>74</v>
      </c>
      <c r="BR487" t="s">
        <v>103</v>
      </c>
      <c r="BS487" t="s">
        <v>9106</v>
      </c>
      <c r="BT487" t="str">
        <f>HYPERLINK("https%3A%2F%2Fwww.webofscience.com%2Fwos%2Fwoscc%2Ffull-record%2FWOS:000289987500004","View Full Record in Web of Science")</f>
        <v>View Full Record in Web of Science</v>
      </c>
    </row>
    <row r="488" spans="1:72" x14ac:dyDescent="0.15">
      <c r="A488" t="s">
        <v>72</v>
      </c>
      <c r="B488" t="s">
        <v>9107</v>
      </c>
      <c r="C488" t="s">
        <v>74</v>
      </c>
      <c r="D488" t="s">
        <v>74</v>
      </c>
      <c r="E488" t="s">
        <v>74</v>
      </c>
      <c r="F488" t="s">
        <v>9108</v>
      </c>
      <c r="G488" t="s">
        <v>74</v>
      </c>
      <c r="H488" t="s">
        <v>74</v>
      </c>
      <c r="I488" t="s">
        <v>9109</v>
      </c>
      <c r="J488" t="s">
        <v>9110</v>
      </c>
      <c r="K488" t="s">
        <v>74</v>
      </c>
      <c r="L488" t="s">
        <v>74</v>
      </c>
      <c r="M488" t="s">
        <v>78</v>
      </c>
      <c r="N488" t="s">
        <v>79</v>
      </c>
      <c r="O488" t="s">
        <v>74</v>
      </c>
      <c r="P488" t="s">
        <v>74</v>
      </c>
      <c r="Q488" t="s">
        <v>74</v>
      </c>
      <c r="R488" t="s">
        <v>74</v>
      </c>
      <c r="S488" t="s">
        <v>74</v>
      </c>
      <c r="T488" t="s">
        <v>9111</v>
      </c>
      <c r="U488" t="s">
        <v>9112</v>
      </c>
      <c r="V488" t="s">
        <v>9113</v>
      </c>
      <c r="W488" t="s">
        <v>9114</v>
      </c>
      <c r="X488" t="s">
        <v>9115</v>
      </c>
      <c r="Y488" t="s">
        <v>9116</v>
      </c>
      <c r="Z488" t="s">
        <v>9117</v>
      </c>
      <c r="AA488" t="s">
        <v>74</v>
      </c>
      <c r="AB488" t="s">
        <v>9118</v>
      </c>
      <c r="AC488" t="s">
        <v>9119</v>
      </c>
      <c r="AD488" t="s">
        <v>9120</v>
      </c>
      <c r="AE488" t="s">
        <v>9121</v>
      </c>
      <c r="AF488" t="s">
        <v>74</v>
      </c>
      <c r="AG488">
        <v>104</v>
      </c>
      <c r="AH488">
        <v>28</v>
      </c>
      <c r="AI488">
        <v>39</v>
      </c>
      <c r="AJ488">
        <v>0</v>
      </c>
      <c r="AK488">
        <v>30</v>
      </c>
      <c r="AL488" t="s">
        <v>9122</v>
      </c>
      <c r="AM488" t="s">
        <v>1490</v>
      </c>
      <c r="AN488" t="s">
        <v>9123</v>
      </c>
      <c r="AO488" t="s">
        <v>9124</v>
      </c>
      <c r="AP488" t="s">
        <v>9125</v>
      </c>
      <c r="AQ488" t="s">
        <v>74</v>
      </c>
      <c r="AR488" t="s">
        <v>9126</v>
      </c>
      <c r="AS488" t="s">
        <v>9127</v>
      </c>
      <c r="AT488" t="s">
        <v>7032</v>
      </c>
      <c r="AU488">
        <v>2011</v>
      </c>
      <c r="AV488">
        <v>17</v>
      </c>
      <c r="AW488">
        <v>3</v>
      </c>
      <c r="AX488" t="s">
        <v>74</v>
      </c>
      <c r="AY488" t="s">
        <v>74</v>
      </c>
      <c r="AZ488" t="s">
        <v>74</v>
      </c>
      <c r="BA488" t="s">
        <v>74</v>
      </c>
      <c r="BB488">
        <v>287</v>
      </c>
      <c r="BC488">
        <v>303</v>
      </c>
      <c r="BD488" t="s">
        <v>74</v>
      </c>
      <c r="BE488" t="s">
        <v>9128</v>
      </c>
      <c r="BF488" t="str">
        <f>HYPERLINK("http://dx.doi.org/10.1111/j.1365-2095.2010.00753.x","http://dx.doi.org/10.1111/j.1365-2095.2010.00753.x")</f>
        <v>http://dx.doi.org/10.1111/j.1365-2095.2010.00753.x</v>
      </c>
      <c r="BG488" t="s">
        <v>74</v>
      </c>
      <c r="BH488" t="s">
        <v>74</v>
      </c>
      <c r="BI488">
        <v>17</v>
      </c>
      <c r="BJ488" t="s">
        <v>4362</v>
      </c>
      <c r="BK488" t="s">
        <v>100</v>
      </c>
      <c r="BL488" t="s">
        <v>4362</v>
      </c>
      <c r="BM488" t="s">
        <v>9129</v>
      </c>
      <c r="BN488" t="s">
        <v>74</v>
      </c>
      <c r="BO488" t="s">
        <v>2134</v>
      </c>
      <c r="BP488" t="s">
        <v>74</v>
      </c>
      <c r="BQ488" t="s">
        <v>74</v>
      </c>
      <c r="BR488" t="s">
        <v>103</v>
      </c>
      <c r="BS488" t="s">
        <v>9130</v>
      </c>
      <c r="BT488" t="str">
        <f>HYPERLINK("https%3A%2F%2Fwww.webofscience.com%2Fwos%2Fwoscc%2Ffull-record%2FWOS:000289118500020","View Full Record in Web of Science")</f>
        <v>View Full Record in Web of Science</v>
      </c>
    </row>
    <row r="489" spans="1:72" x14ac:dyDescent="0.15">
      <c r="A489" t="s">
        <v>72</v>
      </c>
      <c r="B489" t="s">
        <v>9131</v>
      </c>
      <c r="C489" t="s">
        <v>74</v>
      </c>
      <c r="D489" t="s">
        <v>74</v>
      </c>
      <c r="E489" t="s">
        <v>74</v>
      </c>
      <c r="F489" t="s">
        <v>9132</v>
      </c>
      <c r="G489" t="s">
        <v>74</v>
      </c>
      <c r="H489" t="s">
        <v>74</v>
      </c>
      <c r="I489" t="s">
        <v>9133</v>
      </c>
      <c r="J489" t="s">
        <v>9134</v>
      </c>
      <c r="K489" t="s">
        <v>74</v>
      </c>
      <c r="L489" t="s">
        <v>74</v>
      </c>
      <c r="M489" t="s">
        <v>78</v>
      </c>
      <c r="N489" t="s">
        <v>79</v>
      </c>
      <c r="O489" t="s">
        <v>74</v>
      </c>
      <c r="P489" t="s">
        <v>74</v>
      </c>
      <c r="Q489" t="s">
        <v>74</v>
      </c>
      <c r="R489" t="s">
        <v>74</v>
      </c>
      <c r="S489" t="s">
        <v>74</v>
      </c>
      <c r="T489" t="s">
        <v>9135</v>
      </c>
      <c r="U489" t="s">
        <v>9136</v>
      </c>
      <c r="V489" t="s">
        <v>9137</v>
      </c>
      <c r="W489" t="s">
        <v>9138</v>
      </c>
      <c r="X489" t="s">
        <v>9139</v>
      </c>
      <c r="Y489" t="s">
        <v>9140</v>
      </c>
      <c r="Z489" t="s">
        <v>9141</v>
      </c>
      <c r="AA489" t="s">
        <v>74</v>
      </c>
      <c r="AB489" t="s">
        <v>74</v>
      </c>
      <c r="AC489" t="s">
        <v>9142</v>
      </c>
      <c r="AD489" t="s">
        <v>9143</v>
      </c>
      <c r="AE489" t="s">
        <v>9144</v>
      </c>
      <c r="AF489" t="s">
        <v>74</v>
      </c>
      <c r="AG489">
        <v>53</v>
      </c>
      <c r="AH489">
        <v>34</v>
      </c>
      <c r="AI489">
        <v>41</v>
      </c>
      <c r="AJ489">
        <v>2</v>
      </c>
      <c r="AK489">
        <v>22</v>
      </c>
      <c r="AL489" t="s">
        <v>1851</v>
      </c>
      <c r="AM489" t="s">
        <v>1852</v>
      </c>
      <c r="AN489" t="s">
        <v>1853</v>
      </c>
      <c r="AO489" t="s">
        <v>9145</v>
      </c>
      <c r="AP489" t="s">
        <v>9146</v>
      </c>
      <c r="AQ489" t="s">
        <v>74</v>
      </c>
      <c r="AR489" t="s">
        <v>9147</v>
      </c>
      <c r="AS489" t="s">
        <v>9148</v>
      </c>
      <c r="AT489" t="s">
        <v>7032</v>
      </c>
      <c r="AU489">
        <v>2011</v>
      </c>
      <c r="AV489">
        <v>77</v>
      </c>
      <c r="AW489">
        <v>2</v>
      </c>
      <c r="AX489" t="s">
        <v>74</v>
      </c>
      <c r="AY489" t="s">
        <v>74</v>
      </c>
      <c r="AZ489" t="s">
        <v>74</v>
      </c>
      <c r="BA489" t="s">
        <v>74</v>
      </c>
      <c r="BB489">
        <v>166</v>
      </c>
      <c r="BC489">
        <v>172</v>
      </c>
      <c r="BD489" t="s">
        <v>74</v>
      </c>
      <c r="BE489" t="s">
        <v>9149</v>
      </c>
      <c r="BF489" t="str">
        <f>HYPERLINK("http://dx.doi.org/10.1016/j.pep.2011.01.009","http://dx.doi.org/10.1016/j.pep.2011.01.009")</f>
        <v>http://dx.doi.org/10.1016/j.pep.2011.01.009</v>
      </c>
      <c r="BG489" t="s">
        <v>74</v>
      </c>
      <c r="BH489" t="s">
        <v>74</v>
      </c>
      <c r="BI489">
        <v>7</v>
      </c>
      <c r="BJ489" t="s">
        <v>9150</v>
      </c>
      <c r="BK489" t="s">
        <v>100</v>
      </c>
      <c r="BL489" t="s">
        <v>6008</v>
      </c>
      <c r="BM489" t="s">
        <v>9151</v>
      </c>
      <c r="BN489">
        <v>21272645</v>
      </c>
      <c r="BO489" t="s">
        <v>74</v>
      </c>
      <c r="BP489" t="s">
        <v>74</v>
      </c>
      <c r="BQ489" t="s">
        <v>74</v>
      </c>
      <c r="BR489" t="s">
        <v>103</v>
      </c>
      <c r="BS489" t="s">
        <v>9152</v>
      </c>
      <c r="BT489" t="str">
        <f>HYPERLINK("https%3A%2F%2Fwww.webofscience.com%2Fwos%2Fwoscc%2Ffull-record%2FWOS:000288591900006","View Full Record in Web of Science")</f>
        <v>View Full Record in Web of Science</v>
      </c>
    </row>
    <row r="490" spans="1:72" x14ac:dyDescent="0.15">
      <c r="A490" t="s">
        <v>72</v>
      </c>
      <c r="B490" t="s">
        <v>9153</v>
      </c>
      <c r="C490" t="s">
        <v>74</v>
      </c>
      <c r="D490" t="s">
        <v>74</v>
      </c>
      <c r="E490" t="s">
        <v>74</v>
      </c>
      <c r="F490" t="s">
        <v>9154</v>
      </c>
      <c r="G490" t="s">
        <v>74</v>
      </c>
      <c r="H490" t="s">
        <v>74</v>
      </c>
      <c r="I490" t="s">
        <v>9155</v>
      </c>
      <c r="J490" t="s">
        <v>3023</v>
      </c>
      <c r="K490" t="s">
        <v>74</v>
      </c>
      <c r="L490" t="s">
        <v>74</v>
      </c>
      <c r="M490" t="s">
        <v>78</v>
      </c>
      <c r="N490" t="s">
        <v>79</v>
      </c>
      <c r="O490" t="s">
        <v>74</v>
      </c>
      <c r="P490" t="s">
        <v>74</v>
      </c>
      <c r="Q490" t="s">
        <v>74</v>
      </c>
      <c r="R490" t="s">
        <v>74</v>
      </c>
      <c r="S490" t="s">
        <v>74</v>
      </c>
      <c r="T490" t="s">
        <v>9156</v>
      </c>
      <c r="U490" t="s">
        <v>9157</v>
      </c>
      <c r="V490" t="s">
        <v>9158</v>
      </c>
      <c r="W490" t="s">
        <v>9159</v>
      </c>
      <c r="X490" t="s">
        <v>9160</v>
      </c>
      <c r="Y490" t="s">
        <v>9161</v>
      </c>
      <c r="Z490" t="s">
        <v>9162</v>
      </c>
      <c r="AA490" t="s">
        <v>9163</v>
      </c>
      <c r="AB490" t="s">
        <v>9164</v>
      </c>
      <c r="AC490" t="s">
        <v>9165</v>
      </c>
      <c r="AD490" t="s">
        <v>9165</v>
      </c>
      <c r="AE490" t="s">
        <v>9166</v>
      </c>
      <c r="AF490" t="s">
        <v>74</v>
      </c>
      <c r="AG490">
        <v>33</v>
      </c>
      <c r="AH490">
        <v>26</v>
      </c>
      <c r="AI490">
        <v>28</v>
      </c>
      <c r="AJ490">
        <v>1</v>
      </c>
      <c r="AK490">
        <v>24</v>
      </c>
      <c r="AL490" t="s">
        <v>2669</v>
      </c>
      <c r="AM490" t="s">
        <v>309</v>
      </c>
      <c r="AN490" t="s">
        <v>2670</v>
      </c>
      <c r="AO490" t="s">
        <v>3036</v>
      </c>
      <c r="AP490" t="s">
        <v>74</v>
      </c>
      <c r="AQ490" t="s">
        <v>74</v>
      </c>
      <c r="AR490" t="s">
        <v>3037</v>
      </c>
      <c r="AS490" t="s">
        <v>3038</v>
      </c>
      <c r="AT490" t="s">
        <v>9167</v>
      </c>
      <c r="AU490">
        <v>2011</v>
      </c>
      <c r="AV490">
        <v>401</v>
      </c>
      <c r="AW490" t="s">
        <v>2154</v>
      </c>
      <c r="AX490" t="s">
        <v>74</v>
      </c>
      <c r="AY490" t="s">
        <v>74</v>
      </c>
      <c r="AZ490" t="s">
        <v>74</v>
      </c>
      <c r="BA490" t="s">
        <v>74</v>
      </c>
      <c r="BB490">
        <v>29</v>
      </c>
      <c r="BC490">
        <v>35</v>
      </c>
      <c r="BD490" t="s">
        <v>74</v>
      </c>
      <c r="BE490" t="s">
        <v>9168</v>
      </c>
      <c r="BF490" t="str">
        <f>HYPERLINK("http://dx.doi.org/10.1016/j.jembe.2011.03.005","http://dx.doi.org/10.1016/j.jembe.2011.03.005")</f>
        <v>http://dx.doi.org/10.1016/j.jembe.2011.03.005</v>
      </c>
      <c r="BG490" t="s">
        <v>74</v>
      </c>
      <c r="BH490" t="s">
        <v>74</v>
      </c>
      <c r="BI490">
        <v>7</v>
      </c>
      <c r="BJ490" t="s">
        <v>3041</v>
      </c>
      <c r="BK490" t="s">
        <v>100</v>
      </c>
      <c r="BL490" t="s">
        <v>3042</v>
      </c>
      <c r="BM490" t="s">
        <v>9169</v>
      </c>
      <c r="BN490" t="s">
        <v>74</v>
      </c>
      <c r="BO490" t="s">
        <v>74</v>
      </c>
      <c r="BP490" t="s">
        <v>74</v>
      </c>
      <c r="BQ490" t="s">
        <v>74</v>
      </c>
      <c r="BR490" t="s">
        <v>103</v>
      </c>
      <c r="BS490" t="s">
        <v>9170</v>
      </c>
      <c r="BT490" t="str">
        <f>HYPERLINK("https%3A%2F%2Fwww.webofscience.com%2Fwos%2Fwoscc%2Ffull-record%2FWOS:000291172900005","View Full Record in Web of Science")</f>
        <v>View Full Record in Web of Science</v>
      </c>
    </row>
    <row r="491" spans="1:72" x14ac:dyDescent="0.15">
      <c r="A491" t="s">
        <v>72</v>
      </c>
      <c r="B491" t="s">
        <v>9171</v>
      </c>
      <c r="C491" t="s">
        <v>74</v>
      </c>
      <c r="D491" t="s">
        <v>74</v>
      </c>
      <c r="E491" t="s">
        <v>74</v>
      </c>
      <c r="F491" t="s">
        <v>9172</v>
      </c>
      <c r="G491" t="s">
        <v>74</v>
      </c>
      <c r="H491" t="s">
        <v>74</v>
      </c>
      <c r="I491" t="s">
        <v>9173</v>
      </c>
      <c r="J491" t="s">
        <v>9174</v>
      </c>
      <c r="K491" t="s">
        <v>74</v>
      </c>
      <c r="L491" t="s">
        <v>74</v>
      </c>
      <c r="M491" t="s">
        <v>78</v>
      </c>
      <c r="N491" t="s">
        <v>79</v>
      </c>
      <c r="O491" t="s">
        <v>74</v>
      </c>
      <c r="P491" t="s">
        <v>74</v>
      </c>
      <c r="Q491" t="s">
        <v>74</v>
      </c>
      <c r="R491" t="s">
        <v>74</v>
      </c>
      <c r="S491" t="s">
        <v>74</v>
      </c>
      <c r="T491" t="s">
        <v>74</v>
      </c>
      <c r="U491" t="s">
        <v>9175</v>
      </c>
      <c r="V491" t="s">
        <v>9176</v>
      </c>
      <c r="W491" t="s">
        <v>9177</v>
      </c>
      <c r="X491" t="s">
        <v>9093</v>
      </c>
      <c r="Y491" t="s">
        <v>9178</v>
      </c>
      <c r="Z491" t="s">
        <v>9095</v>
      </c>
      <c r="AA491" t="s">
        <v>9096</v>
      </c>
      <c r="AB491" t="s">
        <v>9097</v>
      </c>
      <c r="AC491" t="s">
        <v>9098</v>
      </c>
      <c r="AD491" t="s">
        <v>3390</v>
      </c>
      <c r="AE491" t="s">
        <v>9179</v>
      </c>
      <c r="AF491" t="s">
        <v>74</v>
      </c>
      <c r="AG491">
        <v>45</v>
      </c>
      <c r="AH491">
        <v>13</v>
      </c>
      <c r="AI491">
        <v>14</v>
      </c>
      <c r="AJ491">
        <v>0</v>
      </c>
      <c r="AK491">
        <v>27</v>
      </c>
      <c r="AL491" t="s">
        <v>9180</v>
      </c>
      <c r="AM491" t="s">
        <v>9181</v>
      </c>
      <c r="AN491" t="s">
        <v>9182</v>
      </c>
      <c r="AO491" t="s">
        <v>9183</v>
      </c>
      <c r="AP491" t="s">
        <v>74</v>
      </c>
      <c r="AQ491" t="s">
        <v>74</v>
      </c>
      <c r="AR491" t="s">
        <v>9184</v>
      </c>
      <c r="AS491" t="s">
        <v>9185</v>
      </c>
      <c r="AT491" t="s">
        <v>9186</v>
      </c>
      <c r="AU491">
        <v>2011</v>
      </c>
      <c r="AV491">
        <v>134</v>
      </c>
      <c r="AW491">
        <v>20</v>
      </c>
      <c r="AX491" t="s">
        <v>74</v>
      </c>
      <c r="AY491" t="s">
        <v>74</v>
      </c>
      <c r="AZ491" t="s">
        <v>74</v>
      </c>
      <c r="BA491" t="s">
        <v>74</v>
      </c>
      <c r="BB491" t="s">
        <v>74</v>
      </c>
      <c r="BC491" t="s">
        <v>74</v>
      </c>
      <c r="BD491">
        <v>204310</v>
      </c>
      <c r="BE491" t="s">
        <v>9187</v>
      </c>
      <c r="BF491" t="str">
        <f>HYPERLINK("http://dx.doi.org/10.1063/1.3592662","http://dx.doi.org/10.1063/1.3592662")</f>
        <v>http://dx.doi.org/10.1063/1.3592662</v>
      </c>
      <c r="BG491" t="s">
        <v>74</v>
      </c>
      <c r="BH491" t="s">
        <v>74</v>
      </c>
      <c r="BI491">
        <v>12</v>
      </c>
      <c r="BJ491" t="s">
        <v>9188</v>
      </c>
      <c r="BK491" t="s">
        <v>100</v>
      </c>
      <c r="BL491" t="s">
        <v>9189</v>
      </c>
      <c r="BM491" t="s">
        <v>9190</v>
      </c>
      <c r="BN491">
        <v>21639443</v>
      </c>
      <c r="BO491" t="s">
        <v>74</v>
      </c>
      <c r="BP491" t="s">
        <v>74</v>
      </c>
      <c r="BQ491" t="s">
        <v>74</v>
      </c>
      <c r="BR491" t="s">
        <v>103</v>
      </c>
      <c r="BS491" t="s">
        <v>9191</v>
      </c>
      <c r="BT491" t="str">
        <f>HYPERLINK("https%3A%2F%2Fwww.webofscience.com%2Fwos%2Fwoscc%2Ffull-record%2FWOS:000291107900032","View Full Record in Web of Science")</f>
        <v>View Full Record in Web of Science</v>
      </c>
    </row>
    <row r="492" spans="1:72" x14ac:dyDescent="0.15">
      <c r="A492" t="s">
        <v>72</v>
      </c>
      <c r="B492" t="s">
        <v>9192</v>
      </c>
      <c r="C492" t="s">
        <v>74</v>
      </c>
      <c r="D492" t="s">
        <v>74</v>
      </c>
      <c r="E492" t="s">
        <v>74</v>
      </c>
      <c r="F492" t="s">
        <v>9193</v>
      </c>
      <c r="G492" t="s">
        <v>74</v>
      </c>
      <c r="H492" t="s">
        <v>74</v>
      </c>
      <c r="I492" t="s">
        <v>9194</v>
      </c>
      <c r="J492" t="s">
        <v>373</v>
      </c>
      <c r="K492" t="s">
        <v>74</v>
      </c>
      <c r="L492" t="s">
        <v>74</v>
      </c>
      <c r="M492" t="s">
        <v>78</v>
      </c>
      <c r="N492" t="s">
        <v>79</v>
      </c>
      <c r="O492" t="s">
        <v>74</v>
      </c>
      <c r="P492" t="s">
        <v>74</v>
      </c>
      <c r="Q492" t="s">
        <v>74</v>
      </c>
      <c r="R492" t="s">
        <v>74</v>
      </c>
      <c r="S492" t="s">
        <v>74</v>
      </c>
      <c r="T492" t="s">
        <v>74</v>
      </c>
      <c r="U492" t="s">
        <v>9195</v>
      </c>
      <c r="V492" t="s">
        <v>9196</v>
      </c>
      <c r="W492" t="s">
        <v>9197</v>
      </c>
      <c r="X492" t="s">
        <v>9198</v>
      </c>
      <c r="Y492" t="s">
        <v>9199</v>
      </c>
      <c r="Z492" t="s">
        <v>9200</v>
      </c>
      <c r="AA492" t="s">
        <v>9201</v>
      </c>
      <c r="AB492" t="s">
        <v>9202</v>
      </c>
      <c r="AC492" t="s">
        <v>9203</v>
      </c>
      <c r="AD492" t="s">
        <v>9204</v>
      </c>
      <c r="AE492" t="s">
        <v>9205</v>
      </c>
      <c r="AF492" t="s">
        <v>74</v>
      </c>
      <c r="AG492">
        <v>84</v>
      </c>
      <c r="AH492">
        <v>114</v>
      </c>
      <c r="AI492">
        <v>117</v>
      </c>
      <c r="AJ492">
        <v>0</v>
      </c>
      <c r="AK492">
        <v>18</v>
      </c>
      <c r="AL492" t="s">
        <v>120</v>
      </c>
      <c r="AM492" t="s">
        <v>121</v>
      </c>
      <c r="AN492" t="s">
        <v>122</v>
      </c>
      <c r="AO492" t="s">
        <v>385</v>
      </c>
      <c r="AP492" t="s">
        <v>386</v>
      </c>
      <c r="AQ492" t="s">
        <v>74</v>
      </c>
      <c r="AR492" t="s">
        <v>387</v>
      </c>
      <c r="AS492" t="s">
        <v>388</v>
      </c>
      <c r="AT492" t="s">
        <v>9186</v>
      </c>
      <c r="AU492">
        <v>2011</v>
      </c>
      <c r="AV492">
        <v>116</v>
      </c>
      <c r="AW492" t="s">
        <v>74</v>
      </c>
      <c r="AX492" t="s">
        <v>74</v>
      </c>
      <c r="AY492" t="s">
        <v>74</v>
      </c>
      <c r="AZ492" t="s">
        <v>74</v>
      </c>
      <c r="BA492" t="s">
        <v>74</v>
      </c>
      <c r="BB492" t="s">
        <v>74</v>
      </c>
      <c r="BC492" t="s">
        <v>74</v>
      </c>
      <c r="BD492" t="s">
        <v>9206</v>
      </c>
      <c r="BE492" t="s">
        <v>9207</v>
      </c>
      <c r="BF492" t="str">
        <f>HYPERLINK("http://dx.doi.org/10.1029/2010JA016293","http://dx.doi.org/10.1029/2010JA016293")</f>
        <v>http://dx.doi.org/10.1029/2010JA016293</v>
      </c>
      <c r="BG492" t="s">
        <v>74</v>
      </c>
      <c r="BH492" t="s">
        <v>74</v>
      </c>
      <c r="BI492">
        <v>15</v>
      </c>
      <c r="BJ492" t="s">
        <v>391</v>
      </c>
      <c r="BK492" t="s">
        <v>100</v>
      </c>
      <c r="BL492" t="s">
        <v>391</v>
      </c>
      <c r="BM492" t="s">
        <v>9208</v>
      </c>
      <c r="BN492" t="s">
        <v>74</v>
      </c>
      <c r="BO492" t="s">
        <v>393</v>
      </c>
      <c r="BP492" t="s">
        <v>74</v>
      </c>
      <c r="BQ492" t="s">
        <v>74</v>
      </c>
      <c r="BR492" t="s">
        <v>103</v>
      </c>
      <c r="BS492" t="s">
        <v>9209</v>
      </c>
      <c r="BT492" t="str">
        <f>HYPERLINK("https%3A%2F%2Fwww.webofscience.com%2Fwos%2Fwoscc%2Ffull-record%2FWOS:000291107300004","View Full Record in Web of Science")</f>
        <v>View Full Record in Web of Science</v>
      </c>
    </row>
    <row r="493" spans="1:72" x14ac:dyDescent="0.15">
      <c r="A493" t="s">
        <v>72</v>
      </c>
      <c r="B493" t="s">
        <v>9210</v>
      </c>
      <c r="C493" t="s">
        <v>74</v>
      </c>
      <c r="D493" t="s">
        <v>74</v>
      </c>
      <c r="E493" t="s">
        <v>74</v>
      </c>
      <c r="F493" t="s">
        <v>9211</v>
      </c>
      <c r="G493" t="s">
        <v>74</v>
      </c>
      <c r="H493" t="s">
        <v>74</v>
      </c>
      <c r="I493" t="s">
        <v>9212</v>
      </c>
      <c r="J493" t="s">
        <v>9213</v>
      </c>
      <c r="K493" t="s">
        <v>74</v>
      </c>
      <c r="L493" t="s">
        <v>74</v>
      </c>
      <c r="M493" t="s">
        <v>78</v>
      </c>
      <c r="N493" t="s">
        <v>79</v>
      </c>
      <c r="O493" t="s">
        <v>74</v>
      </c>
      <c r="P493" t="s">
        <v>74</v>
      </c>
      <c r="Q493" t="s">
        <v>74</v>
      </c>
      <c r="R493" t="s">
        <v>74</v>
      </c>
      <c r="S493" t="s">
        <v>74</v>
      </c>
      <c r="T493" t="s">
        <v>9214</v>
      </c>
      <c r="U493" t="s">
        <v>9215</v>
      </c>
      <c r="V493" t="s">
        <v>9216</v>
      </c>
      <c r="W493" t="s">
        <v>9217</v>
      </c>
      <c r="X493" t="s">
        <v>9218</v>
      </c>
      <c r="Y493" t="s">
        <v>9219</v>
      </c>
      <c r="Z493" t="s">
        <v>9220</v>
      </c>
      <c r="AA493" t="s">
        <v>9221</v>
      </c>
      <c r="AB493" t="s">
        <v>9222</v>
      </c>
      <c r="AC493" t="s">
        <v>9223</v>
      </c>
      <c r="AD493" t="s">
        <v>9224</v>
      </c>
      <c r="AE493" t="s">
        <v>9225</v>
      </c>
      <c r="AF493" t="s">
        <v>74</v>
      </c>
      <c r="AG493">
        <v>34</v>
      </c>
      <c r="AH493">
        <v>16</v>
      </c>
      <c r="AI493">
        <v>18</v>
      </c>
      <c r="AJ493">
        <v>0</v>
      </c>
      <c r="AK493">
        <v>25</v>
      </c>
      <c r="AL493" t="s">
        <v>6555</v>
      </c>
      <c r="AM493" t="s">
        <v>1490</v>
      </c>
      <c r="AN493" t="s">
        <v>6556</v>
      </c>
      <c r="AO493" t="s">
        <v>9226</v>
      </c>
      <c r="AP493" t="s">
        <v>9227</v>
      </c>
      <c r="AQ493" t="s">
        <v>74</v>
      </c>
      <c r="AR493" t="s">
        <v>9228</v>
      </c>
      <c r="AS493" t="s">
        <v>9229</v>
      </c>
      <c r="AT493" t="s">
        <v>9186</v>
      </c>
      <c r="AU493">
        <v>2011</v>
      </c>
      <c r="AV493">
        <v>369</v>
      </c>
      <c r="AW493">
        <v>1943</v>
      </c>
      <c r="AX493" t="s">
        <v>74</v>
      </c>
      <c r="AY493" t="s">
        <v>74</v>
      </c>
      <c r="AZ493" t="s">
        <v>74</v>
      </c>
      <c r="BA493" t="s">
        <v>74</v>
      </c>
      <c r="BB493">
        <v>1967</v>
      </c>
      <c r="BC493">
        <v>1979</v>
      </c>
      <c r="BD493" t="s">
        <v>74</v>
      </c>
      <c r="BE493" t="s">
        <v>9230</v>
      </c>
      <c r="BF493" t="str">
        <f>HYPERLINK("http://dx.doi.org/10.1098/rsta.2011.0002","http://dx.doi.org/10.1098/rsta.2011.0002")</f>
        <v>http://dx.doi.org/10.1098/rsta.2011.0002</v>
      </c>
      <c r="BG493" t="s">
        <v>74</v>
      </c>
      <c r="BH493" t="s">
        <v>74</v>
      </c>
      <c r="BI493">
        <v>13</v>
      </c>
      <c r="BJ493" t="s">
        <v>177</v>
      </c>
      <c r="BK493" t="s">
        <v>100</v>
      </c>
      <c r="BL493" t="s">
        <v>178</v>
      </c>
      <c r="BM493" t="s">
        <v>9231</v>
      </c>
      <c r="BN493">
        <v>21502170</v>
      </c>
      <c r="BO493" t="s">
        <v>3194</v>
      </c>
      <c r="BP493" t="s">
        <v>74</v>
      </c>
      <c r="BQ493" t="s">
        <v>74</v>
      </c>
      <c r="BR493" t="s">
        <v>103</v>
      </c>
      <c r="BS493" t="s">
        <v>9232</v>
      </c>
      <c r="BT493" t="str">
        <f>HYPERLINK("https%3A%2F%2Fwww.webofscience.com%2Fwos%2Fwoscc%2Ffull-record%2FWOS:000289619100007","View Full Record in Web of Science")</f>
        <v>View Full Record in Web of Science</v>
      </c>
    </row>
    <row r="494" spans="1:72" x14ac:dyDescent="0.15">
      <c r="A494" t="s">
        <v>72</v>
      </c>
      <c r="B494" t="s">
        <v>9233</v>
      </c>
      <c r="C494" t="s">
        <v>74</v>
      </c>
      <c r="D494" t="s">
        <v>74</v>
      </c>
      <c r="E494" t="s">
        <v>74</v>
      </c>
      <c r="F494" t="s">
        <v>9234</v>
      </c>
      <c r="G494" t="s">
        <v>74</v>
      </c>
      <c r="H494" t="s">
        <v>74</v>
      </c>
      <c r="I494" t="s">
        <v>9235</v>
      </c>
      <c r="J494" t="s">
        <v>9213</v>
      </c>
      <c r="K494" t="s">
        <v>74</v>
      </c>
      <c r="L494" t="s">
        <v>74</v>
      </c>
      <c r="M494" t="s">
        <v>78</v>
      </c>
      <c r="N494" t="s">
        <v>278</v>
      </c>
      <c r="O494" t="s">
        <v>74</v>
      </c>
      <c r="P494" t="s">
        <v>74</v>
      </c>
      <c r="Q494" t="s">
        <v>74</v>
      </c>
      <c r="R494" t="s">
        <v>74</v>
      </c>
      <c r="S494" t="s">
        <v>74</v>
      </c>
      <c r="T494" t="s">
        <v>9236</v>
      </c>
      <c r="U494" t="s">
        <v>9237</v>
      </c>
      <c r="V494" t="s">
        <v>9238</v>
      </c>
      <c r="W494" t="s">
        <v>2437</v>
      </c>
      <c r="X494" t="s">
        <v>2015</v>
      </c>
      <c r="Y494" t="s">
        <v>9239</v>
      </c>
      <c r="Z494" t="s">
        <v>9240</v>
      </c>
      <c r="AA494" t="s">
        <v>6703</v>
      </c>
      <c r="AB494" t="s">
        <v>6704</v>
      </c>
      <c r="AC494" t="s">
        <v>9241</v>
      </c>
      <c r="AD494" t="s">
        <v>4947</v>
      </c>
      <c r="AE494" t="s">
        <v>9242</v>
      </c>
      <c r="AF494" t="s">
        <v>74</v>
      </c>
      <c r="AG494">
        <v>63</v>
      </c>
      <c r="AH494">
        <v>22</v>
      </c>
      <c r="AI494">
        <v>24</v>
      </c>
      <c r="AJ494">
        <v>0</v>
      </c>
      <c r="AK494">
        <v>50</v>
      </c>
      <c r="AL494" t="s">
        <v>6555</v>
      </c>
      <c r="AM494" t="s">
        <v>1490</v>
      </c>
      <c r="AN494" t="s">
        <v>6556</v>
      </c>
      <c r="AO494" t="s">
        <v>9226</v>
      </c>
      <c r="AP494" t="s">
        <v>9227</v>
      </c>
      <c r="AQ494" t="s">
        <v>74</v>
      </c>
      <c r="AR494" t="s">
        <v>9228</v>
      </c>
      <c r="AS494" t="s">
        <v>9229</v>
      </c>
      <c r="AT494" t="s">
        <v>9186</v>
      </c>
      <c r="AU494">
        <v>2011</v>
      </c>
      <c r="AV494">
        <v>369</v>
      </c>
      <c r="AW494">
        <v>1943</v>
      </c>
      <c r="AX494" t="s">
        <v>74</v>
      </c>
      <c r="AY494" t="s">
        <v>74</v>
      </c>
      <c r="AZ494" t="s">
        <v>74</v>
      </c>
      <c r="BA494" t="s">
        <v>74</v>
      </c>
      <c r="BB494">
        <v>2133</v>
      </c>
      <c r="BC494">
        <v>2147</v>
      </c>
      <c r="BD494" t="s">
        <v>74</v>
      </c>
      <c r="BE494" t="s">
        <v>9243</v>
      </c>
      <c r="BF494" t="str">
        <f>HYPERLINK("http://dx.doi.org/10.1098/rsta.2010.0225","http://dx.doi.org/10.1098/rsta.2010.0225")</f>
        <v>http://dx.doi.org/10.1098/rsta.2010.0225</v>
      </c>
      <c r="BG494" t="s">
        <v>74</v>
      </c>
      <c r="BH494" t="s">
        <v>74</v>
      </c>
      <c r="BI494">
        <v>15</v>
      </c>
      <c r="BJ494" t="s">
        <v>177</v>
      </c>
      <c r="BK494" t="s">
        <v>100</v>
      </c>
      <c r="BL494" t="s">
        <v>178</v>
      </c>
      <c r="BM494" t="s">
        <v>9231</v>
      </c>
      <c r="BN494">
        <v>21502180</v>
      </c>
      <c r="BO494" t="s">
        <v>152</v>
      </c>
      <c r="BP494" t="s">
        <v>74</v>
      </c>
      <c r="BQ494" t="s">
        <v>74</v>
      </c>
      <c r="BR494" t="s">
        <v>103</v>
      </c>
      <c r="BS494" t="s">
        <v>9244</v>
      </c>
      <c r="BT494" t="str">
        <f>HYPERLINK("https%3A%2F%2Fwww.webofscience.com%2Fwos%2Fwoscc%2Ffull-record%2FWOS:000289619100017","View Full Record in Web of Science")</f>
        <v>View Full Record in Web of Science</v>
      </c>
    </row>
    <row r="495" spans="1:72" x14ac:dyDescent="0.15">
      <c r="A495" t="s">
        <v>72</v>
      </c>
      <c r="B495" t="s">
        <v>9245</v>
      </c>
      <c r="C495" t="s">
        <v>74</v>
      </c>
      <c r="D495" t="s">
        <v>74</v>
      </c>
      <c r="E495" t="s">
        <v>74</v>
      </c>
      <c r="F495" t="s">
        <v>9246</v>
      </c>
      <c r="G495" t="s">
        <v>74</v>
      </c>
      <c r="H495" t="s">
        <v>74</v>
      </c>
      <c r="I495" t="s">
        <v>9247</v>
      </c>
      <c r="J495" t="s">
        <v>3115</v>
      </c>
      <c r="K495" t="s">
        <v>74</v>
      </c>
      <c r="L495" t="s">
        <v>74</v>
      </c>
      <c r="M495" t="s">
        <v>78</v>
      </c>
      <c r="N495" t="s">
        <v>79</v>
      </c>
      <c r="O495" t="s">
        <v>74</v>
      </c>
      <c r="P495" t="s">
        <v>74</v>
      </c>
      <c r="Q495" t="s">
        <v>74</v>
      </c>
      <c r="R495" t="s">
        <v>74</v>
      </c>
      <c r="S495" t="s">
        <v>74</v>
      </c>
      <c r="T495" t="s">
        <v>74</v>
      </c>
      <c r="U495" t="s">
        <v>9248</v>
      </c>
      <c r="V495" t="s">
        <v>9249</v>
      </c>
      <c r="W495" t="s">
        <v>9250</v>
      </c>
      <c r="X495" t="s">
        <v>9251</v>
      </c>
      <c r="Y495" t="s">
        <v>9252</v>
      </c>
      <c r="Z495" t="s">
        <v>9253</v>
      </c>
      <c r="AA495" t="s">
        <v>9254</v>
      </c>
      <c r="AB495" t="s">
        <v>9255</v>
      </c>
      <c r="AC495" t="s">
        <v>9256</v>
      </c>
      <c r="AD495" t="s">
        <v>9257</v>
      </c>
      <c r="AE495" t="s">
        <v>9258</v>
      </c>
      <c r="AF495" t="s">
        <v>74</v>
      </c>
      <c r="AG495">
        <v>38</v>
      </c>
      <c r="AH495">
        <v>109</v>
      </c>
      <c r="AI495">
        <v>125</v>
      </c>
      <c r="AJ495">
        <v>1</v>
      </c>
      <c r="AK495">
        <v>57</v>
      </c>
      <c r="AL495" t="s">
        <v>3127</v>
      </c>
      <c r="AM495" t="s">
        <v>121</v>
      </c>
      <c r="AN495" t="s">
        <v>3128</v>
      </c>
      <c r="AO495" t="s">
        <v>3129</v>
      </c>
      <c r="AP495" t="s">
        <v>74</v>
      </c>
      <c r="AQ495" t="s">
        <v>74</v>
      </c>
      <c r="AR495" t="s">
        <v>3115</v>
      </c>
      <c r="AS495" t="s">
        <v>3131</v>
      </c>
      <c r="AT495" t="s">
        <v>9259</v>
      </c>
      <c r="AU495">
        <v>2011</v>
      </c>
      <c r="AV495">
        <v>332</v>
      </c>
      <c r="AW495">
        <v>6033</v>
      </c>
      <c r="AX495" t="s">
        <v>74</v>
      </c>
      <c r="AY495" t="s">
        <v>74</v>
      </c>
      <c r="AZ495" t="s">
        <v>74</v>
      </c>
      <c r="BA495" t="s">
        <v>74</v>
      </c>
      <c r="BB495">
        <v>1076</v>
      </c>
      <c r="BC495">
        <v>1079</v>
      </c>
      <c r="BD495" t="s">
        <v>74</v>
      </c>
      <c r="BE495" t="s">
        <v>9260</v>
      </c>
      <c r="BF495" t="str">
        <f>HYPERLINK("http://dx.doi.org/10.1126/science.1202122","http://dx.doi.org/10.1126/science.1202122")</f>
        <v>http://dx.doi.org/10.1126/science.1202122</v>
      </c>
      <c r="BG495" t="s">
        <v>74</v>
      </c>
      <c r="BH495" t="s">
        <v>74</v>
      </c>
      <c r="BI495">
        <v>4</v>
      </c>
      <c r="BJ495" t="s">
        <v>177</v>
      </c>
      <c r="BK495" t="s">
        <v>100</v>
      </c>
      <c r="BL495" t="s">
        <v>178</v>
      </c>
      <c r="BM495" t="s">
        <v>9261</v>
      </c>
      <c r="BN495">
        <v>21617074</v>
      </c>
      <c r="BO495" t="s">
        <v>74</v>
      </c>
      <c r="BP495" t="s">
        <v>74</v>
      </c>
      <c r="BQ495" t="s">
        <v>74</v>
      </c>
      <c r="BR495" t="s">
        <v>103</v>
      </c>
      <c r="BS495" t="s">
        <v>9262</v>
      </c>
      <c r="BT495" t="str">
        <f>HYPERLINK("https%3A%2F%2Fwww.webofscience.com%2Fwos%2Fwoscc%2Ffull-record%2FWOS:000290996700042","View Full Record in Web of Science")</f>
        <v>View Full Record in Web of Science</v>
      </c>
    </row>
    <row r="496" spans="1:72" x14ac:dyDescent="0.15">
      <c r="A496" t="s">
        <v>72</v>
      </c>
      <c r="B496" t="s">
        <v>9263</v>
      </c>
      <c r="C496" t="s">
        <v>74</v>
      </c>
      <c r="D496" t="s">
        <v>74</v>
      </c>
      <c r="E496" t="s">
        <v>74</v>
      </c>
      <c r="F496" t="s">
        <v>9264</v>
      </c>
      <c r="G496" t="s">
        <v>74</v>
      </c>
      <c r="H496" t="s">
        <v>74</v>
      </c>
      <c r="I496" t="s">
        <v>9265</v>
      </c>
      <c r="J496" t="s">
        <v>9266</v>
      </c>
      <c r="K496" t="s">
        <v>74</v>
      </c>
      <c r="L496" t="s">
        <v>74</v>
      </c>
      <c r="M496" t="s">
        <v>78</v>
      </c>
      <c r="N496" t="s">
        <v>79</v>
      </c>
      <c r="O496" t="s">
        <v>74</v>
      </c>
      <c r="P496" t="s">
        <v>74</v>
      </c>
      <c r="Q496" t="s">
        <v>74</v>
      </c>
      <c r="R496" t="s">
        <v>74</v>
      </c>
      <c r="S496" t="s">
        <v>74</v>
      </c>
      <c r="T496" t="s">
        <v>9267</v>
      </c>
      <c r="U496" t="s">
        <v>9268</v>
      </c>
      <c r="V496" t="s">
        <v>9269</v>
      </c>
      <c r="W496" t="s">
        <v>9270</v>
      </c>
      <c r="X496" t="s">
        <v>8106</v>
      </c>
      <c r="Y496" t="s">
        <v>9271</v>
      </c>
      <c r="Z496" t="s">
        <v>9272</v>
      </c>
      <c r="AA496" t="s">
        <v>9273</v>
      </c>
      <c r="AB496" t="s">
        <v>74</v>
      </c>
      <c r="AC496" t="s">
        <v>9274</v>
      </c>
      <c r="AD496" t="s">
        <v>9275</v>
      </c>
      <c r="AE496" t="s">
        <v>9276</v>
      </c>
      <c r="AF496" t="s">
        <v>74</v>
      </c>
      <c r="AG496">
        <v>42</v>
      </c>
      <c r="AH496">
        <v>25</v>
      </c>
      <c r="AI496">
        <v>27</v>
      </c>
      <c r="AJ496">
        <v>0</v>
      </c>
      <c r="AK496">
        <v>14</v>
      </c>
      <c r="AL496" t="s">
        <v>3225</v>
      </c>
      <c r="AM496" t="s">
        <v>3226</v>
      </c>
      <c r="AN496" t="s">
        <v>9277</v>
      </c>
      <c r="AO496" t="s">
        <v>9278</v>
      </c>
      <c r="AP496" t="s">
        <v>9279</v>
      </c>
      <c r="AQ496" t="s">
        <v>74</v>
      </c>
      <c r="AR496" t="s">
        <v>9266</v>
      </c>
      <c r="AS496" t="s">
        <v>9280</v>
      </c>
      <c r="AT496" t="s">
        <v>9281</v>
      </c>
      <c r="AU496">
        <v>2011</v>
      </c>
      <c r="AV496">
        <v>24</v>
      </c>
      <c r="AW496" t="s">
        <v>74</v>
      </c>
      <c r="AX496" t="s">
        <v>74</v>
      </c>
      <c r="AY496" t="s">
        <v>74</v>
      </c>
      <c r="AZ496" t="s">
        <v>74</v>
      </c>
      <c r="BA496" t="s">
        <v>74</v>
      </c>
      <c r="BB496">
        <v>39</v>
      </c>
      <c r="BC496">
        <v>50</v>
      </c>
      <c r="BD496" t="s">
        <v>74</v>
      </c>
      <c r="BE496" t="s">
        <v>9282</v>
      </c>
      <c r="BF496" t="str">
        <f>HYPERLINK("http://dx.doi.org/10.11646/phytotaxa.24.1.6","http://dx.doi.org/10.11646/phytotaxa.24.1.6")</f>
        <v>http://dx.doi.org/10.11646/phytotaxa.24.1.6</v>
      </c>
      <c r="BG496" t="s">
        <v>74</v>
      </c>
      <c r="BH496" t="s">
        <v>74</v>
      </c>
      <c r="BI496">
        <v>12</v>
      </c>
      <c r="BJ496" t="s">
        <v>4032</v>
      </c>
      <c r="BK496" t="s">
        <v>100</v>
      </c>
      <c r="BL496" t="s">
        <v>4032</v>
      </c>
      <c r="BM496" t="s">
        <v>9283</v>
      </c>
      <c r="BN496" t="s">
        <v>74</v>
      </c>
      <c r="BO496" t="s">
        <v>74</v>
      </c>
      <c r="BP496" t="s">
        <v>74</v>
      </c>
      <c r="BQ496" t="s">
        <v>74</v>
      </c>
      <c r="BR496" t="s">
        <v>103</v>
      </c>
      <c r="BS496" t="s">
        <v>9284</v>
      </c>
      <c r="BT496" t="str">
        <f>HYPERLINK("https%3A%2F%2Fwww.webofscience.com%2Fwos%2Fwoscc%2Ffull-record%2FWOS:000294432500006","View Full Record in Web of Science")</f>
        <v>View Full Record in Web of Science</v>
      </c>
    </row>
    <row r="497" spans="1:72" x14ac:dyDescent="0.15">
      <c r="A497" t="s">
        <v>72</v>
      </c>
      <c r="B497" t="s">
        <v>9285</v>
      </c>
      <c r="C497" t="s">
        <v>74</v>
      </c>
      <c r="D497" t="s">
        <v>74</v>
      </c>
      <c r="E497" t="s">
        <v>74</v>
      </c>
      <c r="F497" t="s">
        <v>9286</v>
      </c>
      <c r="G497" t="s">
        <v>74</v>
      </c>
      <c r="H497" t="s">
        <v>74</v>
      </c>
      <c r="I497" t="s">
        <v>9287</v>
      </c>
      <c r="J497" t="s">
        <v>108</v>
      </c>
      <c r="K497" t="s">
        <v>74</v>
      </c>
      <c r="L497" t="s">
        <v>74</v>
      </c>
      <c r="M497" t="s">
        <v>78</v>
      </c>
      <c r="N497" t="s">
        <v>79</v>
      </c>
      <c r="O497" t="s">
        <v>74</v>
      </c>
      <c r="P497" t="s">
        <v>74</v>
      </c>
      <c r="Q497" t="s">
        <v>74</v>
      </c>
      <c r="R497" t="s">
        <v>74</v>
      </c>
      <c r="S497" t="s">
        <v>74</v>
      </c>
      <c r="T497" t="s">
        <v>74</v>
      </c>
      <c r="U497" t="s">
        <v>9288</v>
      </c>
      <c r="V497" t="s">
        <v>9289</v>
      </c>
      <c r="W497" t="s">
        <v>9290</v>
      </c>
      <c r="X497" t="s">
        <v>9291</v>
      </c>
      <c r="Y497" t="s">
        <v>9292</v>
      </c>
      <c r="Z497" t="s">
        <v>9293</v>
      </c>
      <c r="AA497" t="s">
        <v>9294</v>
      </c>
      <c r="AB497" t="s">
        <v>9295</v>
      </c>
      <c r="AC497" t="s">
        <v>9296</v>
      </c>
      <c r="AD497" t="s">
        <v>9297</v>
      </c>
      <c r="AE497" t="s">
        <v>9298</v>
      </c>
      <c r="AF497" t="s">
        <v>74</v>
      </c>
      <c r="AG497">
        <v>31</v>
      </c>
      <c r="AH497">
        <v>77</v>
      </c>
      <c r="AI497">
        <v>101</v>
      </c>
      <c r="AJ497">
        <v>3</v>
      </c>
      <c r="AK497">
        <v>61</v>
      </c>
      <c r="AL497" t="s">
        <v>120</v>
      </c>
      <c r="AM497" t="s">
        <v>121</v>
      </c>
      <c r="AN497" t="s">
        <v>122</v>
      </c>
      <c r="AO497" t="s">
        <v>123</v>
      </c>
      <c r="AP497" t="s">
        <v>74</v>
      </c>
      <c r="AQ497" t="s">
        <v>74</v>
      </c>
      <c r="AR497" t="s">
        <v>125</v>
      </c>
      <c r="AS497" t="s">
        <v>126</v>
      </c>
      <c r="AT497" t="s">
        <v>9281</v>
      </c>
      <c r="AU497">
        <v>2011</v>
      </c>
      <c r="AV497">
        <v>38</v>
      </c>
      <c r="AW497" t="s">
        <v>74</v>
      </c>
      <c r="AX497" t="s">
        <v>74</v>
      </c>
      <c r="AY497" t="s">
        <v>74</v>
      </c>
      <c r="AZ497" t="s">
        <v>74</v>
      </c>
      <c r="BA497" t="s">
        <v>74</v>
      </c>
      <c r="BB497" t="s">
        <v>74</v>
      </c>
      <c r="BC497" t="s">
        <v>74</v>
      </c>
      <c r="BD497" t="s">
        <v>9299</v>
      </c>
      <c r="BE497" t="s">
        <v>9300</v>
      </c>
      <c r="BF497" t="str">
        <f>HYPERLINK("http://dx.doi.org/10.1029/2011GL047109","http://dx.doi.org/10.1029/2011GL047109")</f>
        <v>http://dx.doi.org/10.1029/2011GL047109</v>
      </c>
      <c r="BG497" t="s">
        <v>74</v>
      </c>
      <c r="BH497" t="s">
        <v>74</v>
      </c>
      <c r="BI497">
        <v>6</v>
      </c>
      <c r="BJ497" t="s">
        <v>130</v>
      </c>
      <c r="BK497" t="s">
        <v>100</v>
      </c>
      <c r="BL497" t="s">
        <v>131</v>
      </c>
      <c r="BM497" t="s">
        <v>9301</v>
      </c>
      <c r="BN497" t="s">
        <v>74</v>
      </c>
      <c r="BO497" t="s">
        <v>368</v>
      </c>
      <c r="BP497" t="s">
        <v>74</v>
      </c>
      <c r="BQ497" t="s">
        <v>74</v>
      </c>
      <c r="BR497" t="s">
        <v>103</v>
      </c>
      <c r="BS497" t="s">
        <v>9302</v>
      </c>
      <c r="BT497" t="str">
        <f>HYPERLINK("https%3A%2F%2Fwww.webofscience.com%2Fwos%2Fwoscc%2Ffull-record%2FWOS:000291101700002","View Full Record in Web of Science")</f>
        <v>View Full Record in Web of Science</v>
      </c>
    </row>
    <row r="498" spans="1:72" x14ac:dyDescent="0.15">
      <c r="A498" t="s">
        <v>72</v>
      </c>
      <c r="B498" t="s">
        <v>9303</v>
      </c>
      <c r="C498" t="s">
        <v>74</v>
      </c>
      <c r="D498" t="s">
        <v>74</v>
      </c>
      <c r="E498" t="s">
        <v>74</v>
      </c>
      <c r="F498" t="s">
        <v>9304</v>
      </c>
      <c r="G498" t="s">
        <v>74</v>
      </c>
      <c r="H498" t="s">
        <v>74</v>
      </c>
      <c r="I498" t="s">
        <v>9305</v>
      </c>
      <c r="J498" t="s">
        <v>254</v>
      </c>
      <c r="K498" t="s">
        <v>74</v>
      </c>
      <c r="L498" t="s">
        <v>74</v>
      </c>
      <c r="M498" t="s">
        <v>78</v>
      </c>
      <c r="N498" t="s">
        <v>79</v>
      </c>
      <c r="O498" t="s">
        <v>74</v>
      </c>
      <c r="P498" t="s">
        <v>74</v>
      </c>
      <c r="Q498" t="s">
        <v>74</v>
      </c>
      <c r="R498" t="s">
        <v>74</v>
      </c>
      <c r="S498" t="s">
        <v>74</v>
      </c>
      <c r="T498" t="s">
        <v>74</v>
      </c>
      <c r="U498" t="s">
        <v>9306</v>
      </c>
      <c r="V498" t="s">
        <v>9307</v>
      </c>
      <c r="W498" t="s">
        <v>9308</v>
      </c>
      <c r="X498" t="s">
        <v>9309</v>
      </c>
      <c r="Y498" t="s">
        <v>9310</v>
      </c>
      <c r="Z498" t="s">
        <v>9311</v>
      </c>
      <c r="AA498" t="s">
        <v>9312</v>
      </c>
      <c r="AB498" t="s">
        <v>9313</v>
      </c>
      <c r="AC498" t="s">
        <v>9314</v>
      </c>
      <c r="AD498" t="s">
        <v>9315</v>
      </c>
      <c r="AE498" t="s">
        <v>9316</v>
      </c>
      <c r="AF498" t="s">
        <v>74</v>
      </c>
      <c r="AG498">
        <v>59</v>
      </c>
      <c r="AH498">
        <v>28</v>
      </c>
      <c r="AI498">
        <v>29</v>
      </c>
      <c r="AJ498">
        <v>0</v>
      </c>
      <c r="AK498">
        <v>14</v>
      </c>
      <c r="AL498" t="s">
        <v>120</v>
      </c>
      <c r="AM498" t="s">
        <v>121</v>
      </c>
      <c r="AN498" t="s">
        <v>122</v>
      </c>
      <c r="AO498" t="s">
        <v>265</v>
      </c>
      <c r="AP498" t="s">
        <v>266</v>
      </c>
      <c r="AQ498" t="s">
        <v>74</v>
      </c>
      <c r="AR498" t="s">
        <v>267</v>
      </c>
      <c r="AS498" t="s">
        <v>268</v>
      </c>
      <c r="AT498" t="s">
        <v>9281</v>
      </c>
      <c r="AU498">
        <v>2011</v>
      </c>
      <c r="AV498">
        <v>116</v>
      </c>
      <c r="AW498" t="s">
        <v>74</v>
      </c>
      <c r="AX498" t="s">
        <v>74</v>
      </c>
      <c r="AY498" t="s">
        <v>74</v>
      </c>
      <c r="AZ498" t="s">
        <v>74</v>
      </c>
      <c r="BA498" t="s">
        <v>74</v>
      </c>
      <c r="BB498" t="s">
        <v>74</v>
      </c>
      <c r="BC498" t="s">
        <v>74</v>
      </c>
      <c r="BD498" t="s">
        <v>9317</v>
      </c>
      <c r="BE498" t="s">
        <v>9318</v>
      </c>
      <c r="BF498" t="str">
        <f>HYPERLINK("http://dx.doi.org/10.1029/2010JC006484","http://dx.doi.org/10.1029/2010JC006484")</f>
        <v>http://dx.doi.org/10.1029/2010JC006484</v>
      </c>
      <c r="BG498" t="s">
        <v>74</v>
      </c>
      <c r="BH498" t="s">
        <v>74</v>
      </c>
      <c r="BI498">
        <v>17</v>
      </c>
      <c r="BJ498" t="s">
        <v>271</v>
      </c>
      <c r="BK498" t="s">
        <v>100</v>
      </c>
      <c r="BL498" t="s">
        <v>271</v>
      </c>
      <c r="BM498" t="s">
        <v>9319</v>
      </c>
      <c r="BN498" t="s">
        <v>74</v>
      </c>
      <c r="BO498" t="s">
        <v>152</v>
      </c>
      <c r="BP498" t="s">
        <v>74</v>
      </c>
      <c r="BQ498" t="s">
        <v>74</v>
      </c>
      <c r="BR498" t="s">
        <v>103</v>
      </c>
      <c r="BS498" t="s">
        <v>9320</v>
      </c>
      <c r="BT498" t="str">
        <f>HYPERLINK("https%3A%2F%2Fwww.webofscience.com%2Fwos%2Fwoscc%2Ffull-record%2FWOS:000291105300002","View Full Record in Web of Science")</f>
        <v>View Full Record in Web of Science</v>
      </c>
    </row>
    <row r="499" spans="1:72" x14ac:dyDescent="0.15">
      <c r="A499" t="s">
        <v>72</v>
      </c>
      <c r="B499" t="s">
        <v>9321</v>
      </c>
      <c r="C499" t="s">
        <v>74</v>
      </c>
      <c r="D499" t="s">
        <v>74</v>
      </c>
      <c r="E499" t="s">
        <v>74</v>
      </c>
      <c r="F499" t="s">
        <v>9322</v>
      </c>
      <c r="G499" t="s">
        <v>74</v>
      </c>
      <c r="H499" t="s">
        <v>74</v>
      </c>
      <c r="I499" t="s">
        <v>9323</v>
      </c>
      <c r="J499" t="s">
        <v>9324</v>
      </c>
      <c r="K499" t="s">
        <v>74</v>
      </c>
      <c r="L499" t="s">
        <v>74</v>
      </c>
      <c r="M499" t="s">
        <v>78</v>
      </c>
      <c r="N499" t="s">
        <v>79</v>
      </c>
      <c r="O499" t="s">
        <v>74</v>
      </c>
      <c r="P499" t="s">
        <v>74</v>
      </c>
      <c r="Q499" t="s">
        <v>74</v>
      </c>
      <c r="R499" t="s">
        <v>74</v>
      </c>
      <c r="S499" t="s">
        <v>74</v>
      </c>
      <c r="T499" t="s">
        <v>9325</v>
      </c>
      <c r="U499" t="s">
        <v>9326</v>
      </c>
      <c r="V499" t="s">
        <v>9327</v>
      </c>
      <c r="W499" t="s">
        <v>9328</v>
      </c>
      <c r="X499" t="s">
        <v>9329</v>
      </c>
      <c r="Y499" t="s">
        <v>9330</v>
      </c>
      <c r="Z499" t="s">
        <v>9331</v>
      </c>
      <c r="AA499" t="s">
        <v>9332</v>
      </c>
      <c r="AB499" t="s">
        <v>9333</v>
      </c>
      <c r="AC499" t="s">
        <v>74</v>
      </c>
      <c r="AD499" t="s">
        <v>74</v>
      </c>
      <c r="AE499" t="s">
        <v>74</v>
      </c>
      <c r="AF499" t="s">
        <v>74</v>
      </c>
      <c r="AG499">
        <v>86</v>
      </c>
      <c r="AH499">
        <v>13</v>
      </c>
      <c r="AI499">
        <v>15</v>
      </c>
      <c r="AJ499">
        <v>1</v>
      </c>
      <c r="AK499">
        <v>8</v>
      </c>
      <c r="AL499" t="s">
        <v>926</v>
      </c>
      <c r="AM499" t="s">
        <v>508</v>
      </c>
      <c r="AN499" t="s">
        <v>927</v>
      </c>
      <c r="AO499" t="s">
        <v>9334</v>
      </c>
      <c r="AP499" t="s">
        <v>9335</v>
      </c>
      <c r="AQ499" t="s">
        <v>74</v>
      </c>
      <c r="AR499" t="s">
        <v>9336</v>
      </c>
      <c r="AS499" t="s">
        <v>9337</v>
      </c>
      <c r="AT499" t="s">
        <v>9338</v>
      </c>
      <c r="AU499">
        <v>2011</v>
      </c>
      <c r="AV499">
        <v>41</v>
      </c>
      <c r="AW499">
        <v>3</v>
      </c>
      <c r="AX499" t="s">
        <v>74</v>
      </c>
      <c r="AY499" t="s">
        <v>74</v>
      </c>
      <c r="AZ499" t="s">
        <v>74</v>
      </c>
      <c r="BA499" t="s">
        <v>74</v>
      </c>
      <c r="BB499">
        <v>344</v>
      </c>
      <c r="BC499">
        <v>354</v>
      </c>
      <c r="BD499" t="s">
        <v>74</v>
      </c>
      <c r="BE499" t="s">
        <v>9339</v>
      </c>
      <c r="BF499" t="str">
        <f>HYPERLINK("http://dx.doi.org/10.1016/j.jseaes.2011.02.001","http://dx.doi.org/10.1016/j.jseaes.2011.02.001")</f>
        <v>http://dx.doi.org/10.1016/j.jseaes.2011.02.001</v>
      </c>
      <c r="BG499" t="s">
        <v>74</v>
      </c>
      <c r="BH499" t="s">
        <v>74</v>
      </c>
      <c r="BI499">
        <v>11</v>
      </c>
      <c r="BJ499" t="s">
        <v>130</v>
      </c>
      <c r="BK499" t="s">
        <v>100</v>
      </c>
      <c r="BL499" t="s">
        <v>131</v>
      </c>
      <c r="BM499" t="s">
        <v>9340</v>
      </c>
      <c r="BN499" t="s">
        <v>74</v>
      </c>
      <c r="BO499" t="s">
        <v>74</v>
      </c>
      <c r="BP499" t="s">
        <v>74</v>
      </c>
      <c r="BQ499" t="s">
        <v>74</v>
      </c>
      <c r="BR499" t="s">
        <v>103</v>
      </c>
      <c r="BS499" t="s">
        <v>9341</v>
      </c>
      <c r="BT499" t="str">
        <f>HYPERLINK("https%3A%2F%2Fwww.webofscience.com%2Fwos%2Fwoscc%2Ffull-record%2FWOS:000291291200011","View Full Record in Web of Science")</f>
        <v>View Full Record in Web of Science</v>
      </c>
    </row>
    <row r="500" spans="1:72" x14ac:dyDescent="0.15">
      <c r="A500" t="s">
        <v>72</v>
      </c>
      <c r="B500" t="s">
        <v>9342</v>
      </c>
      <c r="C500" t="s">
        <v>74</v>
      </c>
      <c r="D500" t="s">
        <v>74</v>
      </c>
      <c r="E500" t="s">
        <v>74</v>
      </c>
      <c r="F500" t="s">
        <v>9343</v>
      </c>
      <c r="G500" t="s">
        <v>74</v>
      </c>
      <c r="H500" t="s">
        <v>74</v>
      </c>
      <c r="I500" t="s">
        <v>9344</v>
      </c>
      <c r="J500" t="s">
        <v>108</v>
      </c>
      <c r="K500" t="s">
        <v>74</v>
      </c>
      <c r="L500" t="s">
        <v>74</v>
      </c>
      <c r="M500" t="s">
        <v>78</v>
      </c>
      <c r="N500" t="s">
        <v>79</v>
      </c>
      <c r="O500" t="s">
        <v>74</v>
      </c>
      <c r="P500" t="s">
        <v>74</v>
      </c>
      <c r="Q500" t="s">
        <v>74</v>
      </c>
      <c r="R500" t="s">
        <v>74</v>
      </c>
      <c r="S500" t="s">
        <v>74</v>
      </c>
      <c r="T500" t="s">
        <v>74</v>
      </c>
      <c r="U500" t="s">
        <v>9345</v>
      </c>
      <c r="V500" t="s">
        <v>9346</v>
      </c>
      <c r="W500" t="s">
        <v>9347</v>
      </c>
      <c r="X500" t="s">
        <v>9348</v>
      </c>
      <c r="Y500" t="s">
        <v>2438</v>
      </c>
      <c r="Z500" t="s">
        <v>2439</v>
      </c>
      <c r="AA500" t="s">
        <v>9349</v>
      </c>
      <c r="AB500" t="s">
        <v>9350</v>
      </c>
      <c r="AC500" t="s">
        <v>2441</v>
      </c>
      <c r="AD500" t="s">
        <v>2067</v>
      </c>
      <c r="AE500" t="s">
        <v>74</v>
      </c>
      <c r="AF500" t="s">
        <v>74</v>
      </c>
      <c r="AG500">
        <v>18</v>
      </c>
      <c r="AH500">
        <v>68</v>
      </c>
      <c r="AI500">
        <v>77</v>
      </c>
      <c r="AJ500">
        <v>1</v>
      </c>
      <c r="AK500">
        <v>16</v>
      </c>
      <c r="AL500" t="s">
        <v>120</v>
      </c>
      <c r="AM500" t="s">
        <v>121</v>
      </c>
      <c r="AN500" t="s">
        <v>122</v>
      </c>
      <c r="AO500" t="s">
        <v>123</v>
      </c>
      <c r="AP500" t="s">
        <v>74</v>
      </c>
      <c r="AQ500" t="s">
        <v>74</v>
      </c>
      <c r="AR500" t="s">
        <v>125</v>
      </c>
      <c r="AS500" t="s">
        <v>126</v>
      </c>
      <c r="AT500" t="s">
        <v>9338</v>
      </c>
      <c r="AU500">
        <v>2011</v>
      </c>
      <c r="AV500">
        <v>38</v>
      </c>
      <c r="AW500" t="s">
        <v>74</v>
      </c>
      <c r="AX500" t="s">
        <v>74</v>
      </c>
      <c r="AY500" t="s">
        <v>74</v>
      </c>
      <c r="AZ500" t="s">
        <v>74</v>
      </c>
      <c r="BA500" t="s">
        <v>74</v>
      </c>
      <c r="BB500" t="s">
        <v>74</v>
      </c>
      <c r="BC500" t="s">
        <v>74</v>
      </c>
      <c r="BD500" t="s">
        <v>9351</v>
      </c>
      <c r="BE500" t="s">
        <v>9352</v>
      </c>
      <c r="BF500" t="str">
        <f>HYPERLINK("http://dx.doi.org/10.1029/2011GL047245","http://dx.doi.org/10.1029/2011GL047245")</f>
        <v>http://dx.doi.org/10.1029/2011GL047245</v>
      </c>
      <c r="BG500" t="s">
        <v>74</v>
      </c>
      <c r="BH500" t="s">
        <v>74</v>
      </c>
      <c r="BI500">
        <v>6</v>
      </c>
      <c r="BJ500" t="s">
        <v>130</v>
      </c>
      <c r="BK500" t="s">
        <v>100</v>
      </c>
      <c r="BL500" t="s">
        <v>131</v>
      </c>
      <c r="BM500" t="s">
        <v>9353</v>
      </c>
      <c r="BN500" t="s">
        <v>74</v>
      </c>
      <c r="BO500" t="s">
        <v>9354</v>
      </c>
      <c r="BP500" t="s">
        <v>74</v>
      </c>
      <c r="BQ500" t="s">
        <v>74</v>
      </c>
      <c r="BR500" t="s">
        <v>103</v>
      </c>
      <c r="BS500" t="s">
        <v>9355</v>
      </c>
      <c r="BT500" t="str">
        <f>HYPERLINK("https%3A%2F%2Fwww.webofscience.com%2Fwos%2Fwoscc%2Ffull-record%2FWOS:000291101600003","View Full Record in Web of Science")</f>
        <v>View Full Record in Web of Science</v>
      </c>
    </row>
    <row r="501" spans="1:72" x14ac:dyDescent="0.15">
      <c r="A501" t="s">
        <v>72</v>
      </c>
      <c r="B501" t="s">
        <v>9356</v>
      </c>
      <c r="C501" t="s">
        <v>74</v>
      </c>
      <c r="D501" t="s">
        <v>74</v>
      </c>
      <c r="E501" t="s">
        <v>74</v>
      </c>
      <c r="F501" t="s">
        <v>9357</v>
      </c>
      <c r="G501" t="s">
        <v>74</v>
      </c>
      <c r="H501" t="s">
        <v>74</v>
      </c>
      <c r="I501" t="s">
        <v>9358</v>
      </c>
      <c r="J501" t="s">
        <v>157</v>
      </c>
      <c r="K501" t="s">
        <v>74</v>
      </c>
      <c r="L501" t="s">
        <v>74</v>
      </c>
      <c r="M501" t="s">
        <v>78</v>
      </c>
      <c r="N501" t="s">
        <v>79</v>
      </c>
      <c r="O501" t="s">
        <v>74</v>
      </c>
      <c r="P501" t="s">
        <v>74</v>
      </c>
      <c r="Q501" t="s">
        <v>74</v>
      </c>
      <c r="R501" t="s">
        <v>74</v>
      </c>
      <c r="S501" t="s">
        <v>74</v>
      </c>
      <c r="T501" t="s">
        <v>74</v>
      </c>
      <c r="U501" t="s">
        <v>9359</v>
      </c>
      <c r="V501" t="s">
        <v>9360</v>
      </c>
      <c r="W501" t="s">
        <v>9361</v>
      </c>
      <c r="X501" t="s">
        <v>2015</v>
      </c>
      <c r="Y501" t="s">
        <v>9362</v>
      </c>
      <c r="Z501" t="s">
        <v>9363</v>
      </c>
      <c r="AA501" t="s">
        <v>5914</v>
      </c>
      <c r="AB501" t="s">
        <v>9364</v>
      </c>
      <c r="AC501" t="s">
        <v>9365</v>
      </c>
      <c r="AD501" t="s">
        <v>9366</v>
      </c>
      <c r="AE501" t="s">
        <v>9367</v>
      </c>
      <c r="AF501" t="s">
        <v>74</v>
      </c>
      <c r="AG501">
        <v>74</v>
      </c>
      <c r="AH501">
        <v>57</v>
      </c>
      <c r="AI501">
        <v>60</v>
      </c>
      <c r="AJ501">
        <v>0</v>
      </c>
      <c r="AK501">
        <v>46</v>
      </c>
      <c r="AL501" t="s">
        <v>169</v>
      </c>
      <c r="AM501" t="s">
        <v>170</v>
      </c>
      <c r="AN501" t="s">
        <v>171</v>
      </c>
      <c r="AO501" t="s">
        <v>172</v>
      </c>
      <c r="AP501" t="s">
        <v>74</v>
      </c>
      <c r="AQ501" t="s">
        <v>74</v>
      </c>
      <c r="AR501" t="s">
        <v>157</v>
      </c>
      <c r="AS501" t="s">
        <v>173</v>
      </c>
      <c r="AT501" t="s">
        <v>9338</v>
      </c>
      <c r="AU501">
        <v>2011</v>
      </c>
      <c r="AV501">
        <v>6</v>
      </c>
      <c r="AW501">
        <v>5</v>
      </c>
      <c r="AX501" t="s">
        <v>74</v>
      </c>
      <c r="AY501" t="s">
        <v>74</v>
      </c>
      <c r="AZ501" t="s">
        <v>74</v>
      </c>
      <c r="BA501" t="s">
        <v>74</v>
      </c>
      <c r="BB501" t="s">
        <v>74</v>
      </c>
      <c r="BC501" t="s">
        <v>74</v>
      </c>
      <c r="BD501" t="s">
        <v>9368</v>
      </c>
      <c r="BE501" t="s">
        <v>9369</v>
      </c>
      <c r="BF501" t="str">
        <f>HYPERLINK("http://dx.doi.org/10.1371/journal.pone.0019795","http://dx.doi.org/10.1371/journal.pone.0019795")</f>
        <v>http://dx.doi.org/10.1371/journal.pone.0019795</v>
      </c>
      <c r="BG501" t="s">
        <v>74</v>
      </c>
      <c r="BH501" t="s">
        <v>74</v>
      </c>
      <c r="BI501">
        <v>16</v>
      </c>
      <c r="BJ501" t="s">
        <v>177</v>
      </c>
      <c r="BK501" t="s">
        <v>100</v>
      </c>
      <c r="BL501" t="s">
        <v>178</v>
      </c>
      <c r="BM501" t="s">
        <v>9370</v>
      </c>
      <c r="BN501">
        <v>21647236</v>
      </c>
      <c r="BO501" t="s">
        <v>9371</v>
      </c>
      <c r="BP501" t="s">
        <v>74</v>
      </c>
      <c r="BQ501" t="s">
        <v>74</v>
      </c>
      <c r="BR501" t="s">
        <v>103</v>
      </c>
      <c r="BS501" t="s">
        <v>9372</v>
      </c>
      <c r="BT501" t="str">
        <f>HYPERLINK("https%3A%2F%2Fwww.webofscience.com%2Fwos%2Fwoscc%2Ffull-record%2FWOS:000291006500008","View Full Record in Web of Science")</f>
        <v>View Full Record in Web of Science</v>
      </c>
    </row>
    <row r="502" spans="1:72" x14ac:dyDescent="0.15">
      <c r="A502" t="s">
        <v>72</v>
      </c>
      <c r="B502" t="s">
        <v>9373</v>
      </c>
      <c r="C502" t="s">
        <v>74</v>
      </c>
      <c r="D502" t="s">
        <v>74</v>
      </c>
      <c r="E502" t="s">
        <v>74</v>
      </c>
      <c r="F502" t="s">
        <v>9374</v>
      </c>
      <c r="G502" t="s">
        <v>74</v>
      </c>
      <c r="H502" t="s">
        <v>74</v>
      </c>
      <c r="I502" t="s">
        <v>9375</v>
      </c>
      <c r="J502" t="s">
        <v>108</v>
      </c>
      <c r="K502" t="s">
        <v>74</v>
      </c>
      <c r="L502" t="s">
        <v>74</v>
      </c>
      <c r="M502" t="s">
        <v>78</v>
      </c>
      <c r="N502" t="s">
        <v>79</v>
      </c>
      <c r="O502" t="s">
        <v>74</v>
      </c>
      <c r="P502" t="s">
        <v>74</v>
      </c>
      <c r="Q502" t="s">
        <v>74</v>
      </c>
      <c r="R502" t="s">
        <v>74</v>
      </c>
      <c r="S502" t="s">
        <v>74</v>
      </c>
      <c r="T502" t="s">
        <v>74</v>
      </c>
      <c r="U502" t="s">
        <v>9376</v>
      </c>
      <c r="V502" t="s">
        <v>9377</v>
      </c>
      <c r="W502" t="s">
        <v>9378</v>
      </c>
      <c r="X502" t="s">
        <v>9379</v>
      </c>
      <c r="Y502" t="s">
        <v>9380</v>
      </c>
      <c r="Z502" t="s">
        <v>9381</v>
      </c>
      <c r="AA502" t="s">
        <v>74</v>
      </c>
      <c r="AB502" t="s">
        <v>74</v>
      </c>
      <c r="AC502" t="s">
        <v>9382</v>
      </c>
      <c r="AD502" t="s">
        <v>9383</v>
      </c>
      <c r="AE502" t="s">
        <v>9384</v>
      </c>
      <c r="AF502" t="s">
        <v>74</v>
      </c>
      <c r="AG502">
        <v>21</v>
      </c>
      <c r="AH502">
        <v>37</v>
      </c>
      <c r="AI502">
        <v>42</v>
      </c>
      <c r="AJ502">
        <v>0</v>
      </c>
      <c r="AK502">
        <v>11</v>
      </c>
      <c r="AL502" t="s">
        <v>120</v>
      </c>
      <c r="AM502" t="s">
        <v>121</v>
      </c>
      <c r="AN502" t="s">
        <v>122</v>
      </c>
      <c r="AO502" t="s">
        <v>123</v>
      </c>
      <c r="AP502" t="s">
        <v>74</v>
      </c>
      <c r="AQ502" t="s">
        <v>74</v>
      </c>
      <c r="AR502" t="s">
        <v>125</v>
      </c>
      <c r="AS502" t="s">
        <v>126</v>
      </c>
      <c r="AT502" t="s">
        <v>9385</v>
      </c>
      <c r="AU502">
        <v>2011</v>
      </c>
      <c r="AV502">
        <v>38</v>
      </c>
      <c r="AW502" t="s">
        <v>74</v>
      </c>
      <c r="AX502" t="s">
        <v>74</v>
      </c>
      <c r="AY502" t="s">
        <v>74</v>
      </c>
      <c r="AZ502" t="s">
        <v>74</v>
      </c>
      <c r="BA502" t="s">
        <v>74</v>
      </c>
      <c r="BB502" t="s">
        <v>74</v>
      </c>
      <c r="BC502" t="s">
        <v>74</v>
      </c>
      <c r="BD502" t="s">
        <v>9386</v>
      </c>
      <c r="BE502" t="s">
        <v>9387</v>
      </c>
      <c r="BF502" t="str">
        <f>HYPERLINK("http://dx.doi.org/10.1029/2011GL047304","http://dx.doi.org/10.1029/2011GL047304")</f>
        <v>http://dx.doi.org/10.1029/2011GL047304</v>
      </c>
      <c r="BG502" t="s">
        <v>74</v>
      </c>
      <c r="BH502" t="s">
        <v>74</v>
      </c>
      <c r="BI502">
        <v>6</v>
      </c>
      <c r="BJ502" t="s">
        <v>130</v>
      </c>
      <c r="BK502" t="s">
        <v>100</v>
      </c>
      <c r="BL502" t="s">
        <v>131</v>
      </c>
      <c r="BM502" t="s">
        <v>9388</v>
      </c>
      <c r="BN502" t="s">
        <v>74</v>
      </c>
      <c r="BO502" t="s">
        <v>74</v>
      </c>
      <c r="BP502" t="s">
        <v>74</v>
      </c>
      <c r="BQ502" t="s">
        <v>74</v>
      </c>
      <c r="BR502" t="s">
        <v>103</v>
      </c>
      <c r="BS502" t="s">
        <v>9389</v>
      </c>
      <c r="BT502" t="str">
        <f>HYPERLINK("https%3A%2F%2Fwww.webofscience.com%2Fwos%2Fwoscc%2Ffull-record%2FWOS:000291101400003","View Full Record in Web of Science")</f>
        <v>View Full Record in Web of Science</v>
      </c>
    </row>
    <row r="503" spans="1:72" x14ac:dyDescent="0.15">
      <c r="A503" t="s">
        <v>72</v>
      </c>
      <c r="B503" t="s">
        <v>9390</v>
      </c>
      <c r="C503" t="s">
        <v>74</v>
      </c>
      <c r="D503" t="s">
        <v>74</v>
      </c>
      <c r="E503" t="s">
        <v>74</v>
      </c>
      <c r="F503" t="s">
        <v>9391</v>
      </c>
      <c r="G503" t="s">
        <v>74</v>
      </c>
      <c r="H503" t="s">
        <v>74</v>
      </c>
      <c r="I503" t="s">
        <v>9392</v>
      </c>
      <c r="J503" t="s">
        <v>9393</v>
      </c>
      <c r="K503" t="s">
        <v>74</v>
      </c>
      <c r="L503" t="s">
        <v>74</v>
      </c>
      <c r="M503" t="s">
        <v>78</v>
      </c>
      <c r="N503" t="s">
        <v>79</v>
      </c>
      <c r="O503" t="s">
        <v>74</v>
      </c>
      <c r="P503" t="s">
        <v>74</v>
      </c>
      <c r="Q503" t="s">
        <v>74</v>
      </c>
      <c r="R503" t="s">
        <v>74</v>
      </c>
      <c r="S503" t="s">
        <v>74</v>
      </c>
      <c r="T503" t="s">
        <v>9394</v>
      </c>
      <c r="U503" t="s">
        <v>9395</v>
      </c>
      <c r="V503" t="s">
        <v>9396</v>
      </c>
      <c r="W503" t="s">
        <v>9397</v>
      </c>
      <c r="X503" t="s">
        <v>9398</v>
      </c>
      <c r="Y503" t="s">
        <v>8522</v>
      </c>
      <c r="Z503" t="s">
        <v>9399</v>
      </c>
      <c r="AA503" t="s">
        <v>9400</v>
      </c>
      <c r="AB503" t="s">
        <v>9401</v>
      </c>
      <c r="AC503" t="s">
        <v>9402</v>
      </c>
      <c r="AD503" t="s">
        <v>9403</v>
      </c>
      <c r="AE503" t="s">
        <v>9404</v>
      </c>
      <c r="AF503" t="s">
        <v>74</v>
      </c>
      <c r="AG503">
        <v>84</v>
      </c>
      <c r="AH503">
        <v>18</v>
      </c>
      <c r="AI503">
        <v>19</v>
      </c>
      <c r="AJ503">
        <v>1</v>
      </c>
      <c r="AK503">
        <v>44</v>
      </c>
      <c r="AL503" t="s">
        <v>308</v>
      </c>
      <c r="AM503" t="s">
        <v>309</v>
      </c>
      <c r="AN503" t="s">
        <v>310</v>
      </c>
      <c r="AO503" t="s">
        <v>9405</v>
      </c>
      <c r="AP503" t="s">
        <v>9406</v>
      </c>
      <c r="AQ503" t="s">
        <v>74</v>
      </c>
      <c r="AR503" t="s">
        <v>9407</v>
      </c>
      <c r="AS503" t="s">
        <v>9408</v>
      </c>
      <c r="AT503" t="s">
        <v>9385</v>
      </c>
      <c r="AU503">
        <v>2011</v>
      </c>
      <c r="AV503">
        <v>222</v>
      </c>
      <c r="AW503">
        <v>10</v>
      </c>
      <c r="AX503" t="s">
        <v>74</v>
      </c>
      <c r="AY503" t="s">
        <v>74</v>
      </c>
      <c r="AZ503" t="s">
        <v>74</v>
      </c>
      <c r="BA503" t="s">
        <v>74</v>
      </c>
      <c r="BB503">
        <v>1756</v>
      </c>
      <c r="BC503">
        <v>1770</v>
      </c>
      <c r="BD503" t="s">
        <v>74</v>
      </c>
      <c r="BE503" t="s">
        <v>9409</v>
      </c>
      <c r="BF503" t="str">
        <f>HYPERLINK("http://dx.doi.org/10.1016/j.ecolmodel.2011.03.008","http://dx.doi.org/10.1016/j.ecolmodel.2011.03.008")</f>
        <v>http://dx.doi.org/10.1016/j.ecolmodel.2011.03.008</v>
      </c>
      <c r="BG503" t="s">
        <v>74</v>
      </c>
      <c r="BH503" t="s">
        <v>74</v>
      </c>
      <c r="BI503">
        <v>15</v>
      </c>
      <c r="BJ503" t="s">
        <v>5191</v>
      </c>
      <c r="BK503" t="s">
        <v>100</v>
      </c>
      <c r="BL503" t="s">
        <v>5193</v>
      </c>
      <c r="BM503" t="s">
        <v>9410</v>
      </c>
      <c r="BN503" t="s">
        <v>74</v>
      </c>
      <c r="BO503" t="s">
        <v>74</v>
      </c>
      <c r="BP503" t="s">
        <v>74</v>
      </c>
      <c r="BQ503" t="s">
        <v>74</v>
      </c>
      <c r="BR503" t="s">
        <v>103</v>
      </c>
      <c r="BS503" t="s">
        <v>9411</v>
      </c>
      <c r="BT503" t="str">
        <f>HYPERLINK("https%3A%2F%2Fwww.webofscience.com%2Fwos%2Fwoscc%2Ffull-record%2FWOS:000290920500009","View Full Record in Web of Science")</f>
        <v>View Full Record in Web of Science</v>
      </c>
    </row>
    <row r="504" spans="1:72" x14ac:dyDescent="0.15">
      <c r="A504" t="s">
        <v>72</v>
      </c>
      <c r="B504" t="s">
        <v>9412</v>
      </c>
      <c r="C504" t="s">
        <v>74</v>
      </c>
      <c r="D504" t="s">
        <v>74</v>
      </c>
      <c r="E504" t="s">
        <v>74</v>
      </c>
      <c r="F504" t="s">
        <v>9413</v>
      </c>
      <c r="G504" t="s">
        <v>74</v>
      </c>
      <c r="H504" t="s">
        <v>74</v>
      </c>
      <c r="I504" t="s">
        <v>9414</v>
      </c>
      <c r="J504" t="s">
        <v>3741</v>
      </c>
      <c r="K504" t="s">
        <v>74</v>
      </c>
      <c r="L504" t="s">
        <v>74</v>
      </c>
      <c r="M504" t="s">
        <v>78</v>
      </c>
      <c r="N504" t="s">
        <v>79</v>
      </c>
      <c r="O504" t="s">
        <v>74</v>
      </c>
      <c r="P504" t="s">
        <v>74</v>
      </c>
      <c r="Q504" t="s">
        <v>74</v>
      </c>
      <c r="R504" t="s">
        <v>74</v>
      </c>
      <c r="S504" t="s">
        <v>74</v>
      </c>
      <c r="T504" t="s">
        <v>9415</v>
      </c>
      <c r="U504" t="s">
        <v>9416</v>
      </c>
      <c r="V504" t="s">
        <v>9417</v>
      </c>
      <c r="W504" t="s">
        <v>9418</v>
      </c>
      <c r="X504" t="s">
        <v>9419</v>
      </c>
      <c r="Y504" t="s">
        <v>9420</v>
      </c>
      <c r="Z504" t="s">
        <v>9421</v>
      </c>
      <c r="AA504" t="s">
        <v>9422</v>
      </c>
      <c r="AB504" t="s">
        <v>9423</v>
      </c>
      <c r="AC504" t="s">
        <v>9424</v>
      </c>
      <c r="AD504" t="s">
        <v>9425</v>
      </c>
      <c r="AE504" t="s">
        <v>9426</v>
      </c>
      <c r="AF504" t="s">
        <v>74</v>
      </c>
      <c r="AG504">
        <v>56</v>
      </c>
      <c r="AH504">
        <v>90</v>
      </c>
      <c r="AI504">
        <v>97</v>
      </c>
      <c r="AJ504">
        <v>0</v>
      </c>
      <c r="AK504">
        <v>60</v>
      </c>
      <c r="AL504" t="s">
        <v>3754</v>
      </c>
      <c r="AM504" t="s">
        <v>121</v>
      </c>
      <c r="AN504" t="s">
        <v>3755</v>
      </c>
      <c r="AO504" t="s">
        <v>3756</v>
      </c>
      <c r="AP504" t="s">
        <v>74</v>
      </c>
      <c r="AQ504" t="s">
        <v>74</v>
      </c>
      <c r="AR504" t="s">
        <v>3757</v>
      </c>
      <c r="AS504" t="s">
        <v>3758</v>
      </c>
      <c r="AT504" t="s">
        <v>9385</v>
      </c>
      <c r="AU504">
        <v>2011</v>
      </c>
      <c r="AV504">
        <v>108</v>
      </c>
      <c r="AW504">
        <v>21</v>
      </c>
      <c r="AX504" t="s">
        <v>74</v>
      </c>
      <c r="AY504" t="s">
        <v>74</v>
      </c>
      <c r="AZ504" t="s">
        <v>74</v>
      </c>
      <c r="BA504" t="s">
        <v>74</v>
      </c>
      <c r="BB504">
        <v>8708</v>
      </c>
      <c r="BC504">
        <v>8713</v>
      </c>
      <c r="BD504" t="s">
        <v>74</v>
      </c>
      <c r="BE504" t="s">
        <v>9427</v>
      </c>
      <c r="BF504" t="str">
        <f>HYPERLINK("http://dx.doi.org/10.1073/pnas.1014044108","http://dx.doi.org/10.1073/pnas.1014044108")</f>
        <v>http://dx.doi.org/10.1073/pnas.1014044108</v>
      </c>
      <c r="BG504" t="s">
        <v>74</v>
      </c>
      <c r="BH504" t="s">
        <v>74</v>
      </c>
      <c r="BI504">
        <v>6</v>
      </c>
      <c r="BJ504" t="s">
        <v>177</v>
      </c>
      <c r="BK504" t="s">
        <v>100</v>
      </c>
      <c r="BL504" t="s">
        <v>178</v>
      </c>
      <c r="BM504" t="s">
        <v>9428</v>
      </c>
      <c r="BN504">
        <v>21558442</v>
      </c>
      <c r="BO504" t="s">
        <v>6467</v>
      </c>
      <c r="BP504" t="s">
        <v>74</v>
      </c>
      <c r="BQ504" t="s">
        <v>74</v>
      </c>
      <c r="BR504" t="s">
        <v>103</v>
      </c>
      <c r="BS504" t="s">
        <v>9429</v>
      </c>
      <c r="BT504" t="str">
        <f>HYPERLINK("https%3A%2F%2Fwww.webofscience.com%2Fwos%2Fwoscc%2Ffull-record%2FWOS:000290908000041","View Full Record in Web of Science")</f>
        <v>View Full Record in Web of Science</v>
      </c>
    </row>
    <row r="505" spans="1:72" x14ac:dyDescent="0.15">
      <c r="A505" t="s">
        <v>72</v>
      </c>
      <c r="B505" t="s">
        <v>9430</v>
      </c>
      <c r="C505" t="s">
        <v>74</v>
      </c>
      <c r="D505" t="s">
        <v>74</v>
      </c>
      <c r="E505" t="s">
        <v>74</v>
      </c>
      <c r="F505" t="s">
        <v>9431</v>
      </c>
      <c r="G505" t="s">
        <v>74</v>
      </c>
      <c r="H505" t="s">
        <v>74</v>
      </c>
      <c r="I505" t="s">
        <v>9432</v>
      </c>
      <c r="J505" t="s">
        <v>296</v>
      </c>
      <c r="K505" t="s">
        <v>74</v>
      </c>
      <c r="L505" t="s">
        <v>74</v>
      </c>
      <c r="M505" t="s">
        <v>78</v>
      </c>
      <c r="N505" t="s">
        <v>79</v>
      </c>
      <c r="O505" t="s">
        <v>74</v>
      </c>
      <c r="P505" t="s">
        <v>74</v>
      </c>
      <c r="Q505" t="s">
        <v>74</v>
      </c>
      <c r="R505" t="s">
        <v>74</v>
      </c>
      <c r="S505" t="s">
        <v>74</v>
      </c>
      <c r="T505" t="s">
        <v>9433</v>
      </c>
      <c r="U505" t="s">
        <v>9434</v>
      </c>
      <c r="V505" t="s">
        <v>9435</v>
      </c>
      <c r="W505" t="s">
        <v>9436</v>
      </c>
      <c r="X505" t="s">
        <v>9437</v>
      </c>
      <c r="Y505" t="s">
        <v>9438</v>
      </c>
      <c r="Z505" t="s">
        <v>3163</v>
      </c>
      <c r="AA505" t="s">
        <v>9439</v>
      </c>
      <c r="AB505" t="s">
        <v>74</v>
      </c>
      <c r="AC505" t="s">
        <v>9440</v>
      </c>
      <c r="AD505" t="s">
        <v>9440</v>
      </c>
      <c r="AE505" t="s">
        <v>9441</v>
      </c>
      <c r="AF505" t="s">
        <v>74</v>
      </c>
      <c r="AG505">
        <v>53</v>
      </c>
      <c r="AH505">
        <v>24</v>
      </c>
      <c r="AI505">
        <v>33</v>
      </c>
      <c r="AJ505">
        <v>0</v>
      </c>
      <c r="AK505">
        <v>54</v>
      </c>
      <c r="AL505" t="s">
        <v>308</v>
      </c>
      <c r="AM505" t="s">
        <v>309</v>
      </c>
      <c r="AN505" t="s">
        <v>310</v>
      </c>
      <c r="AO505" t="s">
        <v>311</v>
      </c>
      <c r="AP505" t="s">
        <v>312</v>
      </c>
      <c r="AQ505" t="s">
        <v>74</v>
      </c>
      <c r="AR505" t="s">
        <v>296</v>
      </c>
      <c r="AS505" t="s">
        <v>313</v>
      </c>
      <c r="AT505" t="s">
        <v>9442</v>
      </c>
      <c r="AU505">
        <v>2011</v>
      </c>
      <c r="AV505">
        <v>315</v>
      </c>
      <c r="AW505" t="s">
        <v>315</v>
      </c>
      <c r="AX505" t="s">
        <v>74</v>
      </c>
      <c r="AY505" t="s">
        <v>74</v>
      </c>
      <c r="AZ505" t="s">
        <v>74</v>
      </c>
      <c r="BA505" t="s">
        <v>74</v>
      </c>
      <c r="BB505">
        <v>275</v>
      </c>
      <c r="BC505">
        <v>282</v>
      </c>
      <c r="BD505" t="s">
        <v>74</v>
      </c>
      <c r="BE505" t="s">
        <v>9443</v>
      </c>
      <c r="BF505" t="str">
        <f>HYPERLINK("http://dx.doi.org/10.1016/j.aquaculture.2011.02.038","http://dx.doi.org/10.1016/j.aquaculture.2011.02.038")</f>
        <v>http://dx.doi.org/10.1016/j.aquaculture.2011.02.038</v>
      </c>
      <c r="BG505" t="s">
        <v>74</v>
      </c>
      <c r="BH505" t="s">
        <v>74</v>
      </c>
      <c r="BI505">
        <v>8</v>
      </c>
      <c r="BJ505" t="s">
        <v>317</v>
      </c>
      <c r="BK505" t="s">
        <v>100</v>
      </c>
      <c r="BL505" t="s">
        <v>317</v>
      </c>
      <c r="BM505" t="s">
        <v>9444</v>
      </c>
      <c r="BN505" t="s">
        <v>74</v>
      </c>
      <c r="BO505" t="s">
        <v>74</v>
      </c>
      <c r="BP505" t="s">
        <v>74</v>
      </c>
      <c r="BQ505" t="s">
        <v>74</v>
      </c>
      <c r="BR505" t="s">
        <v>103</v>
      </c>
      <c r="BS505" t="s">
        <v>9445</v>
      </c>
      <c r="BT505" t="str">
        <f>HYPERLINK("https%3A%2F%2Fwww.webofscience.com%2Fwos%2Fwoscc%2Ffull-record%2FWOS:000290930500015","View Full Record in Web of Science")</f>
        <v>View Full Record in Web of Science</v>
      </c>
    </row>
    <row r="506" spans="1:72" x14ac:dyDescent="0.15">
      <c r="A506" t="s">
        <v>72</v>
      </c>
      <c r="B506" t="s">
        <v>9446</v>
      </c>
      <c r="C506" t="s">
        <v>74</v>
      </c>
      <c r="D506" t="s">
        <v>74</v>
      </c>
      <c r="E506" t="s">
        <v>74</v>
      </c>
      <c r="F506" t="s">
        <v>9447</v>
      </c>
      <c r="G506" t="s">
        <v>74</v>
      </c>
      <c r="H506" t="s">
        <v>74</v>
      </c>
      <c r="I506" t="s">
        <v>9448</v>
      </c>
      <c r="J506" t="s">
        <v>521</v>
      </c>
      <c r="K506" t="s">
        <v>74</v>
      </c>
      <c r="L506" t="s">
        <v>74</v>
      </c>
      <c r="M506" t="s">
        <v>78</v>
      </c>
      <c r="N506" t="s">
        <v>79</v>
      </c>
      <c r="O506" t="s">
        <v>74</v>
      </c>
      <c r="P506" t="s">
        <v>74</v>
      </c>
      <c r="Q506" t="s">
        <v>74</v>
      </c>
      <c r="R506" t="s">
        <v>74</v>
      </c>
      <c r="S506" t="s">
        <v>74</v>
      </c>
      <c r="T506" t="s">
        <v>74</v>
      </c>
      <c r="U506" t="s">
        <v>9449</v>
      </c>
      <c r="V506" t="s">
        <v>9450</v>
      </c>
      <c r="W506" t="s">
        <v>9451</v>
      </c>
      <c r="X506" t="s">
        <v>3508</v>
      </c>
      <c r="Y506" t="s">
        <v>9452</v>
      </c>
      <c r="Z506" t="s">
        <v>9453</v>
      </c>
      <c r="AA506" t="s">
        <v>9454</v>
      </c>
      <c r="AB506" t="s">
        <v>9455</v>
      </c>
      <c r="AC506" t="s">
        <v>9456</v>
      </c>
      <c r="AD506" t="s">
        <v>1152</v>
      </c>
      <c r="AE506" t="s">
        <v>9457</v>
      </c>
      <c r="AF506" t="s">
        <v>74</v>
      </c>
      <c r="AG506">
        <v>62</v>
      </c>
      <c r="AH506">
        <v>15</v>
      </c>
      <c r="AI506">
        <v>15</v>
      </c>
      <c r="AJ506">
        <v>0</v>
      </c>
      <c r="AK506">
        <v>9</v>
      </c>
      <c r="AL506" t="s">
        <v>120</v>
      </c>
      <c r="AM506" t="s">
        <v>121</v>
      </c>
      <c r="AN506" t="s">
        <v>122</v>
      </c>
      <c r="AO506" t="s">
        <v>531</v>
      </c>
      <c r="AP506" t="s">
        <v>571</v>
      </c>
      <c r="AQ506" t="s">
        <v>74</v>
      </c>
      <c r="AR506" t="s">
        <v>521</v>
      </c>
      <c r="AS506" t="s">
        <v>532</v>
      </c>
      <c r="AT506" t="s">
        <v>9442</v>
      </c>
      <c r="AU506">
        <v>2011</v>
      </c>
      <c r="AV506">
        <v>26</v>
      </c>
      <c r="AW506" t="s">
        <v>74</v>
      </c>
      <c r="AX506" t="s">
        <v>74</v>
      </c>
      <c r="AY506" t="s">
        <v>74</v>
      </c>
      <c r="AZ506" t="s">
        <v>74</v>
      </c>
      <c r="BA506" t="s">
        <v>74</v>
      </c>
      <c r="BB506" t="s">
        <v>74</v>
      </c>
      <c r="BC506" t="s">
        <v>74</v>
      </c>
      <c r="BD506" t="s">
        <v>9458</v>
      </c>
      <c r="BE506" t="s">
        <v>9459</v>
      </c>
      <c r="BF506" t="str">
        <f>HYPERLINK("http://dx.doi.org/10.1029/2010PA002015","http://dx.doi.org/10.1029/2010PA002015")</f>
        <v>http://dx.doi.org/10.1029/2010PA002015</v>
      </c>
      <c r="BG506" t="s">
        <v>74</v>
      </c>
      <c r="BH506" t="s">
        <v>74</v>
      </c>
      <c r="BI506">
        <v>14</v>
      </c>
      <c r="BJ506" t="s">
        <v>535</v>
      </c>
      <c r="BK506" t="s">
        <v>100</v>
      </c>
      <c r="BL506" t="s">
        <v>536</v>
      </c>
      <c r="BM506" t="s">
        <v>9460</v>
      </c>
      <c r="BN506" t="s">
        <v>74</v>
      </c>
      <c r="BO506" t="s">
        <v>594</v>
      </c>
      <c r="BP506" t="s">
        <v>74</v>
      </c>
      <c r="BQ506" t="s">
        <v>74</v>
      </c>
      <c r="BR506" t="s">
        <v>103</v>
      </c>
      <c r="BS506" t="s">
        <v>9461</v>
      </c>
      <c r="BT506" t="str">
        <f>HYPERLINK("https%3A%2F%2Fwww.webofscience.com%2Fwos%2Fwoscc%2Ffull-record%2FWOS:000290909200001","View Full Record in Web of Science")</f>
        <v>View Full Record in Web of Science</v>
      </c>
    </row>
    <row r="507" spans="1:72" x14ac:dyDescent="0.15">
      <c r="A507" t="s">
        <v>72</v>
      </c>
      <c r="B507" t="s">
        <v>9462</v>
      </c>
      <c r="C507" t="s">
        <v>74</v>
      </c>
      <c r="D507" t="s">
        <v>74</v>
      </c>
      <c r="E507" t="s">
        <v>74</v>
      </c>
      <c r="F507" t="s">
        <v>9463</v>
      </c>
      <c r="G507" t="s">
        <v>74</v>
      </c>
      <c r="H507" t="s">
        <v>74</v>
      </c>
      <c r="I507" t="s">
        <v>9464</v>
      </c>
      <c r="J507" t="s">
        <v>254</v>
      </c>
      <c r="K507" t="s">
        <v>74</v>
      </c>
      <c r="L507" t="s">
        <v>74</v>
      </c>
      <c r="M507" t="s">
        <v>78</v>
      </c>
      <c r="N507" t="s">
        <v>79</v>
      </c>
      <c r="O507" t="s">
        <v>74</v>
      </c>
      <c r="P507" t="s">
        <v>74</v>
      </c>
      <c r="Q507" t="s">
        <v>74</v>
      </c>
      <c r="R507" t="s">
        <v>74</v>
      </c>
      <c r="S507" t="s">
        <v>74</v>
      </c>
      <c r="T507" t="s">
        <v>74</v>
      </c>
      <c r="U507" t="s">
        <v>9465</v>
      </c>
      <c r="V507" t="s">
        <v>9466</v>
      </c>
      <c r="W507" t="s">
        <v>9467</v>
      </c>
      <c r="X507" t="s">
        <v>9468</v>
      </c>
      <c r="Y507" t="s">
        <v>9469</v>
      </c>
      <c r="Z507" t="s">
        <v>9470</v>
      </c>
      <c r="AA507" t="s">
        <v>9471</v>
      </c>
      <c r="AB507" t="s">
        <v>9472</v>
      </c>
      <c r="AC507" t="s">
        <v>9473</v>
      </c>
      <c r="AD507" t="s">
        <v>9474</v>
      </c>
      <c r="AE507" t="s">
        <v>9475</v>
      </c>
      <c r="AF507" t="s">
        <v>74</v>
      </c>
      <c r="AG507">
        <v>66</v>
      </c>
      <c r="AH507">
        <v>19</v>
      </c>
      <c r="AI507">
        <v>19</v>
      </c>
      <c r="AJ507">
        <v>0</v>
      </c>
      <c r="AK507">
        <v>11</v>
      </c>
      <c r="AL507" t="s">
        <v>120</v>
      </c>
      <c r="AM507" t="s">
        <v>121</v>
      </c>
      <c r="AN507" t="s">
        <v>122</v>
      </c>
      <c r="AO507" t="s">
        <v>265</v>
      </c>
      <c r="AP507" t="s">
        <v>266</v>
      </c>
      <c r="AQ507" t="s">
        <v>74</v>
      </c>
      <c r="AR507" t="s">
        <v>267</v>
      </c>
      <c r="AS507" t="s">
        <v>268</v>
      </c>
      <c r="AT507" t="s">
        <v>9442</v>
      </c>
      <c r="AU507">
        <v>2011</v>
      </c>
      <c r="AV507">
        <v>116</v>
      </c>
      <c r="AW507" t="s">
        <v>74</v>
      </c>
      <c r="AX507" t="s">
        <v>74</v>
      </c>
      <c r="AY507" t="s">
        <v>74</v>
      </c>
      <c r="AZ507" t="s">
        <v>74</v>
      </c>
      <c r="BA507" t="s">
        <v>74</v>
      </c>
      <c r="BB507" t="s">
        <v>74</v>
      </c>
      <c r="BC507" t="s">
        <v>74</v>
      </c>
      <c r="BD507" t="s">
        <v>9476</v>
      </c>
      <c r="BE507" t="s">
        <v>9477</v>
      </c>
      <c r="BF507" t="str">
        <f>HYPERLINK("http://dx.doi.org/10.1029/2010JC006545","http://dx.doi.org/10.1029/2010JC006545")</f>
        <v>http://dx.doi.org/10.1029/2010JC006545</v>
      </c>
      <c r="BG507" t="s">
        <v>74</v>
      </c>
      <c r="BH507" t="s">
        <v>74</v>
      </c>
      <c r="BI507">
        <v>17</v>
      </c>
      <c r="BJ507" t="s">
        <v>271</v>
      </c>
      <c r="BK507" t="s">
        <v>100</v>
      </c>
      <c r="BL507" t="s">
        <v>271</v>
      </c>
      <c r="BM507" t="s">
        <v>9478</v>
      </c>
      <c r="BN507" t="s">
        <v>74</v>
      </c>
      <c r="BO507" t="s">
        <v>393</v>
      </c>
      <c r="BP507" t="s">
        <v>74</v>
      </c>
      <c r="BQ507" t="s">
        <v>74</v>
      </c>
      <c r="BR507" t="s">
        <v>103</v>
      </c>
      <c r="BS507" t="s">
        <v>9479</v>
      </c>
      <c r="BT507" t="str">
        <f>HYPERLINK("https%3A%2F%2Fwww.webofscience.com%2Fwos%2Fwoscc%2Ffull-record%2FWOS:000290873900002","View Full Record in Web of Science")</f>
        <v>View Full Record in Web of Science</v>
      </c>
    </row>
    <row r="508" spans="1:72" x14ac:dyDescent="0.15">
      <c r="A508" t="s">
        <v>72</v>
      </c>
      <c r="B508" t="s">
        <v>9480</v>
      </c>
      <c r="C508" t="s">
        <v>74</v>
      </c>
      <c r="D508" t="s">
        <v>74</v>
      </c>
      <c r="E508" t="s">
        <v>74</v>
      </c>
      <c r="F508" t="s">
        <v>9481</v>
      </c>
      <c r="G508" t="s">
        <v>74</v>
      </c>
      <c r="H508" t="s">
        <v>74</v>
      </c>
      <c r="I508" t="s">
        <v>9482</v>
      </c>
      <c r="J508" t="s">
        <v>6414</v>
      </c>
      <c r="K508" t="s">
        <v>74</v>
      </c>
      <c r="L508" t="s">
        <v>74</v>
      </c>
      <c r="M508" t="s">
        <v>78</v>
      </c>
      <c r="N508" t="s">
        <v>79</v>
      </c>
      <c r="O508" t="s">
        <v>74</v>
      </c>
      <c r="P508" t="s">
        <v>74</v>
      </c>
      <c r="Q508" t="s">
        <v>74</v>
      </c>
      <c r="R508" t="s">
        <v>74</v>
      </c>
      <c r="S508" t="s">
        <v>74</v>
      </c>
      <c r="T508" t="s">
        <v>74</v>
      </c>
      <c r="U508" t="s">
        <v>9483</v>
      </c>
      <c r="V508" t="s">
        <v>9484</v>
      </c>
      <c r="W508" t="s">
        <v>9485</v>
      </c>
      <c r="X508" t="s">
        <v>9486</v>
      </c>
      <c r="Y508" t="s">
        <v>9487</v>
      </c>
      <c r="Z508" t="s">
        <v>74</v>
      </c>
      <c r="AA508" t="s">
        <v>9488</v>
      </c>
      <c r="AB508" t="s">
        <v>9489</v>
      </c>
      <c r="AC508" t="s">
        <v>9490</v>
      </c>
      <c r="AD508" t="s">
        <v>9490</v>
      </c>
      <c r="AE508" t="s">
        <v>9491</v>
      </c>
      <c r="AF508" t="s">
        <v>74</v>
      </c>
      <c r="AG508">
        <v>54</v>
      </c>
      <c r="AH508">
        <v>13</v>
      </c>
      <c r="AI508">
        <v>14</v>
      </c>
      <c r="AJ508">
        <v>0</v>
      </c>
      <c r="AK508">
        <v>17</v>
      </c>
      <c r="AL508" t="s">
        <v>120</v>
      </c>
      <c r="AM508" t="s">
        <v>121</v>
      </c>
      <c r="AN508" t="s">
        <v>122</v>
      </c>
      <c r="AO508" t="s">
        <v>6425</v>
      </c>
      <c r="AP508" t="s">
        <v>6426</v>
      </c>
      <c r="AQ508" t="s">
        <v>74</v>
      </c>
      <c r="AR508" t="s">
        <v>6427</v>
      </c>
      <c r="AS508" t="s">
        <v>6428</v>
      </c>
      <c r="AT508" t="s">
        <v>9492</v>
      </c>
      <c r="AU508">
        <v>2011</v>
      </c>
      <c r="AV508">
        <v>116</v>
      </c>
      <c r="AW508" t="s">
        <v>74</v>
      </c>
      <c r="AX508" t="s">
        <v>74</v>
      </c>
      <c r="AY508" t="s">
        <v>74</v>
      </c>
      <c r="AZ508" t="s">
        <v>74</v>
      </c>
      <c r="BA508" t="s">
        <v>74</v>
      </c>
      <c r="BB508" t="s">
        <v>74</v>
      </c>
      <c r="BC508" t="s">
        <v>74</v>
      </c>
      <c r="BD508" t="s">
        <v>9493</v>
      </c>
      <c r="BE508" t="s">
        <v>9494</v>
      </c>
      <c r="BF508" t="str">
        <f>HYPERLINK("http://dx.doi.org/10.1029/2010JB007800","http://dx.doi.org/10.1029/2010JB007800")</f>
        <v>http://dx.doi.org/10.1029/2010JB007800</v>
      </c>
      <c r="BG508" t="s">
        <v>74</v>
      </c>
      <c r="BH508" t="s">
        <v>74</v>
      </c>
      <c r="BI508">
        <v>17</v>
      </c>
      <c r="BJ508" t="s">
        <v>488</v>
      </c>
      <c r="BK508" t="s">
        <v>100</v>
      </c>
      <c r="BL508" t="s">
        <v>488</v>
      </c>
      <c r="BM508" t="s">
        <v>9495</v>
      </c>
      <c r="BN508" t="s">
        <v>74</v>
      </c>
      <c r="BO508" t="s">
        <v>702</v>
      </c>
      <c r="BP508" t="s">
        <v>74</v>
      </c>
      <c r="BQ508" t="s">
        <v>74</v>
      </c>
      <c r="BR508" t="s">
        <v>103</v>
      </c>
      <c r="BS508" t="s">
        <v>9496</v>
      </c>
      <c r="BT508" t="str">
        <f>HYPERLINK("https%3A%2F%2Fwww.webofscience.com%2Fwos%2Fwoscc%2Ffull-record%2FWOS:000297026000001","View Full Record in Web of Science")</f>
        <v>View Full Record in Web of Science</v>
      </c>
    </row>
    <row r="509" spans="1:72" x14ac:dyDescent="0.15">
      <c r="A509" t="s">
        <v>72</v>
      </c>
      <c r="B509" t="s">
        <v>9497</v>
      </c>
      <c r="C509" t="s">
        <v>74</v>
      </c>
      <c r="D509" t="s">
        <v>74</v>
      </c>
      <c r="E509" t="s">
        <v>74</v>
      </c>
      <c r="F509" t="s">
        <v>9498</v>
      </c>
      <c r="G509" t="s">
        <v>74</v>
      </c>
      <c r="H509" t="s">
        <v>74</v>
      </c>
      <c r="I509" t="s">
        <v>9499</v>
      </c>
      <c r="J509" t="s">
        <v>254</v>
      </c>
      <c r="K509" t="s">
        <v>74</v>
      </c>
      <c r="L509" t="s">
        <v>74</v>
      </c>
      <c r="M509" t="s">
        <v>78</v>
      </c>
      <c r="N509" t="s">
        <v>79</v>
      </c>
      <c r="O509" t="s">
        <v>74</v>
      </c>
      <c r="P509" t="s">
        <v>74</v>
      </c>
      <c r="Q509" t="s">
        <v>74</v>
      </c>
      <c r="R509" t="s">
        <v>74</v>
      </c>
      <c r="S509" t="s">
        <v>74</v>
      </c>
      <c r="T509" t="s">
        <v>74</v>
      </c>
      <c r="U509" t="s">
        <v>9500</v>
      </c>
      <c r="V509" t="s">
        <v>9501</v>
      </c>
      <c r="W509" t="s">
        <v>9502</v>
      </c>
      <c r="X509" t="s">
        <v>9503</v>
      </c>
      <c r="Y509" t="s">
        <v>9504</v>
      </c>
      <c r="Z509" t="s">
        <v>9505</v>
      </c>
      <c r="AA509" t="s">
        <v>9506</v>
      </c>
      <c r="AB509" t="s">
        <v>9507</v>
      </c>
      <c r="AC509" t="s">
        <v>9508</v>
      </c>
      <c r="AD509" t="s">
        <v>9509</v>
      </c>
      <c r="AE509" t="s">
        <v>9510</v>
      </c>
      <c r="AF509" t="s">
        <v>74</v>
      </c>
      <c r="AG509">
        <v>39</v>
      </c>
      <c r="AH509">
        <v>43</v>
      </c>
      <c r="AI509">
        <v>51</v>
      </c>
      <c r="AJ509">
        <v>1</v>
      </c>
      <c r="AK509">
        <v>17</v>
      </c>
      <c r="AL509" t="s">
        <v>120</v>
      </c>
      <c r="AM509" t="s">
        <v>121</v>
      </c>
      <c r="AN509" t="s">
        <v>122</v>
      </c>
      <c r="AO509" t="s">
        <v>265</v>
      </c>
      <c r="AP509" t="s">
        <v>266</v>
      </c>
      <c r="AQ509" t="s">
        <v>74</v>
      </c>
      <c r="AR509" t="s">
        <v>267</v>
      </c>
      <c r="AS509" t="s">
        <v>268</v>
      </c>
      <c r="AT509" t="s">
        <v>9492</v>
      </c>
      <c r="AU509">
        <v>2011</v>
      </c>
      <c r="AV509">
        <v>116</v>
      </c>
      <c r="AW509" t="s">
        <v>74</v>
      </c>
      <c r="AX509" t="s">
        <v>74</v>
      </c>
      <c r="AY509" t="s">
        <v>74</v>
      </c>
      <c r="AZ509" t="s">
        <v>74</v>
      </c>
      <c r="BA509" t="s">
        <v>74</v>
      </c>
      <c r="BB509" t="s">
        <v>74</v>
      </c>
      <c r="BC509" t="s">
        <v>74</v>
      </c>
      <c r="BD509" t="s">
        <v>9511</v>
      </c>
      <c r="BE509" t="s">
        <v>9512</v>
      </c>
      <c r="BF509" t="str">
        <f>HYPERLINK("http://dx.doi.org/10.1029/2010JC006625","http://dx.doi.org/10.1029/2010JC006625")</f>
        <v>http://dx.doi.org/10.1029/2010JC006625</v>
      </c>
      <c r="BG509" t="s">
        <v>74</v>
      </c>
      <c r="BH509" t="s">
        <v>74</v>
      </c>
      <c r="BI509">
        <v>11</v>
      </c>
      <c r="BJ509" t="s">
        <v>271</v>
      </c>
      <c r="BK509" t="s">
        <v>100</v>
      </c>
      <c r="BL509" t="s">
        <v>271</v>
      </c>
      <c r="BM509" t="s">
        <v>9513</v>
      </c>
      <c r="BN509" t="s">
        <v>74</v>
      </c>
      <c r="BO509" t="s">
        <v>152</v>
      </c>
      <c r="BP509" t="s">
        <v>74</v>
      </c>
      <c r="BQ509" t="s">
        <v>74</v>
      </c>
      <c r="BR509" t="s">
        <v>103</v>
      </c>
      <c r="BS509" t="s">
        <v>9514</v>
      </c>
      <c r="BT509" t="str">
        <f>HYPERLINK("https%3A%2F%2Fwww.webofscience.com%2Fwos%2Fwoscc%2Ffull-record%2FWOS:000290873800001","View Full Record in Web of Science")</f>
        <v>View Full Record in Web of Science</v>
      </c>
    </row>
    <row r="510" spans="1:72" x14ac:dyDescent="0.15">
      <c r="A510" t="s">
        <v>72</v>
      </c>
      <c r="B510" t="s">
        <v>9515</v>
      </c>
      <c r="C510" t="s">
        <v>74</v>
      </c>
      <c r="D510" t="s">
        <v>74</v>
      </c>
      <c r="E510" t="s">
        <v>74</v>
      </c>
      <c r="F510" t="s">
        <v>9516</v>
      </c>
      <c r="G510" t="s">
        <v>74</v>
      </c>
      <c r="H510" t="s">
        <v>74</v>
      </c>
      <c r="I510" t="s">
        <v>9517</v>
      </c>
      <c r="J510" t="s">
        <v>3115</v>
      </c>
      <c r="K510" t="s">
        <v>74</v>
      </c>
      <c r="L510" t="s">
        <v>74</v>
      </c>
      <c r="M510" t="s">
        <v>78</v>
      </c>
      <c r="N510" t="s">
        <v>2002</v>
      </c>
      <c r="O510" t="s">
        <v>74</v>
      </c>
      <c r="P510" t="s">
        <v>74</v>
      </c>
      <c r="Q510" t="s">
        <v>74</v>
      </c>
      <c r="R510" t="s">
        <v>74</v>
      </c>
      <c r="S510" t="s">
        <v>74</v>
      </c>
      <c r="T510" t="s">
        <v>74</v>
      </c>
      <c r="U510" t="s">
        <v>9518</v>
      </c>
      <c r="V510" t="s">
        <v>74</v>
      </c>
      <c r="W510" t="s">
        <v>9519</v>
      </c>
      <c r="X510" t="s">
        <v>9520</v>
      </c>
      <c r="Y510" t="s">
        <v>9521</v>
      </c>
      <c r="Z510" t="s">
        <v>9522</v>
      </c>
      <c r="AA510" t="s">
        <v>74</v>
      </c>
      <c r="AB510" t="s">
        <v>74</v>
      </c>
      <c r="AC510" t="s">
        <v>74</v>
      </c>
      <c r="AD510" t="s">
        <v>74</v>
      </c>
      <c r="AE510" t="s">
        <v>74</v>
      </c>
      <c r="AF510" t="s">
        <v>74</v>
      </c>
      <c r="AG510">
        <v>16</v>
      </c>
      <c r="AH510">
        <v>22</v>
      </c>
      <c r="AI510">
        <v>27</v>
      </c>
      <c r="AJ510">
        <v>1</v>
      </c>
      <c r="AK510">
        <v>18</v>
      </c>
      <c r="AL510" t="s">
        <v>3127</v>
      </c>
      <c r="AM510" t="s">
        <v>121</v>
      </c>
      <c r="AN510" t="s">
        <v>3128</v>
      </c>
      <c r="AO510" t="s">
        <v>3129</v>
      </c>
      <c r="AP510" t="s">
        <v>74</v>
      </c>
      <c r="AQ510" t="s">
        <v>74</v>
      </c>
      <c r="AR510" t="s">
        <v>3115</v>
      </c>
      <c r="AS510" t="s">
        <v>3131</v>
      </c>
      <c r="AT510" t="s">
        <v>9492</v>
      </c>
      <c r="AU510">
        <v>2011</v>
      </c>
      <c r="AV510">
        <v>332</v>
      </c>
      <c r="AW510">
        <v>6032</v>
      </c>
      <c r="AX510" t="s">
        <v>74</v>
      </c>
      <c r="AY510" t="s">
        <v>74</v>
      </c>
      <c r="AZ510" t="s">
        <v>74</v>
      </c>
      <c r="BA510" t="s">
        <v>74</v>
      </c>
      <c r="BB510">
        <v>925</v>
      </c>
      <c r="BC510">
        <v>926</v>
      </c>
      <c r="BD510" t="s">
        <v>74</v>
      </c>
      <c r="BE510" t="s">
        <v>9523</v>
      </c>
      <c r="BF510" t="str">
        <f>HYPERLINK("http://dx.doi.org/10.1126/science.1206834","http://dx.doi.org/10.1126/science.1206834")</f>
        <v>http://dx.doi.org/10.1126/science.1206834</v>
      </c>
      <c r="BG510" t="s">
        <v>74</v>
      </c>
      <c r="BH510" t="s">
        <v>74</v>
      </c>
      <c r="BI510">
        <v>2</v>
      </c>
      <c r="BJ510" t="s">
        <v>177</v>
      </c>
      <c r="BK510" t="s">
        <v>867</v>
      </c>
      <c r="BL510" t="s">
        <v>178</v>
      </c>
      <c r="BM510" t="s">
        <v>9524</v>
      </c>
      <c r="BN510">
        <v>21596982</v>
      </c>
      <c r="BO510" t="s">
        <v>74</v>
      </c>
      <c r="BP510" t="s">
        <v>74</v>
      </c>
      <c r="BQ510" t="s">
        <v>74</v>
      </c>
      <c r="BR510" t="s">
        <v>103</v>
      </c>
      <c r="BS510" t="s">
        <v>9525</v>
      </c>
      <c r="BT510" t="str">
        <f>HYPERLINK("https%3A%2F%2Fwww.webofscience.com%2Fwos%2Fwoscc%2Ffull-record%2FWOS:000290766600030","View Full Record in Web of Science")</f>
        <v>View Full Record in Web of Science</v>
      </c>
    </row>
    <row r="511" spans="1:72" x14ac:dyDescent="0.15">
      <c r="A511" t="s">
        <v>72</v>
      </c>
      <c r="B511" t="s">
        <v>9526</v>
      </c>
      <c r="C511" t="s">
        <v>74</v>
      </c>
      <c r="D511" t="s">
        <v>74</v>
      </c>
      <c r="E511" t="s">
        <v>74</v>
      </c>
      <c r="F511" t="s">
        <v>9527</v>
      </c>
      <c r="G511" t="s">
        <v>74</v>
      </c>
      <c r="H511" t="s">
        <v>74</v>
      </c>
      <c r="I511" t="s">
        <v>9528</v>
      </c>
      <c r="J511" t="s">
        <v>254</v>
      </c>
      <c r="K511" t="s">
        <v>74</v>
      </c>
      <c r="L511" t="s">
        <v>74</v>
      </c>
      <c r="M511" t="s">
        <v>78</v>
      </c>
      <c r="N511" t="s">
        <v>79</v>
      </c>
      <c r="O511" t="s">
        <v>74</v>
      </c>
      <c r="P511" t="s">
        <v>74</v>
      </c>
      <c r="Q511" t="s">
        <v>74</v>
      </c>
      <c r="R511" t="s">
        <v>74</v>
      </c>
      <c r="S511" t="s">
        <v>74</v>
      </c>
      <c r="T511" t="s">
        <v>74</v>
      </c>
      <c r="U511" t="s">
        <v>9529</v>
      </c>
      <c r="V511" t="s">
        <v>9530</v>
      </c>
      <c r="W511" t="s">
        <v>9531</v>
      </c>
      <c r="X511" t="s">
        <v>9532</v>
      </c>
      <c r="Y511" t="s">
        <v>9533</v>
      </c>
      <c r="Z511" t="s">
        <v>9534</v>
      </c>
      <c r="AA511" t="s">
        <v>74</v>
      </c>
      <c r="AB511" t="s">
        <v>9535</v>
      </c>
      <c r="AC511" t="s">
        <v>9536</v>
      </c>
      <c r="AD511" t="s">
        <v>9537</v>
      </c>
      <c r="AE511" t="s">
        <v>9538</v>
      </c>
      <c r="AF511" t="s">
        <v>74</v>
      </c>
      <c r="AG511">
        <v>28</v>
      </c>
      <c r="AH511">
        <v>30</v>
      </c>
      <c r="AI511">
        <v>31</v>
      </c>
      <c r="AJ511">
        <v>2</v>
      </c>
      <c r="AK511">
        <v>8</v>
      </c>
      <c r="AL511" t="s">
        <v>120</v>
      </c>
      <c r="AM511" t="s">
        <v>121</v>
      </c>
      <c r="AN511" t="s">
        <v>122</v>
      </c>
      <c r="AO511" t="s">
        <v>265</v>
      </c>
      <c r="AP511" t="s">
        <v>266</v>
      </c>
      <c r="AQ511" t="s">
        <v>74</v>
      </c>
      <c r="AR511" t="s">
        <v>267</v>
      </c>
      <c r="AS511" t="s">
        <v>268</v>
      </c>
      <c r="AT511" t="s">
        <v>9539</v>
      </c>
      <c r="AU511">
        <v>2011</v>
      </c>
      <c r="AV511">
        <v>116</v>
      </c>
      <c r="AW511" t="s">
        <v>74</v>
      </c>
      <c r="AX511" t="s">
        <v>74</v>
      </c>
      <c r="AY511" t="s">
        <v>74</v>
      </c>
      <c r="AZ511" t="s">
        <v>74</v>
      </c>
      <c r="BA511" t="s">
        <v>74</v>
      </c>
      <c r="BB511" t="s">
        <v>74</v>
      </c>
      <c r="BC511" t="s">
        <v>74</v>
      </c>
      <c r="BD511" t="s">
        <v>9540</v>
      </c>
      <c r="BE511" t="s">
        <v>9541</v>
      </c>
      <c r="BF511" t="str">
        <f>HYPERLINK("http://dx.doi.org/10.1029/2010JC006334","http://dx.doi.org/10.1029/2010JC006334")</f>
        <v>http://dx.doi.org/10.1029/2010JC006334</v>
      </c>
      <c r="BG511" t="s">
        <v>74</v>
      </c>
      <c r="BH511" t="s">
        <v>74</v>
      </c>
      <c r="BI511">
        <v>13</v>
      </c>
      <c r="BJ511" t="s">
        <v>271</v>
      </c>
      <c r="BK511" t="s">
        <v>100</v>
      </c>
      <c r="BL511" t="s">
        <v>271</v>
      </c>
      <c r="BM511" t="s">
        <v>9542</v>
      </c>
      <c r="BN511" t="s">
        <v>74</v>
      </c>
      <c r="BO511" t="s">
        <v>6840</v>
      </c>
      <c r="BP511" t="s">
        <v>74</v>
      </c>
      <c r="BQ511" t="s">
        <v>74</v>
      </c>
      <c r="BR511" t="s">
        <v>103</v>
      </c>
      <c r="BS511" t="s">
        <v>9543</v>
      </c>
      <c r="BT511" t="str">
        <f>HYPERLINK("https%3A%2F%2Fwww.webofscience.com%2Fwos%2Fwoscc%2Ffull-record%2FWOS:000290873600001","View Full Record in Web of Science")</f>
        <v>View Full Record in Web of Science</v>
      </c>
    </row>
    <row r="512" spans="1:72" x14ac:dyDescent="0.15">
      <c r="A512" t="s">
        <v>72</v>
      </c>
      <c r="B512" t="s">
        <v>9544</v>
      </c>
      <c r="C512" t="s">
        <v>74</v>
      </c>
      <c r="D512" t="s">
        <v>74</v>
      </c>
      <c r="E512" t="s">
        <v>74</v>
      </c>
      <c r="F512" t="s">
        <v>9545</v>
      </c>
      <c r="G512" t="s">
        <v>74</v>
      </c>
      <c r="H512" t="s">
        <v>74</v>
      </c>
      <c r="I512" t="s">
        <v>9546</v>
      </c>
      <c r="J512" t="s">
        <v>157</v>
      </c>
      <c r="K512" t="s">
        <v>74</v>
      </c>
      <c r="L512" t="s">
        <v>74</v>
      </c>
      <c r="M512" t="s">
        <v>78</v>
      </c>
      <c r="N512" t="s">
        <v>79</v>
      </c>
      <c r="O512" t="s">
        <v>74</v>
      </c>
      <c r="P512" t="s">
        <v>74</v>
      </c>
      <c r="Q512" t="s">
        <v>74</v>
      </c>
      <c r="R512" t="s">
        <v>74</v>
      </c>
      <c r="S512" t="s">
        <v>74</v>
      </c>
      <c r="T512" t="s">
        <v>74</v>
      </c>
      <c r="U512" t="s">
        <v>9547</v>
      </c>
      <c r="V512" t="s">
        <v>9548</v>
      </c>
      <c r="W512" t="s">
        <v>9549</v>
      </c>
      <c r="X512" t="s">
        <v>9550</v>
      </c>
      <c r="Y512" t="s">
        <v>9551</v>
      </c>
      <c r="Z512" t="s">
        <v>9552</v>
      </c>
      <c r="AA512" t="s">
        <v>9553</v>
      </c>
      <c r="AB512" t="s">
        <v>9554</v>
      </c>
      <c r="AC512" t="s">
        <v>9555</v>
      </c>
      <c r="AD512" t="s">
        <v>9556</v>
      </c>
      <c r="AE512" t="s">
        <v>9557</v>
      </c>
      <c r="AF512" t="s">
        <v>74</v>
      </c>
      <c r="AG512">
        <v>55</v>
      </c>
      <c r="AH512">
        <v>41</v>
      </c>
      <c r="AI512">
        <v>44</v>
      </c>
      <c r="AJ512">
        <v>1</v>
      </c>
      <c r="AK512">
        <v>55</v>
      </c>
      <c r="AL512" t="s">
        <v>169</v>
      </c>
      <c r="AM512" t="s">
        <v>170</v>
      </c>
      <c r="AN512" t="s">
        <v>171</v>
      </c>
      <c r="AO512" t="s">
        <v>172</v>
      </c>
      <c r="AP512" t="s">
        <v>74</v>
      </c>
      <c r="AQ512" t="s">
        <v>74</v>
      </c>
      <c r="AR512" t="s">
        <v>157</v>
      </c>
      <c r="AS512" t="s">
        <v>173</v>
      </c>
      <c r="AT512" t="s">
        <v>9558</v>
      </c>
      <c r="AU512">
        <v>2011</v>
      </c>
      <c r="AV512">
        <v>6</v>
      </c>
      <c r="AW512">
        <v>5</v>
      </c>
      <c r="AX512" t="s">
        <v>74</v>
      </c>
      <c r="AY512" t="s">
        <v>74</v>
      </c>
      <c r="AZ512" t="s">
        <v>74</v>
      </c>
      <c r="BA512" t="s">
        <v>74</v>
      </c>
      <c r="BB512" t="s">
        <v>74</v>
      </c>
      <c r="BC512" t="s">
        <v>74</v>
      </c>
      <c r="BD512" t="s">
        <v>9559</v>
      </c>
      <c r="BE512" t="s">
        <v>9560</v>
      </c>
      <c r="BF512" t="str">
        <f>HYPERLINK("http://dx.doi.org/10.1371/journal.pone.0019004","http://dx.doi.org/10.1371/journal.pone.0019004")</f>
        <v>http://dx.doi.org/10.1371/journal.pone.0019004</v>
      </c>
      <c r="BG512" t="s">
        <v>74</v>
      </c>
      <c r="BH512" t="s">
        <v>74</v>
      </c>
      <c r="BI512">
        <v>10</v>
      </c>
      <c r="BJ512" t="s">
        <v>177</v>
      </c>
      <c r="BK512" t="s">
        <v>100</v>
      </c>
      <c r="BL512" t="s">
        <v>178</v>
      </c>
      <c r="BM512" t="s">
        <v>9561</v>
      </c>
      <c r="BN512">
        <v>21611159</v>
      </c>
      <c r="BO512" t="s">
        <v>9562</v>
      </c>
      <c r="BP512" t="s">
        <v>74</v>
      </c>
      <c r="BQ512" t="s">
        <v>74</v>
      </c>
      <c r="BR512" t="s">
        <v>103</v>
      </c>
      <c r="BS512" t="s">
        <v>9563</v>
      </c>
      <c r="BT512" t="str">
        <f>HYPERLINK("https%3A%2F%2Fwww.webofscience.com%2Fwos%2Fwoscc%2Ffull-record%2FWOS:000290720200004","View Full Record in Web of Science")</f>
        <v>View Full Record in Web of Science</v>
      </c>
    </row>
    <row r="513" spans="1:72" x14ac:dyDescent="0.15">
      <c r="A513" t="s">
        <v>72</v>
      </c>
      <c r="B513" t="s">
        <v>9564</v>
      </c>
      <c r="C513" t="s">
        <v>74</v>
      </c>
      <c r="D513" t="s">
        <v>74</v>
      </c>
      <c r="E513" t="s">
        <v>74</v>
      </c>
      <c r="F513" t="s">
        <v>9565</v>
      </c>
      <c r="G513" t="s">
        <v>74</v>
      </c>
      <c r="H513" t="s">
        <v>74</v>
      </c>
      <c r="I513" t="s">
        <v>9566</v>
      </c>
      <c r="J513" t="s">
        <v>9567</v>
      </c>
      <c r="K513" t="s">
        <v>74</v>
      </c>
      <c r="L513" t="s">
        <v>74</v>
      </c>
      <c r="M513" t="s">
        <v>78</v>
      </c>
      <c r="N513" t="s">
        <v>6970</v>
      </c>
      <c r="O513" t="s">
        <v>74</v>
      </c>
      <c r="P513" t="s">
        <v>74</v>
      </c>
      <c r="Q513" t="s">
        <v>74</v>
      </c>
      <c r="R513" t="s">
        <v>74</v>
      </c>
      <c r="S513" t="s">
        <v>74</v>
      </c>
      <c r="T513" t="s">
        <v>74</v>
      </c>
      <c r="U513" t="s">
        <v>74</v>
      </c>
      <c r="V513" t="s">
        <v>74</v>
      </c>
      <c r="W513" t="s">
        <v>74</v>
      </c>
      <c r="X513" t="s">
        <v>74</v>
      </c>
      <c r="Y513" t="s">
        <v>74</v>
      </c>
      <c r="Z513" t="s">
        <v>74</v>
      </c>
      <c r="AA513" t="s">
        <v>74</v>
      </c>
      <c r="AB513" t="s">
        <v>74</v>
      </c>
      <c r="AC513" t="s">
        <v>74</v>
      </c>
      <c r="AD513" t="s">
        <v>74</v>
      </c>
      <c r="AE513" t="s">
        <v>74</v>
      </c>
      <c r="AF513" t="s">
        <v>74</v>
      </c>
      <c r="AG513">
        <v>1</v>
      </c>
      <c r="AH513">
        <v>0</v>
      </c>
      <c r="AI513">
        <v>0</v>
      </c>
      <c r="AJ513">
        <v>0</v>
      </c>
      <c r="AK513">
        <v>1</v>
      </c>
      <c r="AL513" t="s">
        <v>9568</v>
      </c>
      <c r="AM513" t="s">
        <v>91</v>
      </c>
      <c r="AN513" t="s">
        <v>9569</v>
      </c>
      <c r="AO513" t="s">
        <v>9570</v>
      </c>
      <c r="AP513" t="s">
        <v>74</v>
      </c>
      <c r="AQ513" t="s">
        <v>74</v>
      </c>
      <c r="AR513" t="s">
        <v>9571</v>
      </c>
      <c r="AS513" t="s">
        <v>9572</v>
      </c>
      <c r="AT513" t="s">
        <v>9573</v>
      </c>
      <c r="AU513">
        <v>2011</v>
      </c>
      <c r="AV513">
        <v>136</v>
      </c>
      <c r="AW513">
        <v>9</v>
      </c>
      <c r="AX513" t="s">
        <v>74</v>
      </c>
      <c r="AY513" t="s">
        <v>74</v>
      </c>
      <c r="AZ513" t="s">
        <v>74</v>
      </c>
      <c r="BA513" t="s">
        <v>74</v>
      </c>
      <c r="BB513">
        <v>99</v>
      </c>
      <c r="BC513" t="s">
        <v>8858</v>
      </c>
      <c r="BD513" t="s">
        <v>74</v>
      </c>
      <c r="BE513" t="s">
        <v>74</v>
      </c>
      <c r="BF513" t="s">
        <v>74</v>
      </c>
      <c r="BG513" t="s">
        <v>74</v>
      </c>
      <c r="BH513" t="s">
        <v>74</v>
      </c>
      <c r="BI513">
        <v>2</v>
      </c>
      <c r="BJ513" t="s">
        <v>9574</v>
      </c>
      <c r="BK513" t="s">
        <v>9575</v>
      </c>
      <c r="BL513" t="s">
        <v>9574</v>
      </c>
      <c r="BM513" t="s">
        <v>9576</v>
      </c>
      <c r="BN513" t="s">
        <v>74</v>
      </c>
      <c r="BO513" t="s">
        <v>74</v>
      </c>
      <c r="BP513" t="s">
        <v>74</v>
      </c>
      <c r="BQ513" t="s">
        <v>74</v>
      </c>
      <c r="BR513" t="s">
        <v>103</v>
      </c>
      <c r="BS513" t="s">
        <v>9577</v>
      </c>
      <c r="BT513" t="str">
        <f>HYPERLINK("https%3A%2F%2Fwww.webofscience.com%2Fwos%2Fwoscc%2Ffull-record%2FWOS:000290829600162","View Full Record in Web of Science")</f>
        <v>View Full Record in Web of Science</v>
      </c>
    </row>
    <row r="514" spans="1:72" x14ac:dyDescent="0.15">
      <c r="A514" t="s">
        <v>72</v>
      </c>
      <c r="B514" t="s">
        <v>9578</v>
      </c>
      <c r="C514" t="s">
        <v>74</v>
      </c>
      <c r="D514" t="s">
        <v>74</v>
      </c>
      <c r="E514" t="s">
        <v>74</v>
      </c>
      <c r="F514" t="s">
        <v>9579</v>
      </c>
      <c r="G514" t="s">
        <v>74</v>
      </c>
      <c r="H514" t="s">
        <v>74</v>
      </c>
      <c r="I514" t="s">
        <v>9580</v>
      </c>
      <c r="J514" t="s">
        <v>5885</v>
      </c>
      <c r="K514" t="s">
        <v>74</v>
      </c>
      <c r="L514" t="s">
        <v>74</v>
      </c>
      <c r="M514" t="s">
        <v>78</v>
      </c>
      <c r="N514" t="s">
        <v>79</v>
      </c>
      <c r="O514" t="s">
        <v>74</v>
      </c>
      <c r="P514" t="s">
        <v>74</v>
      </c>
      <c r="Q514" t="s">
        <v>74</v>
      </c>
      <c r="R514" t="s">
        <v>74</v>
      </c>
      <c r="S514" t="s">
        <v>74</v>
      </c>
      <c r="T514" t="s">
        <v>9581</v>
      </c>
      <c r="U514" t="s">
        <v>9582</v>
      </c>
      <c r="V514" t="s">
        <v>9583</v>
      </c>
      <c r="W514" t="s">
        <v>9584</v>
      </c>
      <c r="X514" t="s">
        <v>9585</v>
      </c>
      <c r="Y514" t="s">
        <v>9586</v>
      </c>
      <c r="Z514" t="s">
        <v>9587</v>
      </c>
      <c r="AA514" t="s">
        <v>9588</v>
      </c>
      <c r="AB514" t="s">
        <v>9589</v>
      </c>
      <c r="AC514" t="s">
        <v>9590</v>
      </c>
      <c r="AD514" t="s">
        <v>9590</v>
      </c>
      <c r="AE514" t="s">
        <v>9591</v>
      </c>
      <c r="AF514" t="s">
        <v>74</v>
      </c>
      <c r="AG514">
        <v>58</v>
      </c>
      <c r="AH514">
        <v>12</v>
      </c>
      <c r="AI514">
        <v>13</v>
      </c>
      <c r="AJ514">
        <v>0</v>
      </c>
      <c r="AK514">
        <v>9</v>
      </c>
      <c r="AL514" t="s">
        <v>308</v>
      </c>
      <c r="AM514" t="s">
        <v>309</v>
      </c>
      <c r="AN514" t="s">
        <v>310</v>
      </c>
      <c r="AO514" t="s">
        <v>5895</v>
      </c>
      <c r="AP514" t="s">
        <v>5896</v>
      </c>
      <c r="AQ514" t="s">
        <v>74</v>
      </c>
      <c r="AR514" t="s">
        <v>5897</v>
      </c>
      <c r="AS514" t="s">
        <v>5898</v>
      </c>
      <c r="AT514" t="s">
        <v>9573</v>
      </c>
      <c r="AU514">
        <v>2011</v>
      </c>
      <c r="AV514">
        <v>305</v>
      </c>
      <c r="AW514" t="s">
        <v>3418</v>
      </c>
      <c r="AX514" t="s">
        <v>74</v>
      </c>
      <c r="AY514" t="s">
        <v>74</v>
      </c>
      <c r="AZ514" t="s">
        <v>74</v>
      </c>
      <c r="BA514" t="s">
        <v>74</v>
      </c>
      <c r="BB514">
        <v>138</v>
      </c>
      <c r="BC514">
        <v>149</v>
      </c>
      <c r="BD514" t="s">
        <v>74</v>
      </c>
      <c r="BE514" t="s">
        <v>9592</v>
      </c>
      <c r="BF514" t="str">
        <f>HYPERLINK("http://dx.doi.org/10.1016/j.palaeo.2011.02.027","http://dx.doi.org/10.1016/j.palaeo.2011.02.027")</f>
        <v>http://dx.doi.org/10.1016/j.palaeo.2011.02.027</v>
      </c>
      <c r="BG514" t="s">
        <v>74</v>
      </c>
      <c r="BH514" t="s">
        <v>74</v>
      </c>
      <c r="BI514">
        <v>12</v>
      </c>
      <c r="BJ514" t="s">
        <v>5900</v>
      </c>
      <c r="BK514" t="s">
        <v>100</v>
      </c>
      <c r="BL514" t="s">
        <v>5901</v>
      </c>
      <c r="BM514" t="s">
        <v>9593</v>
      </c>
      <c r="BN514" t="s">
        <v>74</v>
      </c>
      <c r="BO514" t="s">
        <v>74</v>
      </c>
      <c r="BP514" t="s">
        <v>74</v>
      </c>
      <c r="BQ514" t="s">
        <v>74</v>
      </c>
      <c r="BR514" t="s">
        <v>103</v>
      </c>
      <c r="BS514" t="s">
        <v>9594</v>
      </c>
      <c r="BT514" t="str">
        <f>HYPERLINK("https%3A%2F%2Fwww.webofscience.com%2Fwos%2Fwoscc%2Ffull-record%2FWOS:000291291000012","View Full Record in Web of Science")</f>
        <v>View Full Record in Web of Science</v>
      </c>
    </row>
    <row r="515" spans="1:72" x14ac:dyDescent="0.15">
      <c r="A515" t="s">
        <v>72</v>
      </c>
      <c r="B515" t="s">
        <v>9595</v>
      </c>
      <c r="C515" t="s">
        <v>74</v>
      </c>
      <c r="D515" t="s">
        <v>74</v>
      </c>
      <c r="E515" t="s">
        <v>74</v>
      </c>
      <c r="F515" t="s">
        <v>9596</v>
      </c>
      <c r="G515" t="s">
        <v>74</v>
      </c>
      <c r="H515" t="s">
        <v>74</v>
      </c>
      <c r="I515" t="s">
        <v>9597</v>
      </c>
      <c r="J515" t="s">
        <v>5885</v>
      </c>
      <c r="K515" t="s">
        <v>74</v>
      </c>
      <c r="L515" t="s">
        <v>74</v>
      </c>
      <c r="M515" t="s">
        <v>78</v>
      </c>
      <c r="N515" t="s">
        <v>79</v>
      </c>
      <c r="O515" t="s">
        <v>74</v>
      </c>
      <c r="P515" t="s">
        <v>74</v>
      </c>
      <c r="Q515" t="s">
        <v>74</v>
      </c>
      <c r="R515" t="s">
        <v>74</v>
      </c>
      <c r="S515" t="s">
        <v>74</v>
      </c>
      <c r="T515" t="s">
        <v>9598</v>
      </c>
      <c r="U515" t="s">
        <v>9599</v>
      </c>
      <c r="V515" t="s">
        <v>9600</v>
      </c>
      <c r="W515" t="s">
        <v>9601</v>
      </c>
      <c r="X515" t="s">
        <v>9602</v>
      </c>
      <c r="Y515" t="s">
        <v>9603</v>
      </c>
      <c r="Z515" t="s">
        <v>9604</v>
      </c>
      <c r="AA515" t="s">
        <v>9605</v>
      </c>
      <c r="AB515" t="s">
        <v>9606</v>
      </c>
      <c r="AC515" t="s">
        <v>9607</v>
      </c>
      <c r="AD515" t="s">
        <v>9608</v>
      </c>
      <c r="AE515" t="s">
        <v>9609</v>
      </c>
      <c r="AF515" t="s">
        <v>74</v>
      </c>
      <c r="AG515">
        <v>57</v>
      </c>
      <c r="AH515">
        <v>54</v>
      </c>
      <c r="AI515">
        <v>65</v>
      </c>
      <c r="AJ515">
        <v>2</v>
      </c>
      <c r="AK515">
        <v>31</v>
      </c>
      <c r="AL515" t="s">
        <v>308</v>
      </c>
      <c r="AM515" t="s">
        <v>309</v>
      </c>
      <c r="AN515" t="s">
        <v>310</v>
      </c>
      <c r="AO515" t="s">
        <v>5895</v>
      </c>
      <c r="AP515" t="s">
        <v>5896</v>
      </c>
      <c r="AQ515" t="s">
        <v>74</v>
      </c>
      <c r="AR515" t="s">
        <v>5897</v>
      </c>
      <c r="AS515" t="s">
        <v>5898</v>
      </c>
      <c r="AT515" t="s">
        <v>9573</v>
      </c>
      <c r="AU515">
        <v>2011</v>
      </c>
      <c r="AV515">
        <v>305</v>
      </c>
      <c r="AW515" t="s">
        <v>3418</v>
      </c>
      <c r="AX515" t="s">
        <v>74</v>
      </c>
      <c r="AY515" t="s">
        <v>74</v>
      </c>
      <c r="AZ515" t="s">
        <v>74</v>
      </c>
      <c r="BA515" t="s">
        <v>74</v>
      </c>
      <c r="BB515">
        <v>337</v>
      </c>
      <c r="BC515">
        <v>351</v>
      </c>
      <c r="BD515" t="s">
        <v>74</v>
      </c>
      <c r="BE515" t="s">
        <v>9610</v>
      </c>
      <c r="BF515" t="str">
        <f>HYPERLINK("http://dx.doi.org/10.1016/j.palaeo.2011.03.026","http://dx.doi.org/10.1016/j.palaeo.2011.03.026")</f>
        <v>http://dx.doi.org/10.1016/j.palaeo.2011.03.026</v>
      </c>
      <c r="BG515" t="s">
        <v>74</v>
      </c>
      <c r="BH515" t="s">
        <v>74</v>
      </c>
      <c r="BI515">
        <v>15</v>
      </c>
      <c r="BJ515" t="s">
        <v>5900</v>
      </c>
      <c r="BK515" t="s">
        <v>100</v>
      </c>
      <c r="BL515" t="s">
        <v>5901</v>
      </c>
      <c r="BM515" t="s">
        <v>9593</v>
      </c>
      <c r="BN515" t="s">
        <v>74</v>
      </c>
      <c r="BO515" t="s">
        <v>702</v>
      </c>
      <c r="BP515" t="s">
        <v>74</v>
      </c>
      <c r="BQ515" t="s">
        <v>74</v>
      </c>
      <c r="BR515" t="s">
        <v>103</v>
      </c>
      <c r="BS515" t="s">
        <v>9611</v>
      </c>
      <c r="BT515" t="str">
        <f>HYPERLINK("https%3A%2F%2Fwww.webofscience.com%2Fwos%2Fwoscc%2Ffull-record%2FWOS:000291291000028","View Full Record in Web of Science")</f>
        <v>View Full Record in Web of Science</v>
      </c>
    </row>
    <row r="516" spans="1:72" x14ac:dyDescent="0.15">
      <c r="A516" t="s">
        <v>72</v>
      </c>
      <c r="B516" t="s">
        <v>9612</v>
      </c>
      <c r="C516" t="s">
        <v>74</v>
      </c>
      <c r="D516" t="s">
        <v>74</v>
      </c>
      <c r="E516" t="s">
        <v>74</v>
      </c>
      <c r="F516" t="s">
        <v>9613</v>
      </c>
      <c r="G516" t="s">
        <v>74</v>
      </c>
      <c r="H516" t="s">
        <v>74</v>
      </c>
      <c r="I516" t="s">
        <v>9614</v>
      </c>
      <c r="J516" t="s">
        <v>2980</v>
      </c>
      <c r="K516" t="s">
        <v>74</v>
      </c>
      <c r="L516" t="s">
        <v>74</v>
      </c>
      <c r="M516" t="s">
        <v>78</v>
      </c>
      <c r="N516" t="s">
        <v>79</v>
      </c>
      <c r="O516" t="s">
        <v>74</v>
      </c>
      <c r="P516" t="s">
        <v>74</v>
      </c>
      <c r="Q516" t="s">
        <v>74</v>
      </c>
      <c r="R516" t="s">
        <v>74</v>
      </c>
      <c r="S516" t="s">
        <v>74</v>
      </c>
      <c r="T516" t="s">
        <v>9615</v>
      </c>
      <c r="U516" t="s">
        <v>9616</v>
      </c>
      <c r="V516" t="s">
        <v>9617</v>
      </c>
      <c r="W516" t="s">
        <v>9618</v>
      </c>
      <c r="X516" t="s">
        <v>9619</v>
      </c>
      <c r="Y516" t="s">
        <v>9620</v>
      </c>
      <c r="Z516" t="s">
        <v>9621</v>
      </c>
      <c r="AA516" t="s">
        <v>9622</v>
      </c>
      <c r="AB516" t="s">
        <v>9623</v>
      </c>
      <c r="AC516" t="s">
        <v>9624</v>
      </c>
      <c r="AD516" t="s">
        <v>9625</v>
      </c>
      <c r="AE516" t="s">
        <v>9626</v>
      </c>
      <c r="AF516" t="s">
        <v>74</v>
      </c>
      <c r="AG516">
        <v>94</v>
      </c>
      <c r="AH516">
        <v>26</v>
      </c>
      <c r="AI516">
        <v>27</v>
      </c>
      <c r="AJ516">
        <v>0</v>
      </c>
      <c r="AK516">
        <v>27</v>
      </c>
      <c r="AL516" t="s">
        <v>926</v>
      </c>
      <c r="AM516" t="s">
        <v>508</v>
      </c>
      <c r="AN516" t="s">
        <v>927</v>
      </c>
      <c r="AO516" t="s">
        <v>2990</v>
      </c>
      <c r="AP516" t="s">
        <v>2991</v>
      </c>
      <c r="AQ516" t="s">
        <v>74</v>
      </c>
      <c r="AR516" t="s">
        <v>2992</v>
      </c>
      <c r="AS516" t="s">
        <v>2993</v>
      </c>
      <c r="AT516" t="s">
        <v>9573</v>
      </c>
      <c r="AU516">
        <v>2011</v>
      </c>
      <c r="AV516">
        <v>31</v>
      </c>
      <c r="AW516" t="s">
        <v>5648</v>
      </c>
      <c r="AX516" t="s">
        <v>74</v>
      </c>
      <c r="AY516" t="s">
        <v>74</v>
      </c>
      <c r="AZ516" t="s">
        <v>74</v>
      </c>
      <c r="BA516" t="s">
        <v>74</v>
      </c>
      <c r="BB516">
        <v>806</v>
      </c>
      <c r="BC516">
        <v>816</v>
      </c>
      <c r="BD516" t="s">
        <v>74</v>
      </c>
      <c r="BE516" t="s">
        <v>9627</v>
      </c>
      <c r="BF516" t="str">
        <f>HYPERLINK("http://dx.doi.org/10.1016/j.csr.2011.01.014","http://dx.doi.org/10.1016/j.csr.2011.01.014")</f>
        <v>http://dx.doi.org/10.1016/j.csr.2011.01.014</v>
      </c>
      <c r="BG516" t="s">
        <v>74</v>
      </c>
      <c r="BH516" t="s">
        <v>74</v>
      </c>
      <c r="BI516">
        <v>11</v>
      </c>
      <c r="BJ516" t="s">
        <v>271</v>
      </c>
      <c r="BK516" t="s">
        <v>100</v>
      </c>
      <c r="BL516" t="s">
        <v>271</v>
      </c>
      <c r="BM516" t="s">
        <v>9628</v>
      </c>
      <c r="BN516" t="s">
        <v>74</v>
      </c>
      <c r="BO516" t="s">
        <v>74</v>
      </c>
      <c r="BP516" t="s">
        <v>74</v>
      </c>
      <c r="BQ516" t="s">
        <v>74</v>
      </c>
      <c r="BR516" t="s">
        <v>103</v>
      </c>
      <c r="BS516" t="s">
        <v>9629</v>
      </c>
      <c r="BT516" t="str">
        <f>HYPERLINK("https%3A%2F%2Fwww.webofscience.com%2Fwos%2Fwoscc%2Ffull-record%2FWOS:000290422400005","View Full Record in Web of Science")</f>
        <v>View Full Record in Web of Science</v>
      </c>
    </row>
    <row r="517" spans="1:72" x14ac:dyDescent="0.15">
      <c r="A517" t="s">
        <v>72</v>
      </c>
      <c r="B517" t="s">
        <v>9630</v>
      </c>
      <c r="C517" t="s">
        <v>74</v>
      </c>
      <c r="D517" t="s">
        <v>74</v>
      </c>
      <c r="E517" t="s">
        <v>74</v>
      </c>
      <c r="F517" t="s">
        <v>9631</v>
      </c>
      <c r="G517" t="s">
        <v>74</v>
      </c>
      <c r="H517" t="s">
        <v>74</v>
      </c>
      <c r="I517" t="s">
        <v>9632</v>
      </c>
      <c r="J517" t="s">
        <v>2980</v>
      </c>
      <c r="K517" t="s">
        <v>74</v>
      </c>
      <c r="L517" t="s">
        <v>74</v>
      </c>
      <c r="M517" t="s">
        <v>78</v>
      </c>
      <c r="N517" t="s">
        <v>79</v>
      </c>
      <c r="O517" t="s">
        <v>74</v>
      </c>
      <c r="P517" t="s">
        <v>74</v>
      </c>
      <c r="Q517" t="s">
        <v>74</v>
      </c>
      <c r="R517" t="s">
        <v>74</v>
      </c>
      <c r="S517" t="s">
        <v>74</v>
      </c>
      <c r="T517" t="s">
        <v>9633</v>
      </c>
      <c r="U517" t="s">
        <v>9634</v>
      </c>
      <c r="V517" t="s">
        <v>9635</v>
      </c>
      <c r="W517" t="s">
        <v>9636</v>
      </c>
      <c r="X517" t="s">
        <v>9637</v>
      </c>
      <c r="Y517" t="s">
        <v>9638</v>
      </c>
      <c r="Z517" t="s">
        <v>9639</v>
      </c>
      <c r="AA517" t="s">
        <v>9640</v>
      </c>
      <c r="AB517" t="s">
        <v>9641</v>
      </c>
      <c r="AC517" t="s">
        <v>9642</v>
      </c>
      <c r="AD517" t="s">
        <v>9643</v>
      </c>
      <c r="AE517" t="s">
        <v>9644</v>
      </c>
      <c r="AF517" t="s">
        <v>74</v>
      </c>
      <c r="AG517">
        <v>84</v>
      </c>
      <c r="AH517">
        <v>12</v>
      </c>
      <c r="AI517">
        <v>13</v>
      </c>
      <c r="AJ517">
        <v>0</v>
      </c>
      <c r="AK517">
        <v>27</v>
      </c>
      <c r="AL517" t="s">
        <v>926</v>
      </c>
      <c r="AM517" t="s">
        <v>508</v>
      </c>
      <c r="AN517" t="s">
        <v>927</v>
      </c>
      <c r="AO517" t="s">
        <v>2990</v>
      </c>
      <c r="AP517" t="s">
        <v>74</v>
      </c>
      <c r="AQ517" t="s">
        <v>74</v>
      </c>
      <c r="AR517" t="s">
        <v>2992</v>
      </c>
      <c r="AS517" t="s">
        <v>2993</v>
      </c>
      <c r="AT517" t="s">
        <v>9573</v>
      </c>
      <c r="AU517">
        <v>2011</v>
      </c>
      <c r="AV517">
        <v>31</v>
      </c>
      <c r="AW517" t="s">
        <v>5648</v>
      </c>
      <c r="AX517" t="s">
        <v>74</v>
      </c>
      <c r="AY517" t="s">
        <v>74</v>
      </c>
      <c r="AZ517" t="s">
        <v>74</v>
      </c>
      <c r="BA517" t="s">
        <v>74</v>
      </c>
      <c r="BB517">
        <v>879</v>
      </c>
      <c r="BC517">
        <v>889</v>
      </c>
      <c r="BD517" t="s">
        <v>74</v>
      </c>
      <c r="BE517" t="s">
        <v>9645</v>
      </c>
      <c r="BF517" t="str">
        <f>HYPERLINK("http://dx.doi.org/10.1016/j.csr.2011.02.013","http://dx.doi.org/10.1016/j.csr.2011.02.013")</f>
        <v>http://dx.doi.org/10.1016/j.csr.2011.02.013</v>
      </c>
      <c r="BG517" t="s">
        <v>74</v>
      </c>
      <c r="BH517" t="s">
        <v>74</v>
      </c>
      <c r="BI517">
        <v>11</v>
      </c>
      <c r="BJ517" t="s">
        <v>271</v>
      </c>
      <c r="BK517" t="s">
        <v>100</v>
      </c>
      <c r="BL517" t="s">
        <v>271</v>
      </c>
      <c r="BM517" t="s">
        <v>9628</v>
      </c>
      <c r="BN517" t="s">
        <v>74</v>
      </c>
      <c r="BO517" t="s">
        <v>74</v>
      </c>
      <c r="BP517" t="s">
        <v>74</v>
      </c>
      <c r="BQ517" t="s">
        <v>74</v>
      </c>
      <c r="BR517" t="s">
        <v>103</v>
      </c>
      <c r="BS517" t="s">
        <v>9646</v>
      </c>
      <c r="BT517" t="str">
        <f>HYPERLINK("https%3A%2F%2Fwww.webofscience.com%2Fwos%2Fwoscc%2Ffull-record%2FWOS:000290422400012","View Full Record in Web of Science")</f>
        <v>View Full Record in Web of Science</v>
      </c>
    </row>
    <row r="518" spans="1:72" x14ac:dyDescent="0.15">
      <c r="A518" t="s">
        <v>72</v>
      </c>
      <c r="B518" t="s">
        <v>9647</v>
      </c>
      <c r="C518" t="s">
        <v>74</v>
      </c>
      <c r="D518" t="s">
        <v>74</v>
      </c>
      <c r="E518" t="s">
        <v>74</v>
      </c>
      <c r="F518" t="s">
        <v>9648</v>
      </c>
      <c r="G518" t="s">
        <v>74</v>
      </c>
      <c r="H518" t="s">
        <v>74</v>
      </c>
      <c r="I518" t="s">
        <v>9649</v>
      </c>
      <c r="J518" t="s">
        <v>1722</v>
      </c>
      <c r="K518" t="s">
        <v>74</v>
      </c>
      <c r="L518" t="s">
        <v>74</v>
      </c>
      <c r="M518" t="s">
        <v>78</v>
      </c>
      <c r="N518" t="s">
        <v>79</v>
      </c>
      <c r="O518" t="s">
        <v>74</v>
      </c>
      <c r="P518" t="s">
        <v>74</v>
      </c>
      <c r="Q518" t="s">
        <v>74</v>
      </c>
      <c r="R518" t="s">
        <v>74</v>
      </c>
      <c r="S518" t="s">
        <v>74</v>
      </c>
      <c r="T518" t="s">
        <v>74</v>
      </c>
      <c r="U518" t="s">
        <v>9650</v>
      </c>
      <c r="V518" t="s">
        <v>9651</v>
      </c>
      <c r="W518" t="s">
        <v>9652</v>
      </c>
      <c r="X518" t="s">
        <v>9653</v>
      </c>
      <c r="Y518" t="s">
        <v>9654</v>
      </c>
      <c r="Z518" t="s">
        <v>9655</v>
      </c>
      <c r="AA518" t="s">
        <v>9656</v>
      </c>
      <c r="AB518" t="s">
        <v>9657</v>
      </c>
      <c r="AC518" t="s">
        <v>9658</v>
      </c>
      <c r="AD518" t="s">
        <v>9659</v>
      </c>
      <c r="AE518" t="s">
        <v>9660</v>
      </c>
      <c r="AF518" t="s">
        <v>74</v>
      </c>
      <c r="AG518">
        <v>26</v>
      </c>
      <c r="AH518">
        <v>69</v>
      </c>
      <c r="AI518">
        <v>71</v>
      </c>
      <c r="AJ518">
        <v>0</v>
      </c>
      <c r="AK518">
        <v>28</v>
      </c>
      <c r="AL518" t="s">
        <v>216</v>
      </c>
      <c r="AM518" t="s">
        <v>121</v>
      </c>
      <c r="AN518" t="s">
        <v>217</v>
      </c>
      <c r="AO518" t="s">
        <v>1734</v>
      </c>
      <c r="AP518" t="s">
        <v>3588</v>
      </c>
      <c r="AQ518" t="s">
        <v>74</v>
      </c>
      <c r="AR518" t="s">
        <v>1735</v>
      </c>
      <c r="AS518" t="s">
        <v>1736</v>
      </c>
      <c r="AT518" t="s">
        <v>9573</v>
      </c>
      <c r="AU518">
        <v>2011</v>
      </c>
      <c r="AV518">
        <v>45</v>
      </c>
      <c r="AW518">
        <v>10</v>
      </c>
      <c r="AX518" t="s">
        <v>74</v>
      </c>
      <c r="AY518" t="s">
        <v>74</v>
      </c>
      <c r="AZ518" t="s">
        <v>74</v>
      </c>
      <c r="BA518" t="s">
        <v>74</v>
      </c>
      <c r="BB518">
        <v>4483</v>
      </c>
      <c r="BC518">
        <v>4489</v>
      </c>
      <c r="BD518" t="s">
        <v>74</v>
      </c>
      <c r="BE518" t="s">
        <v>9661</v>
      </c>
      <c r="BF518" t="str">
        <f>HYPERLINK("http://dx.doi.org/10.1021/es200118j","http://dx.doi.org/10.1021/es200118j")</f>
        <v>http://dx.doi.org/10.1021/es200118j</v>
      </c>
      <c r="BG518" t="s">
        <v>74</v>
      </c>
      <c r="BH518" t="s">
        <v>74</v>
      </c>
      <c r="BI518">
        <v>7</v>
      </c>
      <c r="BJ518" t="s">
        <v>1739</v>
      </c>
      <c r="BK518" t="s">
        <v>100</v>
      </c>
      <c r="BL518" t="s">
        <v>1740</v>
      </c>
      <c r="BM518" t="s">
        <v>9662</v>
      </c>
      <c r="BN518">
        <v>21504155</v>
      </c>
      <c r="BO518" t="s">
        <v>74</v>
      </c>
      <c r="BP518" t="s">
        <v>74</v>
      </c>
      <c r="BQ518" t="s">
        <v>74</v>
      </c>
      <c r="BR518" t="s">
        <v>103</v>
      </c>
      <c r="BS518" t="s">
        <v>9663</v>
      </c>
      <c r="BT518" t="str">
        <f>HYPERLINK("https%3A%2F%2Fwww.webofscience.com%2Fwos%2Fwoscc%2Ffull-record%2FWOS:000290426900045","View Full Record in Web of Science")</f>
        <v>View Full Record in Web of Science</v>
      </c>
    </row>
    <row r="519" spans="1:72" x14ac:dyDescent="0.15">
      <c r="A519" t="s">
        <v>72</v>
      </c>
      <c r="B519" t="s">
        <v>9664</v>
      </c>
      <c r="C519" t="s">
        <v>74</v>
      </c>
      <c r="D519" t="s">
        <v>74</v>
      </c>
      <c r="E519" t="s">
        <v>74</v>
      </c>
      <c r="F519" t="s">
        <v>9665</v>
      </c>
      <c r="G519" t="s">
        <v>74</v>
      </c>
      <c r="H519" t="s">
        <v>74</v>
      </c>
      <c r="I519" t="s">
        <v>9666</v>
      </c>
      <c r="J519" t="s">
        <v>9667</v>
      </c>
      <c r="K519" t="s">
        <v>74</v>
      </c>
      <c r="L519" t="s">
        <v>74</v>
      </c>
      <c r="M519" t="s">
        <v>78</v>
      </c>
      <c r="N519" t="s">
        <v>79</v>
      </c>
      <c r="O519" t="s">
        <v>74</v>
      </c>
      <c r="P519" t="s">
        <v>74</v>
      </c>
      <c r="Q519" t="s">
        <v>74</v>
      </c>
      <c r="R519" t="s">
        <v>74</v>
      </c>
      <c r="S519" t="s">
        <v>74</v>
      </c>
      <c r="T519" t="s">
        <v>9668</v>
      </c>
      <c r="U519" t="s">
        <v>9669</v>
      </c>
      <c r="V519" t="s">
        <v>9670</v>
      </c>
      <c r="W519" t="s">
        <v>9671</v>
      </c>
      <c r="X519" t="s">
        <v>9672</v>
      </c>
      <c r="Y519" t="s">
        <v>9673</v>
      </c>
      <c r="Z519" t="s">
        <v>9674</v>
      </c>
      <c r="AA519" t="s">
        <v>9675</v>
      </c>
      <c r="AB519" t="s">
        <v>9676</v>
      </c>
      <c r="AC519" t="s">
        <v>9677</v>
      </c>
      <c r="AD519" t="s">
        <v>9678</v>
      </c>
      <c r="AE519" t="s">
        <v>9679</v>
      </c>
      <c r="AF519" t="s">
        <v>74</v>
      </c>
      <c r="AG519">
        <v>57</v>
      </c>
      <c r="AH519">
        <v>3</v>
      </c>
      <c r="AI519">
        <v>3</v>
      </c>
      <c r="AJ519">
        <v>1</v>
      </c>
      <c r="AK519">
        <v>8</v>
      </c>
      <c r="AL519" t="s">
        <v>2669</v>
      </c>
      <c r="AM519" t="s">
        <v>309</v>
      </c>
      <c r="AN519" t="s">
        <v>2670</v>
      </c>
      <c r="AO519" t="s">
        <v>9680</v>
      </c>
      <c r="AP519" t="s">
        <v>9681</v>
      </c>
      <c r="AQ519" t="s">
        <v>74</v>
      </c>
      <c r="AR519" t="s">
        <v>9682</v>
      </c>
      <c r="AS519" t="s">
        <v>9683</v>
      </c>
      <c r="AT519" t="s">
        <v>9573</v>
      </c>
      <c r="AU519">
        <v>2011</v>
      </c>
      <c r="AV519">
        <v>237</v>
      </c>
      <c r="AW519" t="s">
        <v>2154</v>
      </c>
      <c r="AX519" t="s">
        <v>74</v>
      </c>
      <c r="AY519" t="s">
        <v>74</v>
      </c>
      <c r="AZ519" t="s">
        <v>74</v>
      </c>
      <c r="BA519" t="s">
        <v>74</v>
      </c>
      <c r="BB519">
        <v>84</v>
      </c>
      <c r="BC519">
        <v>94</v>
      </c>
      <c r="BD519" t="s">
        <v>74</v>
      </c>
      <c r="BE519" t="s">
        <v>9684</v>
      </c>
      <c r="BF519" t="str">
        <f>HYPERLINK("http://dx.doi.org/10.1016/j.sedgeo.2011.02.007","http://dx.doi.org/10.1016/j.sedgeo.2011.02.007")</f>
        <v>http://dx.doi.org/10.1016/j.sedgeo.2011.02.007</v>
      </c>
      <c r="BG519" t="s">
        <v>74</v>
      </c>
      <c r="BH519" t="s">
        <v>74</v>
      </c>
      <c r="BI519">
        <v>11</v>
      </c>
      <c r="BJ519" t="s">
        <v>131</v>
      </c>
      <c r="BK519" t="s">
        <v>100</v>
      </c>
      <c r="BL519" t="s">
        <v>131</v>
      </c>
      <c r="BM519" t="s">
        <v>9685</v>
      </c>
      <c r="BN519" t="s">
        <v>74</v>
      </c>
      <c r="BO519" t="s">
        <v>74</v>
      </c>
      <c r="BP519" t="s">
        <v>74</v>
      </c>
      <c r="BQ519" t="s">
        <v>74</v>
      </c>
      <c r="BR519" t="s">
        <v>103</v>
      </c>
      <c r="BS519" t="s">
        <v>9686</v>
      </c>
      <c r="BT519" t="str">
        <f>HYPERLINK("https%3A%2F%2Fwww.webofscience.com%2Fwos%2Fwoscc%2Ffull-record%2FWOS:000290050400006","View Full Record in Web of Science")</f>
        <v>View Full Record in Web of Science</v>
      </c>
    </row>
    <row r="520" spans="1:72" x14ac:dyDescent="0.15">
      <c r="A520" t="s">
        <v>72</v>
      </c>
      <c r="B520" t="s">
        <v>9687</v>
      </c>
      <c r="C520" t="s">
        <v>74</v>
      </c>
      <c r="D520" t="s">
        <v>74</v>
      </c>
      <c r="E520" t="s">
        <v>74</v>
      </c>
      <c r="F520" t="s">
        <v>9688</v>
      </c>
      <c r="G520" t="s">
        <v>74</v>
      </c>
      <c r="H520" t="s">
        <v>74</v>
      </c>
      <c r="I520" t="s">
        <v>9689</v>
      </c>
      <c r="J520" t="s">
        <v>9690</v>
      </c>
      <c r="K520" t="s">
        <v>74</v>
      </c>
      <c r="L520" t="s">
        <v>74</v>
      </c>
      <c r="M520" t="s">
        <v>78</v>
      </c>
      <c r="N520" t="s">
        <v>79</v>
      </c>
      <c r="O520" t="s">
        <v>74</v>
      </c>
      <c r="P520" t="s">
        <v>74</v>
      </c>
      <c r="Q520" t="s">
        <v>74</v>
      </c>
      <c r="R520" t="s">
        <v>74</v>
      </c>
      <c r="S520" t="s">
        <v>74</v>
      </c>
      <c r="T520" t="s">
        <v>9691</v>
      </c>
      <c r="U520" t="s">
        <v>9692</v>
      </c>
      <c r="V520" t="s">
        <v>9693</v>
      </c>
      <c r="W520" t="s">
        <v>9694</v>
      </c>
      <c r="X520" t="s">
        <v>9695</v>
      </c>
      <c r="Y520" t="s">
        <v>9696</v>
      </c>
      <c r="Z520" t="s">
        <v>9697</v>
      </c>
      <c r="AA520" t="s">
        <v>9698</v>
      </c>
      <c r="AB520" t="s">
        <v>9699</v>
      </c>
      <c r="AC520" t="s">
        <v>9700</v>
      </c>
      <c r="AD520" t="s">
        <v>9701</v>
      </c>
      <c r="AE520" t="s">
        <v>9702</v>
      </c>
      <c r="AF520" t="s">
        <v>74</v>
      </c>
      <c r="AG520">
        <v>22</v>
      </c>
      <c r="AH520">
        <v>45</v>
      </c>
      <c r="AI520">
        <v>51</v>
      </c>
      <c r="AJ520">
        <v>0</v>
      </c>
      <c r="AK520">
        <v>17</v>
      </c>
      <c r="AL520" t="s">
        <v>308</v>
      </c>
      <c r="AM520" t="s">
        <v>309</v>
      </c>
      <c r="AN520" t="s">
        <v>310</v>
      </c>
      <c r="AO520" t="s">
        <v>9703</v>
      </c>
      <c r="AP520" t="s">
        <v>9704</v>
      </c>
      <c r="AQ520" t="s">
        <v>74</v>
      </c>
      <c r="AR520" t="s">
        <v>9690</v>
      </c>
      <c r="AS520" t="s">
        <v>9705</v>
      </c>
      <c r="AT520" t="s">
        <v>9573</v>
      </c>
      <c r="AU520">
        <v>2011</v>
      </c>
      <c r="AV520">
        <v>128</v>
      </c>
      <c r="AW520" t="s">
        <v>315</v>
      </c>
      <c r="AX520" t="s">
        <v>74</v>
      </c>
      <c r="AY520" t="s">
        <v>74</v>
      </c>
      <c r="AZ520" t="s">
        <v>74</v>
      </c>
      <c r="BA520" t="s">
        <v>74</v>
      </c>
      <c r="BB520">
        <v>116</v>
      </c>
      <c r="BC520">
        <v>136</v>
      </c>
      <c r="BD520" t="s">
        <v>74</v>
      </c>
      <c r="BE520" t="s">
        <v>9706</v>
      </c>
      <c r="BF520" t="str">
        <f>HYPERLINK("http://dx.doi.org/10.1016/j.geomorph.2010.12.027","http://dx.doi.org/10.1016/j.geomorph.2010.12.027")</f>
        <v>http://dx.doi.org/10.1016/j.geomorph.2010.12.027</v>
      </c>
      <c r="BG520" t="s">
        <v>74</v>
      </c>
      <c r="BH520" t="s">
        <v>74</v>
      </c>
      <c r="BI520">
        <v>21</v>
      </c>
      <c r="BJ520" t="s">
        <v>1496</v>
      </c>
      <c r="BK520" t="s">
        <v>100</v>
      </c>
      <c r="BL520" t="s">
        <v>1497</v>
      </c>
      <c r="BM520" t="s">
        <v>9707</v>
      </c>
      <c r="BN520" t="s">
        <v>74</v>
      </c>
      <c r="BO520" t="s">
        <v>74</v>
      </c>
      <c r="BP520" t="s">
        <v>74</v>
      </c>
      <c r="BQ520" t="s">
        <v>74</v>
      </c>
      <c r="BR520" t="s">
        <v>103</v>
      </c>
      <c r="BS520" t="s">
        <v>9708</v>
      </c>
      <c r="BT520" t="str">
        <f>HYPERLINK("https%3A%2F%2Fwww.webofscience.com%2Fwos%2Fwoscc%2Ffull-record%2FWOS:000289338700002","View Full Record in Web of Science")</f>
        <v>View Full Record in Web of Science</v>
      </c>
    </row>
    <row r="521" spans="1:72" x14ac:dyDescent="0.15">
      <c r="A521" t="s">
        <v>72</v>
      </c>
      <c r="B521" t="s">
        <v>9709</v>
      </c>
      <c r="C521" t="s">
        <v>74</v>
      </c>
      <c r="D521" t="s">
        <v>74</v>
      </c>
      <c r="E521" t="s">
        <v>74</v>
      </c>
      <c r="F521" t="s">
        <v>9710</v>
      </c>
      <c r="G521" t="s">
        <v>74</v>
      </c>
      <c r="H521" t="s">
        <v>74</v>
      </c>
      <c r="I521" t="s">
        <v>9711</v>
      </c>
      <c r="J521" t="s">
        <v>5885</v>
      </c>
      <c r="K521" t="s">
        <v>74</v>
      </c>
      <c r="L521" t="s">
        <v>74</v>
      </c>
      <c r="M521" t="s">
        <v>78</v>
      </c>
      <c r="N521" t="s">
        <v>79</v>
      </c>
      <c r="O521" t="s">
        <v>74</v>
      </c>
      <c r="P521" t="s">
        <v>74</v>
      </c>
      <c r="Q521" t="s">
        <v>74</v>
      </c>
      <c r="R521" t="s">
        <v>74</v>
      </c>
      <c r="S521" t="s">
        <v>74</v>
      </c>
      <c r="T521" t="s">
        <v>9712</v>
      </c>
      <c r="U521" t="s">
        <v>9713</v>
      </c>
      <c r="V521" t="s">
        <v>9714</v>
      </c>
      <c r="W521" t="s">
        <v>9715</v>
      </c>
      <c r="X521" t="s">
        <v>9716</v>
      </c>
      <c r="Y521" t="s">
        <v>9717</v>
      </c>
      <c r="Z521" t="s">
        <v>9718</v>
      </c>
      <c r="AA521" t="s">
        <v>9719</v>
      </c>
      <c r="AB521" t="s">
        <v>9720</v>
      </c>
      <c r="AC521" t="s">
        <v>9721</v>
      </c>
      <c r="AD521" t="s">
        <v>9721</v>
      </c>
      <c r="AE521" t="s">
        <v>9722</v>
      </c>
      <c r="AF521" t="s">
        <v>74</v>
      </c>
      <c r="AG521">
        <v>71</v>
      </c>
      <c r="AH521">
        <v>15</v>
      </c>
      <c r="AI521">
        <v>17</v>
      </c>
      <c r="AJ521">
        <v>0</v>
      </c>
      <c r="AK521">
        <v>11</v>
      </c>
      <c r="AL521" t="s">
        <v>308</v>
      </c>
      <c r="AM521" t="s">
        <v>309</v>
      </c>
      <c r="AN521" t="s">
        <v>310</v>
      </c>
      <c r="AO521" t="s">
        <v>5895</v>
      </c>
      <c r="AP521" t="s">
        <v>5896</v>
      </c>
      <c r="AQ521" t="s">
        <v>74</v>
      </c>
      <c r="AR521" t="s">
        <v>5897</v>
      </c>
      <c r="AS521" t="s">
        <v>5898</v>
      </c>
      <c r="AT521" t="s">
        <v>9573</v>
      </c>
      <c r="AU521">
        <v>2011</v>
      </c>
      <c r="AV521">
        <v>305</v>
      </c>
      <c r="AW521" t="s">
        <v>3418</v>
      </c>
      <c r="AX521" t="s">
        <v>74</v>
      </c>
      <c r="AY521" t="s">
        <v>74</v>
      </c>
      <c r="AZ521" t="s">
        <v>74</v>
      </c>
      <c r="BA521" t="s">
        <v>74</v>
      </c>
      <c r="BB521">
        <v>162</v>
      </c>
      <c r="BC521">
        <v>171</v>
      </c>
      <c r="BD521" t="s">
        <v>74</v>
      </c>
      <c r="BE521" t="s">
        <v>9723</v>
      </c>
      <c r="BF521" t="str">
        <f>HYPERLINK("http://dx.doi.org/10.1016/j.palaeo.2011.02.029","http://dx.doi.org/10.1016/j.palaeo.2011.02.029")</f>
        <v>http://dx.doi.org/10.1016/j.palaeo.2011.02.029</v>
      </c>
      <c r="BG521" t="s">
        <v>74</v>
      </c>
      <c r="BH521" t="s">
        <v>74</v>
      </c>
      <c r="BI521">
        <v>10</v>
      </c>
      <c r="BJ521" t="s">
        <v>5900</v>
      </c>
      <c r="BK521" t="s">
        <v>100</v>
      </c>
      <c r="BL521" t="s">
        <v>5901</v>
      </c>
      <c r="BM521" t="s">
        <v>9593</v>
      </c>
      <c r="BN521" t="s">
        <v>74</v>
      </c>
      <c r="BO521" t="s">
        <v>74</v>
      </c>
      <c r="BP521" t="s">
        <v>74</v>
      </c>
      <c r="BQ521" t="s">
        <v>74</v>
      </c>
      <c r="BR521" t="s">
        <v>103</v>
      </c>
      <c r="BS521" t="s">
        <v>9724</v>
      </c>
      <c r="BT521" t="str">
        <f>HYPERLINK("https%3A%2F%2Fwww.webofscience.com%2Fwos%2Fwoscc%2Ffull-record%2FWOS:000291291000014","View Full Record in Web of Science")</f>
        <v>View Full Record in Web of Science</v>
      </c>
    </row>
    <row r="522" spans="1:72" x14ac:dyDescent="0.15">
      <c r="A522" t="s">
        <v>72</v>
      </c>
      <c r="B522" t="s">
        <v>9725</v>
      </c>
      <c r="C522" t="s">
        <v>74</v>
      </c>
      <c r="D522" t="s">
        <v>74</v>
      </c>
      <c r="E522" t="s">
        <v>74</v>
      </c>
      <c r="F522" t="s">
        <v>9726</v>
      </c>
      <c r="G522" t="s">
        <v>74</v>
      </c>
      <c r="H522" t="s">
        <v>74</v>
      </c>
      <c r="I522" t="s">
        <v>9727</v>
      </c>
      <c r="J522" t="s">
        <v>108</v>
      </c>
      <c r="K522" t="s">
        <v>74</v>
      </c>
      <c r="L522" t="s">
        <v>74</v>
      </c>
      <c r="M522" t="s">
        <v>78</v>
      </c>
      <c r="N522" t="s">
        <v>79</v>
      </c>
      <c r="O522" t="s">
        <v>74</v>
      </c>
      <c r="P522" t="s">
        <v>74</v>
      </c>
      <c r="Q522" t="s">
        <v>74</v>
      </c>
      <c r="R522" t="s">
        <v>74</v>
      </c>
      <c r="S522" t="s">
        <v>74</v>
      </c>
      <c r="T522" t="s">
        <v>74</v>
      </c>
      <c r="U522" t="s">
        <v>9728</v>
      </c>
      <c r="V522" t="s">
        <v>9729</v>
      </c>
      <c r="W522" t="s">
        <v>9730</v>
      </c>
      <c r="X522" t="s">
        <v>9731</v>
      </c>
      <c r="Y522" t="s">
        <v>9732</v>
      </c>
      <c r="Z522" t="s">
        <v>9733</v>
      </c>
      <c r="AA522" t="s">
        <v>9734</v>
      </c>
      <c r="AB522" t="s">
        <v>9735</v>
      </c>
      <c r="AC522" t="s">
        <v>9736</v>
      </c>
      <c r="AD522" t="s">
        <v>9737</v>
      </c>
      <c r="AE522" t="s">
        <v>9738</v>
      </c>
      <c r="AF522" t="s">
        <v>74</v>
      </c>
      <c r="AG522">
        <v>23</v>
      </c>
      <c r="AH522">
        <v>36</v>
      </c>
      <c r="AI522">
        <v>39</v>
      </c>
      <c r="AJ522">
        <v>0</v>
      </c>
      <c r="AK522">
        <v>9</v>
      </c>
      <c r="AL522" t="s">
        <v>120</v>
      </c>
      <c r="AM522" t="s">
        <v>121</v>
      </c>
      <c r="AN522" t="s">
        <v>122</v>
      </c>
      <c r="AO522" t="s">
        <v>123</v>
      </c>
      <c r="AP522" t="s">
        <v>74</v>
      </c>
      <c r="AQ522" t="s">
        <v>74</v>
      </c>
      <c r="AR522" t="s">
        <v>125</v>
      </c>
      <c r="AS522" t="s">
        <v>126</v>
      </c>
      <c r="AT522" t="s">
        <v>9739</v>
      </c>
      <c r="AU522">
        <v>2011</v>
      </c>
      <c r="AV522">
        <v>38</v>
      </c>
      <c r="AW522" t="s">
        <v>74</v>
      </c>
      <c r="AX522" t="s">
        <v>74</v>
      </c>
      <c r="AY522" t="s">
        <v>74</v>
      </c>
      <c r="AZ522" t="s">
        <v>74</v>
      </c>
      <c r="BA522" t="s">
        <v>74</v>
      </c>
      <c r="BB522" t="s">
        <v>74</v>
      </c>
      <c r="BC522" t="s">
        <v>74</v>
      </c>
      <c r="BD522" t="s">
        <v>9740</v>
      </c>
      <c r="BE522" t="s">
        <v>9741</v>
      </c>
      <c r="BF522" t="str">
        <f>HYPERLINK("http://dx.doi.org/10.1029/2011GL046775","http://dx.doi.org/10.1029/2011GL046775")</f>
        <v>http://dx.doi.org/10.1029/2011GL046775</v>
      </c>
      <c r="BG522" t="s">
        <v>74</v>
      </c>
      <c r="BH522" t="s">
        <v>74</v>
      </c>
      <c r="BI522">
        <v>5</v>
      </c>
      <c r="BJ522" t="s">
        <v>130</v>
      </c>
      <c r="BK522" t="s">
        <v>100</v>
      </c>
      <c r="BL522" t="s">
        <v>131</v>
      </c>
      <c r="BM522" t="s">
        <v>9742</v>
      </c>
      <c r="BN522" t="s">
        <v>74</v>
      </c>
      <c r="BO522" t="s">
        <v>702</v>
      </c>
      <c r="BP522" t="s">
        <v>74</v>
      </c>
      <c r="BQ522" t="s">
        <v>74</v>
      </c>
      <c r="BR522" t="s">
        <v>103</v>
      </c>
      <c r="BS522" t="s">
        <v>9743</v>
      </c>
      <c r="BT522" t="str">
        <f>HYPERLINK("https%3A%2F%2Fwww.webofscience.com%2Fwos%2Fwoscc%2Ffull-record%2FWOS:000290624100001","View Full Record in Web of Science")</f>
        <v>View Full Record in Web of Science</v>
      </c>
    </row>
    <row r="523" spans="1:72" x14ac:dyDescent="0.15">
      <c r="A523" t="s">
        <v>72</v>
      </c>
      <c r="B523" t="s">
        <v>9744</v>
      </c>
      <c r="C523" t="s">
        <v>74</v>
      </c>
      <c r="D523" t="s">
        <v>74</v>
      </c>
      <c r="E523" t="s">
        <v>74</v>
      </c>
      <c r="F523" t="s">
        <v>9745</v>
      </c>
      <c r="G523" t="s">
        <v>74</v>
      </c>
      <c r="H523" t="s">
        <v>74</v>
      </c>
      <c r="I523" t="s">
        <v>9746</v>
      </c>
      <c r="J523" t="s">
        <v>254</v>
      </c>
      <c r="K523" t="s">
        <v>74</v>
      </c>
      <c r="L523" t="s">
        <v>74</v>
      </c>
      <c r="M523" t="s">
        <v>78</v>
      </c>
      <c r="N523" t="s">
        <v>79</v>
      </c>
      <c r="O523" t="s">
        <v>74</v>
      </c>
      <c r="P523" t="s">
        <v>74</v>
      </c>
      <c r="Q523" t="s">
        <v>74</v>
      </c>
      <c r="R523" t="s">
        <v>74</v>
      </c>
      <c r="S523" t="s">
        <v>74</v>
      </c>
      <c r="T523" t="s">
        <v>74</v>
      </c>
      <c r="U523" t="s">
        <v>9747</v>
      </c>
      <c r="V523" t="s">
        <v>9748</v>
      </c>
      <c r="W523" t="s">
        <v>9749</v>
      </c>
      <c r="X523" t="s">
        <v>9750</v>
      </c>
      <c r="Y523" t="s">
        <v>9751</v>
      </c>
      <c r="Z523" t="s">
        <v>9752</v>
      </c>
      <c r="AA523" t="s">
        <v>9753</v>
      </c>
      <c r="AB523" t="s">
        <v>9754</v>
      </c>
      <c r="AC523" t="s">
        <v>9755</v>
      </c>
      <c r="AD523" t="s">
        <v>9755</v>
      </c>
      <c r="AE523" t="s">
        <v>9756</v>
      </c>
      <c r="AF523" t="s">
        <v>74</v>
      </c>
      <c r="AG523">
        <v>43</v>
      </c>
      <c r="AH523">
        <v>16</v>
      </c>
      <c r="AI523">
        <v>19</v>
      </c>
      <c r="AJ523">
        <v>1</v>
      </c>
      <c r="AK523">
        <v>11</v>
      </c>
      <c r="AL523" t="s">
        <v>120</v>
      </c>
      <c r="AM523" t="s">
        <v>121</v>
      </c>
      <c r="AN523" t="s">
        <v>122</v>
      </c>
      <c r="AO523" t="s">
        <v>265</v>
      </c>
      <c r="AP523" t="s">
        <v>266</v>
      </c>
      <c r="AQ523" t="s">
        <v>74</v>
      </c>
      <c r="AR523" t="s">
        <v>267</v>
      </c>
      <c r="AS523" t="s">
        <v>268</v>
      </c>
      <c r="AT523" t="s">
        <v>9757</v>
      </c>
      <c r="AU523">
        <v>2011</v>
      </c>
      <c r="AV523">
        <v>116</v>
      </c>
      <c r="AW523" t="s">
        <v>74</v>
      </c>
      <c r="AX523" t="s">
        <v>74</v>
      </c>
      <c r="AY523" t="s">
        <v>74</v>
      </c>
      <c r="AZ523" t="s">
        <v>74</v>
      </c>
      <c r="BA523" t="s">
        <v>74</v>
      </c>
      <c r="BB523" t="s">
        <v>74</v>
      </c>
      <c r="BC523" t="s">
        <v>74</v>
      </c>
      <c r="BD523" t="s">
        <v>9758</v>
      </c>
      <c r="BE523" t="s">
        <v>9759</v>
      </c>
      <c r="BF523" t="str">
        <f>HYPERLINK("http://dx.doi.org/10.1029/2010JC006349","http://dx.doi.org/10.1029/2010JC006349")</f>
        <v>http://dx.doi.org/10.1029/2010JC006349</v>
      </c>
      <c r="BG523" t="s">
        <v>74</v>
      </c>
      <c r="BH523" t="s">
        <v>74</v>
      </c>
      <c r="BI523">
        <v>13</v>
      </c>
      <c r="BJ523" t="s">
        <v>271</v>
      </c>
      <c r="BK523" t="s">
        <v>100</v>
      </c>
      <c r="BL523" t="s">
        <v>271</v>
      </c>
      <c r="BM523" t="s">
        <v>9760</v>
      </c>
      <c r="BN523" t="s">
        <v>74</v>
      </c>
      <c r="BO523" t="s">
        <v>152</v>
      </c>
      <c r="BP523" t="s">
        <v>74</v>
      </c>
      <c r="BQ523" t="s">
        <v>74</v>
      </c>
      <c r="BR523" t="s">
        <v>103</v>
      </c>
      <c r="BS523" t="s">
        <v>9761</v>
      </c>
      <c r="BT523" t="str">
        <f>HYPERLINK("https%3A%2F%2Fwww.webofscience.com%2Fwos%2Fwoscc%2Ffull-record%2FWOS:000290623900001","View Full Record in Web of Science")</f>
        <v>View Full Record in Web of Science</v>
      </c>
    </row>
    <row r="524" spans="1:72" x14ac:dyDescent="0.15">
      <c r="A524" t="s">
        <v>72</v>
      </c>
      <c r="B524" t="s">
        <v>9762</v>
      </c>
      <c r="C524" t="s">
        <v>74</v>
      </c>
      <c r="D524" t="s">
        <v>74</v>
      </c>
      <c r="E524" t="s">
        <v>74</v>
      </c>
      <c r="F524" t="s">
        <v>9763</v>
      </c>
      <c r="G524" t="s">
        <v>74</v>
      </c>
      <c r="H524" t="s">
        <v>74</v>
      </c>
      <c r="I524" t="s">
        <v>9764</v>
      </c>
      <c r="J524" t="s">
        <v>3741</v>
      </c>
      <c r="K524" t="s">
        <v>74</v>
      </c>
      <c r="L524" t="s">
        <v>74</v>
      </c>
      <c r="M524" t="s">
        <v>78</v>
      </c>
      <c r="N524" t="s">
        <v>79</v>
      </c>
      <c r="O524" t="s">
        <v>74</v>
      </c>
      <c r="P524" t="s">
        <v>74</v>
      </c>
      <c r="Q524" t="s">
        <v>74</v>
      </c>
      <c r="R524" t="s">
        <v>74</v>
      </c>
      <c r="S524" t="s">
        <v>74</v>
      </c>
      <c r="T524" t="s">
        <v>9765</v>
      </c>
      <c r="U524" t="s">
        <v>9766</v>
      </c>
      <c r="V524" t="s">
        <v>9767</v>
      </c>
      <c r="W524" t="s">
        <v>9768</v>
      </c>
      <c r="X524" t="s">
        <v>9769</v>
      </c>
      <c r="Y524" t="s">
        <v>9770</v>
      </c>
      <c r="Z524" t="s">
        <v>9771</v>
      </c>
      <c r="AA524" t="s">
        <v>74</v>
      </c>
      <c r="AB524" t="s">
        <v>74</v>
      </c>
      <c r="AC524" t="s">
        <v>9772</v>
      </c>
      <c r="AD524" t="s">
        <v>9773</v>
      </c>
      <c r="AE524" t="s">
        <v>9774</v>
      </c>
      <c r="AF524" t="s">
        <v>74</v>
      </c>
      <c r="AG524">
        <v>45</v>
      </c>
      <c r="AH524">
        <v>86</v>
      </c>
      <c r="AI524">
        <v>91</v>
      </c>
      <c r="AJ524">
        <v>0</v>
      </c>
      <c r="AK524">
        <v>31</v>
      </c>
      <c r="AL524" t="s">
        <v>3754</v>
      </c>
      <c r="AM524" t="s">
        <v>121</v>
      </c>
      <c r="AN524" t="s">
        <v>3755</v>
      </c>
      <c r="AO524" t="s">
        <v>3756</v>
      </c>
      <c r="AP524" t="s">
        <v>74</v>
      </c>
      <c r="AQ524" t="s">
        <v>74</v>
      </c>
      <c r="AR524" t="s">
        <v>3757</v>
      </c>
      <c r="AS524" t="s">
        <v>3758</v>
      </c>
      <c r="AT524" t="s">
        <v>9775</v>
      </c>
      <c r="AU524">
        <v>2011</v>
      </c>
      <c r="AV524">
        <v>108</v>
      </c>
      <c r="AW524">
        <v>19</v>
      </c>
      <c r="AX524" t="s">
        <v>74</v>
      </c>
      <c r="AY524" t="s">
        <v>74</v>
      </c>
      <c r="AZ524" t="s">
        <v>74</v>
      </c>
      <c r="BA524" t="s">
        <v>74</v>
      </c>
      <c r="BB524">
        <v>7693</v>
      </c>
      <c r="BC524">
        <v>7697</v>
      </c>
      <c r="BD524" t="s">
        <v>74</v>
      </c>
      <c r="BE524" t="s">
        <v>9776</v>
      </c>
      <c r="BF524" t="str">
        <f>HYPERLINK("http://dx.doi.org/10.1073/pnas.1017332108","http://dx.doi.org/10.1073/pnas.1017332108")</f>
        <v>http://dx.doi.org/10.1073/pnas.1017332108</v>
      </c>
      <c r="BG524" t="s">
        <v>74</v>
      </c>
      <c r="BH524" t="s">
        <v>74</v>
      </c>
      <c r="BI524">
        <v>5</v>
      </c>
      <c r="BJ524" t="s">
        <v>177</v>
      </c>
      <c r="BK524" t="s">
        <v>100</v>
      </c>
      <c r="BL524" t="s">
        <v>178</v>
      </c>
      <c r="BM524" t="s">
        <v>9777</v>
      </c>
      <c r="BN524">
        <v>21515828</v>
      </c>
      <c r="BO524" t="s">
        <v>702</v>
      </c>
      <c r="BP524" t="s">
        <v>74</v>
      </c>
      <c r="BQ524" t="s">
        <v>74</v>
      </c>
      <c r="BR524" t="s">
        <v>103</v>
      </c>
      <c r="BS524" t="s">
        <v>9778</v>
      </c>
      <c r="BT524" t="str">
        <f>HYPERLINK("https%3A%2F%2Fwww.webofscience.com%2Fwos%2Fwoscc%2Ffull-record%2FWOS:000290439500017","View Full Record in Web of Science")</f>
        <v>View Full Record in Web of Science</v>
      </c>
    </row>
    <row r="525" spans="1:72" x14ac:dyDescent="0.15">
      <c r="A525" t="s">
        <v>72</v>
      </c>
      <c r="B525" t="s">
        <v>9779</v>
      </c>
      <c r="C525" t="s">
        <v>74</v>
      </c>
      <c r="D525" t="s">
        <v>74</v>
      </c>
      <c r="E525" t="s">
        <v>74</v>
      </c>
      <c r="F525" t="s">
        <v>9780</v>
      </c>
      <c r="G525" t="s">
        <v>74</v>
      </c>
      <c r="H525" t="s">
        <v>74</v>
      </c>
      <c r="I525" t="s">
        <v>9781</v>
      </c>
      <c r="J525" t="s">
        <v>108</v>
      </c>
      <c r="K525" t="s">
        <v>74</v>
      </c>
      <c r="L525" t="s">
        <v>74</v>
      </c>
      <c r="M525" t="s">
        <v>78</v>
      </c>
      <c r="N525" t="s">
        <v>79</v>
      </c>
      <c r="O525" t="s">
        <v>74</v>
      </c>
      <c r="P525" t="s">
        <v>74</v>
      </c>
      <c r="Q525" t="s">
        <v>74</v>
      </c>
      <c r="R525" t="s">
        <v>74</v>
      </c>
      <c r="S525" t="s">
        <v>74</v>
      </c>
      <c r="T525" t="s">
        <v>74</v>
      </c>
      <c r="U525" t="s">
        <v>9782</v>
      </c>
      <c r="V525" t="s">
        <v>9783</v>
      </c>
      <c r="W525" t="s">
        <v>9784</v>
      </c>
      <c r="X525" t="s">
        <v>9785</v>
      </c>
      <c r="Y525" t="s">
        <v>9786</v>
      </c>
      <c r="Z525" t="s">
        <v>9787</v>
      </c>
      <c r="AA525" t="s">
        <v>74</v>
      </c>
      <c r="AB525" t="s">
        <v>74</v>
      </c>
      <c r="AC525" t="s">
        <v>74</v>
      </c>
      <c r="AD525" t="s">
        <v>74</v>
      </c>
      <c r="AE525" t="s">
        <v>74</v>
      </c>
      <c r="AF525" t="s">
        <v>74</v>
      </c>
      <c r="AG525">
        <v>19</v>
      </c>
      <c r="AH525">
        <v>67</v>
      </c>
      <c r="AI525">
        <v>73</v>
      </c>
      <c r="AJ525">
        <v>4</v>
      </c>
      <c r="AK525">
        <v>26</v>
      </c>
      <c r="AL525" t="s">
        <v>120</v>
      </c>
      <c r="AM525" t="s">
        <v>121</v>
      </c>
      <c r="AN525" t="s">
        <v>122</v>
      </c>
      <c r="AO525" t="s">
        <v>123</v>
      </c>
      <c r="AP525" t="s">
        <v>124</v>
      </c>
      <c r="AQ525" t="s">
        <v>74</v>
      </c>
      <c r="AR525" t="s">
        <v>125</v>
      </c>
      <c r="AS525" t="s">
        <v>126</v>
      </c>
      <c r="AT525" t="s">
        <v>9788</v>
      </c>
      <c r="AU525">
        <v>2011</v>
      </c>
      <c r="AV525">
        <v>38</v>
      </c>
      <c r="AW525" t="s">
        <v>74</v>
      </c>
      <c r="AX525" t="s">
        <v>74</v>
      </c>
      <c r="AY525" t="s">
        <v>74</v>
      </c>
      <c r="AZ525" t="s">
        <v>74</v>
      </c>
      <c r="BA525" t="s">
        <v>74</v>
      </c>
      <c r="BB525" t="s">
        <v>74</v>
      </c>
      <c r="BC525" t="s">
        <v>74</v>
      </c>
      <c r="BD525" t="s">
        <v>9789</v>
      </c>
      <c r="BE525" t="s">
        <v>9790</v>
      </c>
      <c r="BF525" t="str">
        <f>HYPERLINK("http://dx.doi.org/10.1029/2011GL047266","http://dx.doi.org/10.1029/2011GL047266")</f>
        <v>http://dx.doi.org/10.1029/2011GL047266</v>
      </c>
      <c r="BG525" t="s">
        <v>74</v>
      </c>
      <c r="BH525" t="s">
        <v>74</v>
      </c>
      <c r="BI525">
        <v>4</v>
      </c>
      <c r="BJ525" t="s">
        <v>130</v>
      </c>
      <c r="BK525" t="s">
        <v>100</v>
      </c>
      <c r="BL525" t="s">
        <v>131</v>
      </c>
      <c r="BM525" t="s">
        <v>9791</v>
      </c>
      <c r="BN525" t="s">
        <v>74</v>
      </c>
      <c r="BO525" t="s">
        <v>152</v>
      </c>
      <c r="BP525" t="s">
        <v>74</v>
      </c>
      <c r="BQ525" t="s">
        <v>74</v>
      </c>
      <c r="BR525" t="s">
        <v>103</v>
      </c>
      <c r="BS525" t="s">
        <v>9792</v>
      </c>
      <c r="BT525" t="str">
        <f>HYPERLINK("https%3A%2F%2Fwww.webofscience.com%2Fwos%2Fwoscc%2Ffull-record%2FWOS:000290443100002","View Full Record in Web of Science")</f>
        <v>View Full Record in Web of Science</v>
      </c>
    </row>
    <row r="526" spans="1:72" x14ac:dyDescent="0.15">
      <c r="A526" t="s">
        <v>72</v>
      </c>
      <c r="B526" t="s">
        <v>9793</v>
      </c>
      <c r="C526" t="s">
        <v>74</v>
      </c>
      <c r="D526" t="s">
        <v>74</v>
      </c>
      <c r="E526" t="s">
        <v>74</v>
      </c>
      <c r="F526" t="s">
        <v>9794</v>
      </c>
      <c r="G526" t="s">
        <v>74</v>
      </c>
      <c r="H526" t="s">
        <v>74</v>
      </c>
      <c r="I526" t="s">
        <v>9795</v>
      </c>
      <c r="J526" t="s">
        <v>230</v>
      </c>
      <c r="K526" t="s">
        <v>74</v>
      </c>
      <c r="L526" t="s">
        <v>74</v>
      </c>
      <c r="M526" t="s">
        <v>78</v>
      </c>
      <c r="N526" t="s">
        <v>79</v>
      </c>
      <c r="O526" t="s">
        <v>74</v>
      </c>
      <c r="P526" t="s">
        <v>74</v>
      </c>
      <c r="Q526" t="s">
        <v>74</v>
      </c>
      <c r="R526" t="s">
        <v>74</v>
      </c>
      <c r="S526" t="s">
        <v>74</v>
      </c>
      <c r="T526" t="s">
        <v>74</v>
      </c>
      <c r="U526" t="s">
        <v>9796</v>
      </c>
      <c r="V526" t="s">
        <v>9797</v>
      </c>
      <c r="W526" t="s">
        <v>9798</v>
      </c>
      <c r="X526" t="s">
        <v>9799</v>
      </c>
      <c r="Y526" t="s">
        <v>9800</v>
      </c>
      <c r="Z526" t="s">
        <v>9801</v>
      </c>
      <c r="AA526" t="s">
        <v>74</v>
      </c>
      <c r="AB526" t="s">
        <v>9802</v>
      </c>
      <c r="AC526" t="s">
        <v>9803</v>
      </c>
      <c r="AD526" t="s">
        <v>9803</v>
      </c>
      <c r="AE526" t="s">
        <v>9804</v>
      </c>
      <c r="AF526" t="s">
        <v>74</v>
      </c>
      <c r="AG526">
        <v>29</v>
      </c>
      <c r="AH526">
        <v>19</v>
      </c>
      <c r="AI526">
        <v>19</v>
      </c>
      <c r="AJ526">
        <v>0</v>
      </c>
      <c r="AK526">
        <v>6</v>
      </c>
      <c r="AL526" t="s">
        <v>120</v>
      </c>
      <c r="AM526" t="s">
        <v>121</v>
      </c>
      <c r="AN526" t="s">
        <v>122</v>
      </c>
      <c r="AO526" t="s">
        <v>242</v>
      </c>
      <c r="AP526" t="s">
        <v>74</v>
      </c>
      <c r="AQ526" t="s">
        <v>74</v>
      </c>
      <c r="AR526" t="s">
        <v>244</v>
      </c>
      <c r="AS526" t="s">
        <v>245</v>
      </c>
      <c r="AT526" t="s">
        <v>9788</v>
      </c>
      <c r="AU526">
        <v>2011</v>
      </c>
      <c r="AV526">
        <v>116</v>
      </c>
      <c r="AW526" t="s">
        <v>74</v>
      </c>
      <c r="AX526" t="s">
        <v>74</v>
      </c>
      <c r="AY526" t="s">
        <v>74</v>
      </c>
      <c r="AZ526" t="s">
        <v>74</v>
      </c>
      <c r="BA526" t="s">
        <v>74</v>
      </c>
      <c r="BB526" t="s">
        <v>74</v>
      </c>
      <c r="BC526" t="s">
        <v>74</v>
      </c>
      <c r="BD526" t="s">
        <v>9805</v>
      </c>
      <c r="BE526" t="s">
        <v>9806</v>
      </c>
      <c r="BF526" t="str">
        <f>HYPERLINK("http://dx.doi.org/10.1029/2010JD014900","http://dx.doi.org/10.1029/2010JD014900")</f>
        <v>http://dx.doi.org/10.1029/2010JD014900</v>
      </c>
      <c r="BG526" t="s">
        <v>74</v>
      </c>
      <c r="BH526" t="s">
        <v>74</v>
      </c>
      <c r="BI526">
        <v>10</v>
      </c>
      <c r="BJ526" t="s">
        <v>248</v>
      </c>
      <c r="BK526" t="s">
        <v>100</v>
      </c>
      <c r="BL526" t="s">
        <v>248</v>
      </c>
      <c r="BM526" t="s">
        <v>9807</v>
      </c>
      <c r="BN526" t="s">
        <v>74</v>
      </c>
      <c r="BO526" t="s">
        <v>152</v>
      </c>
      <c r="BP526" t="s">
        <v>74</v>
      </c>
      <c r="BQ526" t="s">
        <v>74</v>
      </c>
      <c r="BR526" t="s">
        <v>103</v>
      </c>
      <c r="BS526" t="s">
        <v>9808</v>
      </c>
      <c r="BT526" t="str">
        <f>HYPERLINK("https%3A%2F%2Fwww.webofscience.com%2Fwos%2Fwoscc%2Ffull-record%2FWOS:000290428300001","View Full Record in Web of Science")</f>
        <v>View Full Record in Web of Science</v>
      </c>
    </row>
    <row r="527" spans="1:72" x14ac:dyDescent="0.15">
      <c r="A527" t="s">
        <v>72</v>
      </c>
      <c r="B527" t="s">
        <v>9809</v>
      </c>
      <c r="C527" t="s">
        <v>74</v>
      </c>
      <c r="D527" t="s">
        <v>74</v>
      </c>
      <c r="E527" t="s">
        <v>74</v>
      </c>
      <c r="F527" t="s">
        <v>9810</v>
      </c>
      <c r="G527" t="s">
        <v>74</v>
      </c>
      <c r="H527" t="s">
        <v>74</v>
      </c>
      <c r="I527" t="s">
        <v>9811</v>
      </c>
      <c r="J527" t="s">
        <v>373</v>
      </c>
      <c r="K527" t="s">
        <v>74</v>
      </c>
      <c r="L527" t="s">
        <v>74</v>
      </c>
      <c r="M527" t="s">
        <v>78</v>
      </c>
      <c r="N527" t="s">
        <v>79</v>
      </c>
      <c r="O527" t="s">
        <v>74</v>
      </c>
      <c r="P527" t="s">
        <v>74</v>
      </c>
      <c r="Q527" t="s">
        <v>74</v>
      </c>
      <c r="R527" t="s">
        <v>74</v>
      </c>
      <c r="S527" t="s">
        <v>74</v>
      </c>
      <c r="T527" t="s">
        <v>74</v>
      </c>
      <c r="U527" t="s">
        <v>9812</v>
      </c>
      <c r="V527" t="s">
        <v>9813</v>
      </c>
      <c r="W527" t="s">
        <v>9814</v>
      </c>
      <c r="X527" t="s">
        <v>9815</v>
      </c>
      <c r="Y527" t="s">
        <v>9816</v>
      </c>
      <c r="Z527" t="s">
        <v>9817</v>
      </c>
      <c r="AA527" t="s">
        <v>9818</v>
      </c>
      <c r="AB527" t="s">
        <v>9819</v>
      </c>
      <c r="AC527" t="s">
        <v>9820</v>
      </c>
      <c r="AD527" t="s">
        <v>9821</v>
      </c>
      <c r="AE527" t="s">
        <v>9822</v>
      </c>
      <c r="AF527" t="s">
        <v>74</v>
      </c>
      <c r="AG527">
        <v>45</v>
      </c>
      <c r="AH527">
        <v>16</v>
      </c>
      <c r="AI527">
        <v>16</v>
      </c>
      <c r="AJ527">
        <v>0</v>
      </c>
      <c r="AK527">
        <v>3</v>
      </c>
      <c r="AL527" t="s">
        <v>120</v>
      </c>
      <c r="AM527" t="s">
        <v>121</v>
      </c>
      <c r="AN527" t="s">
        <v>122</v>
      </c>
      <c r="AO527" t="s">
        <v>385</v>
      </c>
      <c r="AP527" t="s">
        <v>386</v>
      </c>
      <c r="AQ527" t="s">
        <v>74</v>
      </c>
      <c r="AR527" t="s">
        <v>387</v>
      </c>
      <c r="AS527" t="s">
        <v>388</v>
      </c>
      <c r="AT527" t="s">
        <v>9823</v>
      </c>
      <c r="AU527">
        <v>2011</v>
      </c>
      <c r="AV527">
        <v>116</v>
      </c>
      <c r="AW527" t="s">
        <v>74</v>
      </c>
      <c r="AX527" t="s">
        <v>74</v>
      </c>
      <c r="AY527" t="s">
        <v>74</v>
      </c>
      <c r="AZ527" t="s">
        <v>74</v>
      </c>
      <c r="BA527" t="s">
        <v>74</v>
      </c>
      <c r="BB527" t="s">
        <v>74</v>
      </c>
      <c r="BC527" t="s">
        <v>74</v>
      </c>
      <c r="BD527" t="s">
        <v>9824</v>
      </c>
      <c r="BE527" t="s">
        <v>9825</v>
      </c>
      <c r="BF527" t="str">
        <f>HYPERLINK("http://dx.doi.org/10.1029/2010JA016277","http://dx.doi.org/10.1029/2010JA016277")</f>
        <v>http://dx.doi.org/10.1029/2010JA016277</v>
      </c>
      <c r="BG527" t="s">
        <v>74</v>
      </c>
      <c r="BH527" t="s">
        <v>74</v>
      </c>
      <c r="BI527">
        <v>17</v>
      </c>
      <c r="BJ527" t="s">
        <v>391</v>
      </c>
      <c r="BK527" t="s">
        <v>100</v>
      </c>
      <c r="BL527" t="s">
        <v>391</v>
      </c>
      <c r="BM527" t="s">
        <v>9826</v>
      </c>
      <c r="BN527" t="s">
        <v>74</v>
      </c>
      <c r="BO527" t="s">
        <v>3194</v>
      </c>
      <c r="BP527" t="s">
        <v>74</v>
      </c>
      <c r="BQ527" t="s">
        <v>74</v>
      </c>
      <c r="BR527" t="s">
        <v>103</v>
      </c>
      <c r="BS527" t="s">
        <v>9827</v>
      </c>
      <c r="BT527" t="str">
        <f>HYPERLINK("https%3A%2F%2Fwww.webofscience.com%2Fwos%2Fwoscc%2Ffull-record%2FWOS:000290414900003","View Full Record in Web of Science")</f>
        <v>View Full Record in Web of Science</v>
      </c>
    </row>
    <row r="528" spans="1:72" x14ac:dyDescent="0.15">
      <c r="A528" t="s">
        <v>72</v>
      </c>
      <c r="B528" t="s">
        <v>9828</v>
      </c>
      <c r="C528" t="s">
        <v>74</v>
      </c>
      <c r="D528" t="s">
        <v>74</v>
      </c>
      <c r="E528" t="s">
        <v>74</v>
      </c>
      <c r="F528" t="s">
        <v>9829</v>
      </c>
      <c r="G528" t="s">
        <v>74</v>
      </c>
      <c r="H528" t="s">
        <v>74</v>
      </c>
      <c r="I528" t="s">
        <v>9830</v>
      </c>
      <c r="J528" t="s">
        <v>3741</v>
      </c>
      <c r="K528" t="s">
        <v>74</v>
      </c>
      <c r="L528" t="s">
        <v>74</v>
      </c>
      <c r="M528" t="s">
        <v>78</v>
      </c>
      <c r="N528" t="s">
        <v>79</v>
      </c>
      <c r="O528" t="s">
        <v>74</v>
      </c>
      <c r="P528" t="s">
        <v>74</v>
      </c>
      <c r="Q528" t="s">
        <v>74</v>
      </c>
      <c r="R528" t="s">
        <v>74</v>
      </c>
      <c r="S528" t="s">
        <v>74</v>
      </c>
      <c r="T528" t="s">
        <v>9831</v>
      </c>
      <c r="U528" t="s">
        <v>9832</v>
      </c>
      <c r="V528" t="s">
        <v>9833</v>
      </c>
      <c r="W528" t="s">
        <v>9834</v>
      </c>
      <c r="X528" t="s">
        <v>9835</v>
      </c>
      <c r="Y528" t="s">
        <v>9836</v>
      </c>
      <c r="Z528" t="s">
        <v>9837</v>
      </c>
      <c r="AA528" t="s">
        <v>74</v>
      </c>
      <c r="AB528" t="s">
        <v>9838</v>
      </c>
      <c r="AC528" t="s">
        <v>9839</v>
      </c>
      <c r="AD528" t="s">
        <v>9840</v>
      </c>
      <c r="AE528" t="s">
        <v>9841</v>
      </c>
      <c r="AF528" t="s">
        <v>74</v>
      </c>
      <c r="AG528">
        <v>39</v>
      </c>
      <c r="AH528">
        <v>290</v>
      </c>
      <c r="AI528">
        <v>329</v>
      </c>
      <c r="AJ528">
        <v>5</v>
      </c>
      <c r="AK528">
        <v>128</v>
      </c>
      <c r="AL528" t="s">
        <v>3754</v>
      </c>
      <c r="AM528" t="s">
        <v>121</v>
      </c>
      <c r="AN528" t="s">
        <v>3755</v>
      </c>
      <c r="AO528" t="s">
        <v>3756</v>
      </c>
      <c r="AP528" t="s">
        <v>74</v>
      </c>
      <c r="AQ528" t="s">
        <v>74</v>
      </c>
      <c r="AR528" t="s">
        <v>3757</v>
      </c>
      <c r="AS528" t="s">
        <v>3758</v>
      </c>
      <c r="AT528" t="s">
        <v>9842</v>
      </c>
      <c r="AU528">
        <v>2011</v>
      </c>
      <c r="AV528">
        <v>108</v>
      </c>
      <c r="AW528">
        <v>18</v>
      </c>
      <c r="AX528" t="s">
        <v>74</v>
      </c>
      <c r="AY528" t="s">
        <v>74</v>
      </c>
      <c r="AZ528" t="s">
        <v>74</v>
      </c>
      <c r="BA528" t="s">
        <v>74</v>
      </c>
      <c r="BB528">
        <v>7363</v>
      </c>
      <c r="BC528">
        <v>7367</v>
      </c>
      <c r="BD528" t="s">
        <v>74</v>
      </c>
      <c r="BE528" t="s">
        <v>9843</v>
      </c>
      <c r="BF528" t="str">
        <f>HYPERLINK("http://dx.doi.org/10.1073/pnas.1100429108","http://dx.doi.org/10.1073/pnas.1100429108")</f>
        <v>http://dx.doi.org/10.1073/pnas.1100429108</v>
      </c>
      <c r="BG528" t="s">
        <v>74</v>
      </c>
      <c r="BH528" t="s">
        <v>74</v>
      </c>
      <c r="BI528">
        <v>5</v>
      </c>
      <c r="BJ528" t="s">
        <v>177</v>
      </c>
      <c r="BK528" t="s">
        <v>100</v>
      </c>
      <c r="BL528" t="s">
        <v>178</v>
      </c>
      <c r="BM528" t="s">
        <v>9844</v>
      </c>
      <c r="BN528">
        <v>21482800</v>
      </c>
      <c r="BO528" t="s">
        <v>3194</v>
      </c>
      <c r="BP528" t="s">
        <v>74</v>
      </c>
      <c r="BQ528" t="s">
        <v>74</v>
      </c>
      <c r="BR528" t="s">
        <v>103</v>
      </c>
      <c r="BS528" t="s">
        <v>9845</v>
      </c>
      <c r="BT528" t="str">
        <f>HYPERLINK("https%3A%2F%2Fwww.webofscience.com%2Fwos%2Fwoscc%2Ffull-record%2FWOS:000290203100023","View Full Record in Web of Science")</f>
        <v>View Full Record in Web of Science</v>
      </c>
    </row>
    <row r="529" spans="1:72" x14ac:dyDescent="0.15">
      <c r="A529" t="s">
        <v>72</v>
      </c>
      <c r="B529" t="s">
        <v>9846</v>
      </c>
      <c r="C529" t="s">
        <v>74</v>
      </c>
      <c r="D529" t="s">
        <v>74</v>
      </c>
      <c r="E529" t="s">
        <v>74</v>
      </c>
      <c r="F529" t="s">
        <v>9847</v>
      </c>
      <c r="G529" t="s">
        <v>74</v>
      </c>
      <c r="H529" t="s">
        <v>74</v>
      </c>
      <c r="I529" t="s">
        <v>9848</v>
      </c>
      <c r="J529" t="s">
        <v>3741</v>
      </c>
      <c r="K529" t="s">
        <v>74</v>
      </c>
      <c r="L529" t="s">
        <v>74</v>
      </c>
      <c r="M529" t="s">
        <v>78</v>
      </c>
      <c r="N529" t="s">
        <v>79</v>
      </c>
      <c r="O529" t="s">
        <v>74</v>
      </c>
      <c r="P529" t="s">
        <v>74</v>
      </c>
      <c r="Q529" t="s">
        <v>74</v>
      </c>
      <c r="R529" t="s">
        <v>74</v>
      </c>
      <c r="S529" t="s">
        <v>74</v>
      </c>
      <c r="T529" t="s">
        <v>74</v>
      </c>
      <c r="U529" t="s">
        <v>9849</v>
      </c>
      <c r="V529" t="s">
        <v>9850</v>
      </c>
      <c r="W529" t="s">
        <v>9851</v>
      </c>
      <c r="X529" t="s">
        <v>9852</v>
      </c>
      <c r="Y529" t="s">
        <v>9853</v>
      </c>
      <c r="Z529" t="s">
        <v>9854</v>
      </c>
      <c r="AA529" t="s">
        <v>9855</v>
      </c>
      <c r="AB529" t="s">
        <v>9856</v>
      </c>
      <c r="AC529" t="s">
        <v>9857</v>
      </c>
      <c r="AD529" t="s">
        <v>9858</v>
      </c>
      <c r="AE529" t="s">
        <v>9859</v>
      </c>
      <c r="AF529" t="s">
        <v>74</v>
      </c>
      <c r="AG529">
        <v>46</v>
      </c>
      <c r="AH529">
        <v>323</v>
      </c>
      <c r="AI529">
        <v>346</v>
      </c>
      <c r="AJ529">
        <v>5</v>
      </c>
      <c r="AK529">
        <v>304</v>
      </c>
      <c r="AL529" t="s">
        <v>3754</v>
      </c>
      <c r="AM529" t="s">
        <v>121</v>
      </c>
      <c r="AN529" t="s">
        <v>3755</v>
      </c>
      <c r="AO529" t="s">
        <v>3756</v>
      </c>
      <c r="AP529" t="s">
        <v>74</v>
      </c>
      <c r="AQ529" t="s">
        <v>74</v>
      </c>
      <c r="AR529" t="s">
        <v>3757</v>
      </c>
      <c r="AS529" t="s">
        <v>3758</v>
      </c>
      <c r="AT529" t="s">
        <v>9842</v>
      </c>
      <c r="AU529">
        <v>2011</v>
      </c>
      <c r="AV529">
        <v>108</v>
      </c>
      <c r="AW529">
        <v>18</v>
      </c>
      <c r="AX529" t="s">
        <v>74</v>
      </c>
      <c r="AY529" t="s">
        <v>74</v>
      </c>
      <c r="AZ529" t="s">
        <v>74</v>
      </c>
      <c r="BA529" t="s">
        <v>74</v>
      </c>
      <c r="BB529">
        <v>7625</v>
      </c>
      <c r="BC529">
        <v>7628</v>
      </c>
      <c r="BD529" t="s">
        <v>74</v>
      </c>
      <c r="BE529" t="s">
        <v>9860</v>
      </c>
      <c r="BF529" t="str">
        <f>HYPERLINK("http://dx.doi.org/10.1073/pnas.1016560108","http://dx.doi.org/10.1073/pnas.1016560108")</f>
        <v>http://dx.doi.org/10.1073/pnas.1016560108</v>
      </c>
      <c r="BG529" t="s">
        <v>74</v>
      </c>
      <c r="BH529" t="s">
        <v>74</v>
      </c>
      <c r="BI529">
        <v>4</v>
      </c>
      <c r="BJ529" t="s">
        <v>177</v>
      </c>
      <c r="BK529" t="s">
        <v>100</v>
      </c>
      <c r="BL529" t="s">
        <v>178</v>
      </c>
      <c r="BM529" t="s">
        <v>9844</v>
      </c>
      <c r="BN529">
        <v>21482793</v>
      </c>
      <c r="BO529" t="s">
        <v>702</v>
      </c>
      <c r="BP529" t="s">
        <v>74</v>
      </c>
      <c r="BQ529" t="s">
        <v>74</v>
      </c>
      <c r="BR529" t="s">
        <v>103</v>
      </c>
      <c r="BS529" t="s">
        <v>9861</v>
      </c>
      <c r="BT529" t="str">
        <f>HYPERLINK("https%3A%2F%2Fwww.webofscience.com%2Fwos%2Fwoscc%2Ffull-record%2FWOS:000290203100069","View Full Record in Web of Science")</f>
        <v>View Full Record in Web of Science</v>
      </c>
    </row>
    <row r="530" spans="1:72" x14ac:dyDescent="0.15">
      <c r="A530" t="s">
        <v>72</v>
      </c>
      <c r="B530" t="s">
        <v>9862</v>
      </c>
      <c r="C530" t="s">
        <v>74</v>
      </c>
      <c r="D530" t="s">
        <v>74</v>
      </c>
      <c r="E530" t="s">
        <v>74</v>
      </c>
      <c r="F530" t="s">
        <v>9863</v>
      </c>
      <c r="G530" t="s">
        <v>74</v>
      </c>
      <c r="H530" t="s">
        <v>74</v>
      </c>
      <c r="I530" t="s">
        <v>9864</v>
      </c>
      <c r="J530" t="s">
        <v>9865</v>
      </c>
      <c r="K530" t="s">
        <v>74</v>
      </c>
      <c r="L530" t="s">
        <v>74</v>
      </c>
      <c r="M530" t="s">
        <v>78</v>
      </c>
      <c r="N530" t="s">
        <v>79</v>
      </c>
      <c r="O530" t="s">
        <v>74</v>
      </c>
      <c r="P530" t="s">
        <v>74</v>
      </c>
      <c r="Q530" t="s">
        <v>74</v>
      </c>
      <c r="R530" t="s">
        <v>74</v>
      </c>
      <c r="S530" t="s">
        <v>74</v>
      </c>
      <c r="T530" t="s">
        <v>9866</v>
      </c>
      <c r="U530" t="s">
        <v>9867</v>
      </c>
      <c r="V530" t="s">
        <v>9868</v>
      </c>
      <c r="W530" t="s">
        <v>9869</v>
      </c>
      <c r="X530" t="s">
        <v>9870</v>
      </c>
      <c r="Y530" t="s">
        <v>9871</v>
      </c>
      <c r="Z530" t="s">
        <v>9872</v>
      </c>
      <c r="AA530" t="s">
        <v>9873</v>
      </c>
      <c r="AB530" t="s">
        <v>2171</v>
      </c>
      <c r="AC530" t="s">
        <v>9874</v>
      </c>
      <c r="AD530" t="s">
        <v>9875</v>
      </c>
      <c r="AE530" t="s">
        <v>9876</v>
      </c>
      <c r="AF530" t="s">
        <v>74</v>
      </c>
      <c r="AG530">
        <v>49</v>
      </c>
      <c r="AH530">
        <v>18</v>
      </c>
      <c r="AI530">
        <v>19</v>
      </c>
      <c r="AJ530">
        <v>0</v>
      </c>
      <c r="AK530">
        <v>14</v>
      </c>
      <c r="AL530" t="s">
        <v>9877</v>
      </c>
      <c r="AM530" t="s">
        <v>1490</v>
      </c>
      <c r="AN530" t="s">
        <v>9878</v>
      </c>
      <c r="AO530" t="s">
        <v>9879</v>
      </c>
      <c r="AP530" t="s">
        <v>9880</v>
      </c>
      <c r="AQ530" t="s">
        <v>74</v>
      </c>
      <c r="AR530" t="s">
        <v>9881</v>
      </c>
      <c r="AS530" t="s">
        <v>9882</v>
      </c>
      <c r="AT530" t="s">
        <v>9883</v>
      </c>
      <c r="AU530">
        <v>2011</v>
      </c>
      <c r="AV530">
        <v>92</v>
      </c>
      <c r="AW530">
        <v>3</v>
      </c>
      <c r="AX530" t="s">
        <v>74</v>
      </c>
      <c r="AY530" t="s">
        <v>74</v>
      </c>
      <c r="AZ530" t="s">
        <v>74</v>
      </c>
      <c r="BA530" t="s">
        <v>74</v>
      </c>
      <c r="BB530">
        <v>339</v>
      </c>
      <c r="BC530">
        <v>346</v>
      </c>
      <c r="BD530" t="s">
        <v>74</v>
      </c>
      <c r="BE530" t="s">
        <v>9884</v>
      </c>
      <c r="BF530" t="str">
        <f>HYPERLINK("http://dx.doi.org/10.1016/j.ecss.2011.01.009","http://dx.doi.org/10.1016/j.ecss.2011.01.009")</f>
        <v>http://dx.doi.org/10.1016/j.ecss.2011.01.009</v>
      </c>
      <c r="BG530" t="s">
        <v>74</v>
      </c>
      <c r="BH530" t="s">
        <v>74</v>
      </c>
      <c r="BI530">
        <v>8</v>
      </c>
      <c r="BJ530" t="s">
        <v>5605</v>
      </c>
      <c r="BK530" t="s">
        <v>100</v>
      </c>
      <c r="BL530" t="s">
        <v>5605</v>
      </c>
      <c r="BM530" t="s">
        <v>9885</v>
      </c>
      <c r="BN530" t="s">
        <v>74</v>
      </c>
      <c r="BO530" t="s">
        <v>74</v>
      </c>
      <c r="BP530" t="s">
        <v>74</v>
      </c>
      <c r="BQ530" t="s">
        <v>74</v>
      </c>
      <c r="BR530" t="s">
        <v>103</v>
      </c>
      <c r="BS530" t="s">
        <v>9886</v>
      </c>
      <c r="BT530" t="str">
        <f>HYPERLINK("https%3A%2F%2Fwww.webofscience.com%2Fwos%2Fwoscc%2Ffull-record%2FWOS:000291119500005","View Full Record in Web of Science")</f>
        <v>View Full Record in Web of Science</v>
      </c>
    </row>
    <row r="531" spans="1:72" x14ac:dyDescent="0.15">
      <c r="A531" t="s">
        <v>72</v>
      </c>
      <c r="B531" t="s">
        <v>9887</v>
      </c>
      <c r="C531" t="s">
        <v>74</v>
      </c>
      <c r="D531" t="s">
        <v>74</v>
      </c>
      <c r="E531" t="s">
        <v>74</v>
      </c>
      <c r="F531" t="s">
        <v>9888</v>
      </c>
      <c r="G531" t="s">
        <v>74</v>
      </c>
      <c r="H531" t="s">
        <v>74</v>
      </c>
      <c r="I531" t="s">
        <v>9889</v>
      </c>
      <c r="J531" t="s">
        <v>8499</v>
      </c>
      <c r="K531" t="s">
        <v>74</v>
      </c>
      <c r="L531" t="s">
        <v>74</v>
      </c>
      <c r="M531" t="s">
        <v>78</v>
      </c>
      <c r="N531" t="s">
        <v>79</v>
      </c>
      <c r="O531" t="s">
        <v>74</v>
      </c>
      <c r="P531" t="s">
        <v>74</v>
      </c>
      <c r="Q531" t="s">
        <v>74</v>
      </c>
      <c r="R531" t="s">
        <v>74</v>
      </c>
      <c r="S531" t="s">
        <v>74</v>
      </c>
      <c r="T531" t="s">
        <v>74</v>
      </c>
      <c r="U531" t="s">
        <v>9890</v>
      </c>
      <c r="V531" t="s">
        <v>9891</v>
      </c>
      <c r="W531" t="s">
        <v>9892</v>
      </c>
      <c r="X531" t="s">
        <v>9893</v>
      </c>
      <c r="Y531" t="s">
        <v>9894</v>
      </c>
      <c r="Z531" t="s">
        <v>74</v>
      </c>
      <c r="AA531" t="s">
        <v>9895</v>
      </c>
      <c r="AB531" t="s">
        <v>9896</v>
      </c>
      <c r="AC531" t="s">
        <v>9897</v>
      </c>
      <c r="AD531" t="s">
        <v>9898</v>
      </c>
      <c r="AE531" t="s">
        <v>9899</v>
      </c>
      <c r="AF531" t="s">
        <v>74</v>
      </c>
      <c r="AG531">
        <v>12</v>
      </c>
      <c r="AH531">
        <v>1</v>
      </c>
      <c r="AI531">
        <v>1</v>
      </c>
      <c r="AJ531">
        <v>1</v>
      </c>
      <c r="AK531">
        <v>8</v>
      </c>
      <c r="AL531" t="s">
        <v>624</v>
      </c>
      <c r="AM531" t="s">
        <v>91</v>
      </c>
      <c r="AN531" t="s">
        <v>625</v>
      </c>
      <c r="AO531" t="s">
        <v>8507</v>
      </c>
      <c r="AP531" t="s">
        <v>74</v>
      </c>
      <c r="AQ531" t="s">
        <v>74</v>
      </c>
      <c r="AR531" t="s">
        <v>8508</v>
      </c>
      <c r="AS531" t="s">
        <v>8509</v>
      </c>
      <c r="AT531" t="s">
        <v>9900</v>
      </c>
      <c r="AU531">
        <v>2011</v>
      </c>
      <c r="AV531">
        <v>438</v>
      </c>
      <c r="AW531">
        <v>1</v>
      </c>
      <c r="AX531" t="s">
        <v>74</v>
      </c>
      <c r="AY531" t="s">
        <v>74</v>
      </c>
      <c r="AZ531" t="s">
        <v>74</v>
      </c>
      <c r="BA531" t="s">
        <v>74</v>
      </c>
      <c r="BB531">
        <v>686</v>
      </c>
      <c r="BC531">
        <v>689</v>
      </c>
      <c r="BD531" t="s">
        <v>74</v>
      </c>
      <c r="BE531" t="s">
        <v>9901</v>
      </c>
      <c r="BF531" t="str">
        <f>HYPERLINK("http://dx.doi.org/10.1134/S1028334X11050205","http://dx.doi.org/10.1134/S1028334X11050205")</f>
        <v>http://dx.doi.org/10.1134/S1028334X11050205</v>
      </c>
      <c r="BG531" t="s">
        <v>74</v>
      </c>
      <c r="BH531" t="s">
        <v>74</v>
      </c>
      <c r="BI531">
        <v>4</v>
      </c>
      <c r="BJ531" t="s">
        <v>130</v>
      </c>
      <c r="BK531" t="s">
        <v>100</v>
      </c>
      <c r="BL531" t="s">
        <v>131</v>
      </c>
      <c r="BM531" t="s">
        <v>9902</v>
      </c>
      <c r="BN531" t="s">
        <v>74</v>
      </c>
      <c r="BO531" t="s">
        <v>74</v>
      </c>
      <c r="BP531" t="s">
        <v>74</v>
      </c>
      <c r="BQ531" t="s">
        <v>74</v>
      </c>
      <c r="BR531" t="s">
        <v>103</v>
      </c>
      <c r="BS531" t="s">
        <v>9903</v>
      </c>
      <c r="BT531" t="str">
        <f>HYPERLINK("https%3A%2F%2Fwww.webofscience.com%2Fwos%2Fwoscc%2Ffull-record%2FWOS:000292468000028","View Full Record in Web of Science")</f>
        <v>View Full Record in Web of Science</v>
      </c>
    </row>
    <row r="532" spans="1:72" x14ac:dyDescent="0.15">
      <c r="A532" t="s">
        <v>72</v>
      </c>
      <c r="B532" t="s">
        <v>9904</v>
      </c>
      <c r="C532" t="s">
        <v>74</v>
      </c>
      <c r="D532" t="s">
        <v>74</v>
      </c>
      <c r="E532" t="s">
        <v>74</v>
      </c>
      <c r="F532" t="s">
        <v>9905</v>
      </c>
      <c r="G532" t="s">
        <v>74</v>
      </c>
      <c r="H532" t="s">
        <v>74</v>
      </c>
      <c r="I532" t="s">
        <v>9906</v>
      </c>
      <c r="J532" t="s">
        <v>8499</v>
      </c>
      <c r="K532" t="s">
        <v>74</v>
      </c>
      <c r="L532" t="s">
        <v>74</v>
      </c>
      <c r="M532" t="s">
        <v>78</v>
      </c>
      <c r="N532" t="s">
        <v>79</v>
      </c>
      <c r="O532" t="s">
        <v>74</v>
      </c>
      <c r="P532" t="s">
        <v>74</v>
      </c>
      <c r="Q532" t="s">
        <v>74</v>
      </c>
      <c r="R532" t="s">
        <v>74</v>
      </c>
      <c r="S532" t="s">
        <v>74</v>
      </c>
      <c r="T532" t="s">
        <v>74</v>
      </c>
      <c r="U532" t="s">
        <v>9907</v>
      </c>
      <c r="V532" t="s">
        <v>9908</v>
      </c>
      <c r="W532" t="s">
        <v>9909</v>
      </c>
      <c r="X532" t="s">
        <v>9910</v>
      </c>
      <c r="Y532" t="s">
        <v>9911</v>
      </c>
      <c r="Z532" t="s">
        <v>9912</v>
      </c>
      <c r="AA532" t="s">
        <v>9913</v>
      </c>
      <c r="AB532" t="s">
        <v>9914</v>
      </c>
      <c r="AC532" t="s">
        <v>74</v>
      </c>
      <c r="AD532" t="s">
        <v>74</v>
      </c>
      <c r="AE532" t="s">
        <v>74</v>
      </c>
      <c r="AF532" t="s">
        <v>74</v>
      </c>
      <c r="AG532">
        <v>12</v>
      </c>
      <c r="AH532">
        <v>1</v>
      </c>
      <c r="AI532">
        <v>1</v>
      </c>
      <c r="AJ532">
        <v>0</v>
      </c>
      <c r="AK532">
        <v>5</v>
      </c>
      <c r="AL532" t="s">
        <v>624</v>
      </c>
      <c r="AM532" t="s">
        <v>91</v>
      </c>
      <c r="AN532" t="s">
        <v>625</v>
      </c>
      <c r="AO532" t="s">
        <v>8507</v>
      </c>
      <c r="AP532" t="s">
        <v>74</v>
      </c>
      <c r="AQ532" t="s">
        <v>74</v>
      </c>
      <c r="AR532" t="s">
        <v>8508</v>
      </c>
      <c r="AS532" t="s">
        <v>8509</v>
      </c>
      <c r="AT532" t="s">
        <v>9900</v>
      </c>
      <c r="AU532">
        <v>2011</v>
      </c>
      <c r="AV532">
        <v>438</v>
      </c>
      <c r="AW532">
        <v>1</v>
      </c>
      <c r="AX532" t="s">
        <v>74</v>
      </c>
      <c r="AY532" t="s">
        <v>74</v>
      </c>
      <c r="AZ532" t="s">
        <v>74</v>
      </c>
      <c r="BA532" t="s">
        <v>74</v>
      </c>
      <c r="BB532">
        <v>730</v>
      </c>
      <c r="BC532">
        <v>732</v>
      </c>
      <c r="BD532" t="s">
        <v>74</v>
      </c>
      <c r="BE532" t="s">
        <v>9915</v>
      </c>
      <c r="BF532" t="str">
        <f>HYPERLINK("http://dx.doi.org/10.1134/S1028334X11050345","http://dx.doi.org/10.1134/S1028334X11050345")</f>
        <v>http://dx.doi.org/10.1134/S1028334X11050345</v>
      </c>
      <c r="BG532" t="s">
        <v>74</v>
      </c>
      <c r="BH532" t="s">
        <v>74</v>
      </c>
      <c r="BI532">
        <v>3</v>
      </c>
      <c r="BJ532" t="s">
        <v>130</v>
      </c>
      <c r="BK532" t="s">
        <v>100</v>
      </c>
      <c r="BL532" t="s">
        <v>131</v>
      </c>
      <c r="BM532" t="s">
        <v>9902</v>
      </c>
      <c r="BN532" t="s">
        <v>74</v>
      </c>
      <c r="BO532" t="s">
        <v>74</v>
      </c>
      <c r="BP532" t="s">
        <v>74</v>
      </c>
      <c r="BQ532" t="s">
        <v>74</v>
      </c>
      <c r="BR532" t="s">
        <v>103</v>
      </c>
      <c r="BS532" t="s">
        <v>9916</v>
      </c>
      <c r="BT532" t="str">
        <f>HYPERLINK("https%3A%2F%2Fwww.webofscience.com%2Fwos%2Fwoscc%2Ffull-record%2FWOS:000292468000038","View Full Record in Web of Science")</f>
        <v>View Full Record in Web of Science</v>
      </c>
    </row>
    <row r="533" spans="1:72" x14ac:dyDescent="0.15">
      <c r="A533" t="s">
        <v>72</v>
      </c>
      <c r="B533" t="s">
        <v>9917</v>
      </c>
      <c r="C533" t="s">
        <v>74</v>
      </c>
      <c r="D533" t="s">
        <v>74</v>
      </c>
      <c r="E533" t="s">
        <v>74</v>
      </c>
      <c r="F533" t="s">
        <v>9918</v>
      </c>
      <c r="G533" t="s">
        <v>74</v>
      </c>
      <c r="H533" t="s">
        <v>74</v>
      </c>
      <c r="I533" t="s">
        <v>9919</v>
      </c>
      <c r="J533" t="s">
        <v>9920</v>
      </c>
      <c r="K533" t="s">
        <v>74</v>
      </c>
      <c r="L533" t="s">
        <v>74</v>
      </c>
      <c r="M533" t="s">
        <v>78</v>
      </c>
      <c r="N533" t="s">
        <v>79</v>
      </c>
      <c r="O533" t="s">
        <v>74</v>
      </c>
      <c r="P533" t="s">
        <v>74</v>
      </c>
      <c r="Q533" t="s">
        <v>74</v>
      </c>
      <c r="R533" t="s">
        <v>74</v>
      </c>
      <c r="S533" t="s">
        <v>74</v>
      </c>
      <c r="T533" t="s">
        <v>9921</v>
      </c>
      <c r="U533" t="s">
        <v>9922</v>
      </c>
      <c r="V533" t="s">
        <v>9923</v>
      </c>
      <c r="W533" t="s">
        <v>9924</v>
      </c>
      <c r="X533" t="s">
        <v>9925</v>
      </c>
      <c r="Y533" t="s">
        <v>9926</v>
      </c>
      <c r="Z533" t="s">
        <v>9927</v>
      </c>
      <c r="AA533" t="s">
        <v>9928</v>
      </c>
      <c r="AB533" t="s">
        <v>9929</v>
      </c>
      <c r="AC533" t="s">
        <v>9930</v>
      </c>
      <c r="AD533" t="s">
        <v>9931</v>
      </c>
      <c r="AE533" t="s">
        <v>9932</v>
      </c>
      <c r="AF533" t="s">
        <v>74</v>
      </c>
      <c r="AG533">
        <v>38</v>
      </c>
      <c r="AH533">
        <v>13</v>
      </c>
      <c r="AI533">
        <v>14</v>
      </c>
      <c r="AJ533">
        <v>3</v>
      </c>
      <c r="AK533">
        <v>22</v>
      </c>
      <c r="AL533" t="s">
        <v>9933</v>
      </c>
      <c r="AM533" t="s">
        <v>9934</v>
      </c>
      <c r="AN533" t="s">
        <v>9935</v>
      </c>
      <c r="AO533" t="s">
        <v>9936</v>
      </c>
      <c r="AP533" t="s">
        <v>74</v>
      </c>
      <c r="AQ533" t="s">
        <v>74</v>
      </c>
      <c r="AR533" t="s">
        <v>9937</v>
      </c>
      <c r="AS533" t="s">
        <v>9938</v>
      </c>
      <c r="AT533" t="s">
        <v>9900</v>
      </c>
      <c r="AU533">
        <v>2011</v>
      </c>
      <c r="AV533">
        <v>9</v>
      </c>
      <c r="AW533">
        <v>5</v>
      </c>
      <c r="AX533" t="s">
        <v>74</v>
      </c>
      <c r="AY533" t="s">
        <v>74</v>
      </c>
      <c r="AZ533" t="s">
        <v>74</v>
      </c>
      <c r="BA533" t="s">
        <v>74</v>
      </c>
      <c r="BB533">
        <v>889</v>
      </c>
      <c r="BC533">
        <v>905</v>
      </c>
      <c r="BD533" t="s">
        <v>74</v>
      </c>
      <c r="BE533" t="s">
        <v>9939</v>
      </c>
      <c r="BF533" t="str">
        <f>HYPERLINK("http://dx.doi.org/10.3390/md9050889","http://dx.doi.org/10.3390/md9050889")</f>
        <v>http://dx.doi.org/10.3390/md9050889</v>
      </c>
      <c r="BG533" t="s">
        <v>74</v>
      </c>
      <c r="BH533" t="s">
        <v>74</v>
      </c>
      <c r="BI533">
        <v>17</v>
      </c>
      <c r="BJ533" t="s">
        <v>9940</v>
      </c>
      <c r="BK533" t="s">
        <v>100</v>
      </c>
      <c r="BL533" t="s">
        <v>9941</v>
      </c>
      <c r="BM533" t="s">
        <v>9942</v>
      </c>
      <c r="BN533">
        <v>21673897</v>
      </c>
      <c r="BO533" t="s">
        <v>9943</v>
      </c>
      <c r="BP533" t="s">
        <v>74</v>
      </c>
      <c r="BQ533" t="s">
        <v>74</v>
      </c>
      <c r="BR533" t="s">
        <v>103</v>
      </c>
      <c r="BS533" t="s">
        <v>9944</v>
      </c>
      <c r="BT533" t="str">
        <f>HYPERLINK("https%3A%2F%2Fwww.webofscience.com%2Fwos%2Fwoscc%2Ffull-record%2FWOS:000292632500016","View Full Record in Web of Science")</f>
        <v>View Full Record in Web of Science</v>
      </c>
    </row>
    <row r="534" spans="1:72" x14ac:dyDescent="0.15">
      <c r="A534" t="s">
        <v>72</v>
      </c>
      <c r="B534" t="s">
        <v>9945</v>
      </c>
      <c r="C534" t="s">
        <v>74</v>
      </c>
      <c r="D534" t="s">
        <v>74</v>
      </c>
      <c r="E534" t="s">
        <v>74</v>
      </c>
      <c r="F534" t="s">
        <v>9946</v>
      </c>
      <c r="G534" t="s">
        <v>74</v>
      </c>
      <c r="H534" t="s">
        <v>74</v>
      </c>
      <c r="I534" t="s">
        <v>9947</v>
      </c>
      <c r="J534" t="s">
        <v>4075</v>
      </c>
      <c r="K534" t="s">
        <v>74</v>
      </c>
      <c r="L534" t="s">
        <v>74</v>
      </c>
      <c r="M534" t="s">
        <v>78</v>
      </c>
      <c r="N534" t="s">
        <v>79</v>
      </c>
      <c r="O534" t="s">
        <v>74</v>
      </c>
      <c r="P534" t="s">
        <v>74</v>
      </c>
      <c r="Q534" t="s">
        <v>74</v>
      </c>
      <c r="R534" t="s">
        <v>74</v>
      </c>
      <c r="S534" t="s">
        <v>74</v>
      </c>
      <c r="T534" t="s">
        <v>9948</v>
      </c>
      <c r="U534" t="s">
        <v>9949</v>
      </c>
      <c r="V534" t="s">
        <v>9950</v>
      </c>
      <c r="W534" t="s">
        <v>9951</v>
      </c>
      <c r="X534" t="s">
        <v>4079</v>
      </c>
      <c r="Y534" t="s">
        <v>9952</v>
      </c>
      <c r="Z534" t="s">
        <v>9953</v>
      </c>
      <c r="AA534" t="s">
        <v>4082</v>
      </c>
      <c r="AB534" t="s">
        <v>74</v>
      </c>
      <c r="AC534" t="s">
        <v>9954</v>
      </c>
      <c r="AD534" t="s">
        <v>9955</v>
      </c>
      <c r="AE534" t="s">
        <v>9956</v>
      </c>
      <c r="AF534" t="s">
        <v>74</v>
      </c>
      <c r="AG534">
        <v>26</v>
      </c>
      <c r="AH534">
        <v>3</v>
      </c>
      <c r="AI534">
        <v>4</v>
      </c>
      <c r="AJ534">
        <v>0</v>
      </c>
      <c r="AK534">
        <v>6</v>
      </c>
      <c r="AL534" t="s">
        <v>624</v>
      </c>
      <c r="AM534" t="s">
        <v>91</v>
      </c>
      <c r="AN534" t="s">
        <v>625</v>
      </c>
      <c r="AO534" t="s">
        <v>4083</v>
      </c>
      <c r="AP534" t="s">
        <v>4084</v>
      </c>
      <c r="AQ534" t="s">
        <v>74</v>
      </c>
      <c r="AR534" t="s">
        <v>4085</v>
      </c>
      <c r="AS534" t="s">
        <v>4086</v>
      </c>
      <c r="AT534" t="s">
        <v>9900</v>
      </c>
      <c r="AU534">
        <v>2011</v>
      </c>
      <c r="AV534">
        <v>37</v>
      </c>
      <c r="AW534">
        <v>3</v>
      </c>
      <c r="AX534" t="s">
        <v>74</v>
      </c>
      <c r="AY534" t="s">
        <v>74</v>
      </c>
      <c r="AZ534" t="s">
        <v>74</v>
      </c>
      <c r="BA534" t="s">
        <v>74</v>
      </c>
      <c r="BB534">
        <v>165</v>
      </c>
      <c r="BC534">
        <v>176</v>
      </c>
      <c r="BD534" t="s">
        <v>74</v>
      </c>
      <c r="BE534" t="s">
        <v>9957</v>
      </c>
      <c r="BF534" t="str">
        <f>HYPERLINK("http://dx.doi.org/10.1134/S1063074011030047","http://dx.doi.org/10.1134/S1063074011030047")</f>
        <v>http://dx.doi.org/10.1134/S1063074011030047</v>
      </c>
      <c r="BG534" t="s">
        <v>74</v>
      </c>
      <c r="BH534" t="s">
        <v>74</v>
      </c>
      <c r="BI534">
        <v>12</v>
      </c>
      <c r="BJ534" t="s">
        <v>700</v>
      </c>
      <c r="BK534" t="s">
        <v>100</v>
      </c>
      <c r="BL534" t="s">
        <v>700</v>
      </c>
      <c r="BM534" t="s">
        <v>9958</v>
      </c>
      <c r="BN534" t="s">
        <v>74</v>
      </c>
      <c r="BO534" t="s">
        <v>74</v>
      </c>
      <c r="BP534" t="s">
        <v>74</v>
      </c>
      <c r="BQ534" t="s">
        <v>74</v>
      </c>
      <c r="BR534" t="s">
        <v>103</v>
      </c>
      <c r="BS534" t="s">
        <v>9959</v>
      </c>
      <c r="BT534" t="str">
        <f>HYPERLINK("https%3A%2F%2Fwww.webofscience.com%2Fwos%2Fwoscc%2Ffull-record%2FWOS:000292519800001","View Full Record in Web of Science")</f>
        <v>View Full Record in Web of Science</v>
      </c>
    </row>
    <row r="535" spans="1:72" x14ac:dyDescent="0.15">
      <c r="A535" t="s">
        <v>72</v>
      </c>
      <c r="B535" t="s">
        <v>9960</v>
      </c>
      <c r="C535" t="s">
        <v>74</v>
      </c>
      <c r="D535" t="s">
        <v>74</v>
      </c>
      <c r="E535" t="s">
        <v>74</v>
      </c>
      <c r="F535" t="s">
        <v>9961</v>
      </c>
      <c r="G535" t="s">
        <v>74</v>
      </c>
      <c r="H535" t="s">
        <v>74</v>
      </c>
      <c r="I535" t="s">
        <v>9962</v>
      </c>
      <c r="J535" t="s">
        <v>4460</v>
      </c>
      <c r="K535" t="s">
        <v>74</v>
      </c>
      <c r="L535" t="s">
        <v>74</v>
      </c>
      <c r="M535" t="s">
        <v>78</v>
      </c>
      <c r="N535" t="s">
        <v>79</v>
      </c>
      <c r="O535" t="s">
        <v>74</v>
      </c>
      <c r="P535" t="s">
        <v>74</v>
      </c>
      <c r="Q535" t="s">
        <v>74</v>
      </c>
      <c r="R535" t="s">
        <v>74</v>
      </c>
      <c r="S535" t="s">
        <v>74</v>
      </c>
      <c r="T535" t="s">
        <v>9963</v>
      </c>
      <c r="U535" t="s">
        <v>9964</v>
      </c>
      <c r="V535" t="s">
        <v>9965</v>
      </c>
      <c r="W535" t="s">
        <v>9966</v>
      </c>
      <c r="X535" t="s">
        <v>9967</v>
      </c>
      <c r="Y535" t="s">
        <v>9968</v>
      </c>
      <c r="Z535" t="s">
        <v>9969</v>
      </c>
      <c r="AA535" t="s">
        <v>74</v>
      </c>
      <c r="AB535" t="s">
        <v>74</v>
      </c>
      <c r="AC535" t="s">
        <v>9970</v>
      </c>
      <c r="AD535" t="s">
        <v>9971</v>
      </c>
      <c r="AE535" t="s">
        <v>9972</v>
      </c>
      <c r="AF535" t="s">
        <v>74</v>
      </c>
      <c r="AG535">
        <v>50</v>
      </c>
      <c r="AH535">
        <v>20</v>
      </c>
      <c r="AI535">
        <v>22</v>
      </c>
      <c r="AJ535">
        <v>0</v>
      </c>
      <c r="AK535">
        <v>21</v>
      </c>
      <c r="AL535" t="s">
        <v>926</v>
      </c>
      <c r="AM535" t="s">
        <v>508</v>
      </c>
      <c r="AN535" t="s">
        <v>927</v>
      </c>
      <c r="AO535" t="s">
        <v>4472</v>
      </c>
      <c r="AP535" t="s">
        <v>4473</v>
      </c>
      <c r="AQ535" t="s">
        <v>74</v>
      </c>
      <c r="AR535" t="s">
        <v>4474</v>
      </c>
      <c r="AS535" t="s">
        <v>4475</v>
      </c>
      <c r="AT535" t="s">
        <v>9900</v>
      </c>
      <c r="AU535">
        <v>2011</v>
      </c>
      <c r="AV535">
        <v>58</v>
      </c>
      <c r="AW535" t="s">
        <v>9973</v>
      </c>
      <c r="AX535" t="s">
        <v>74</v>
      </c>
      <c r="AY535" t="s">
        <v>74</v>
      </c>
      <c r="AZ535" t="s">
        <v>74</v>
      </c>
      <c r="BA535" t="s">
        <v>74</v>
      </c>
      <c r="BB535">
        <v>1052</v>
      </c>
      <c r="BC535">
        <v>1061</v>
      </c>
      <c r="BD535" t="s">
        <v>74</v>
      </c>
      <c r="BE535" t="s">
        <v>9974</v>
      </c>
      <c r="BF535" t="str">
        <f>HYPERLINK("http://dx.doi.org/10.1016/j.dsr2.2010.10.028","http://dx.doi.org/10.1016/j.dsr2.2010.10.028")</f>
        <v>http://dx.doi.org/10.1016/j.dsr2.2010.10.028</v>
      </c>
      <c r="BG535" t="s">
        <v>74</v>
      </c>
      <c r="BH535" t="s">
        <v>74</v>
      </c>
      <c r="BI535">
        <v>10</v>
      </c>
      <c r="BJ535" t="s">
        <v>271</v>
      </c>
      <c r="BK535" t="s">
        <v>100</v>
      </c>
      <c r="BL535" t="s">
        <v>271</v>
      </c>
      <c r="BM535" t="s">
        <v>9975</v>
      </c>
      <c r="BN535" t="s">
        <v>74</v>
      </c>
      <c r="BO535" t="s">
        <v>74</v>
      </c>
      <c r="BP535" t="s">
        <v>74</v>
      </c>
      <c r="BQ535" t="s">
        <v>74</v>
      </c>
      <c r="BR535" t="s">
        <v>103</v>
      </c>
      <c r="BS535" t="s">
        <v>9976</v>
      </c>
      <c r="BT535" t="str">
        <f>HYPERLINK("https%3A%2F%2Fwww.webofscience.com%2Fwos%2Fwoscc%2Ffull-record%2FWOS:000291505600005","View Full Record in Web of Science")</f>
        <v>View Full Record in Web of Science</v>
      </c>
    </row>
    <row r="536" spans="1:72" x14ac:dyDescent="0.15">
      <c r="A536" t="s">
        <v>72</v>
      </c>
      <c r="B536" t="s">
        <v>9977</v>
      </c>
      <c r="C536" t="s">
        <v>74</v>
      </c>
      <c r="D536" t="s">
        <v>74</v>
      </c>
      <c r="E536" t="s">
        <v>74</v>
      </c>
      <c r="F536" t="s">
        <v>9978</v>
      </c>
      <c r="G536" t="s">
        <v>74</v>
      </c>
      <c r="H536" t="s">
        <v>74</v>
      </c>
      <c r="I536" t="s">
        <v>9979</v>
      </c>
      <c r="J536" t="s">
        <v>4460</v>
      </c>
      <c r="K536" t="s">
        <v>74</v>
      </c>
      <c r="L536" t="s">
        <v>74</v>
      </c>
      <c r="M536" t="s">
        <v>78</v>
      </c>
      <c r="N536" t="s">
        <v>79</v>
      </c>
      <c r="O536" t="s">
        <v>74</v>
      </c>
      <c r="P536" t="s">
        <v>74</v>
      </c>
      <c r="Q536" t="s">
        <v>74</v>
      </c>
      <c r="R536" t="s">
        <v>74</v>
      </c>
      <c r="S536" t="s">
        <v>74</v>
      </c>
      <c r="T536" t="s">
        <v>9980</v>
      </c>
      <c r="U536" t="s">
        <v>9981</v>
      </c>
      <c r="V536" t="s">
        <v>9982</v>
      </c>
      <c r="W536" t="s">
        <v>9983</v>
      </c>
      <c r="X536" t="s">
        <v>9984</v>
      </c>
      <c r="Y536" t="s">
        <v>9985</v>
      </c>
      <c r="Z536" t="s">
        <v>9986</v>
      </c>
      <c r="AA536" t="s">
        <v>9987</v>
      </c>
      <c r="AB536" t="s">
        <v>9988</v>
      </c>
      <c r="AC536" t="s">
        <v>74</v>
      </c>
      <c r="AD536" t="s">
        <v>74</v>
      </c>
      <c r="AE536" t="s">
        <v>74</v>
      </c>
      <c r="AF536" t="s">
        <v>74</v>
      </c>
      <c r="AG536">
        <v>44</v>
      </c>
      <c r="AH536">
        <v>48</v>
      </c>
      <c r="AI536">
        <v>55</v>
      </c>
      <c r="AJ536">
        <v>1</v>
      </c>
      <c r="AK536">
        <v>15</v>
      </c>
      <c r="AL536" t="s">
        <v>926</v>
      </c>
      <c r="AM536" t="s">
        <v>508</v>
      </c>
      <c r="AN536" t="s">
        <v>927</v>
      </c>
      <c r="AO536" t="s">
        <v>4472</v>
      </c>
      <c r="AP536" t="s">
        <v>4473</v>
      </c>
      <c r="AQ536" t="s">
        <v>74</v>
      </c>
      <c r="AR536" t="s">
        <v>4474</v>
      </c>
      <c r="AS536" t="s">
        <v>4475</v>
      </c>
      <c r="AT536" t="s">
        <v>9900</v>
      </c>
      <c r="AU536">
        <v>2011</v>
      </c>
      <c r="AV536">
        <v>58</v>
      </c>
      <c r="AW536" t="s">
        <v>9973</v>
      </c>
      <c r="AX536" t="s">
        <v>74</v>
      </c>
      <c r="AY536" t="s">
        <v>74</v>
      </c>
      <c r="AZ536" t="s">
        <v>74</v>
      </c>
      <c r="BA536" t="s">
        <v>74</v>
      </c>
      <c r="BB536">
        <v>1194</v>
      </c>
      <c r="BC536">
        <v>1210</v>
      </c>
      <c r="BD536" t="s">
        <v>74</v>
      </c>
      <c r="BE536" t="s">
        <v>9989</v>
      </c>
      <c r="BF536" t="str">
        <f>HYPERLINK("http://dx.doi.org/10.1016/j.dsr2.2010.10.035","http://dx.doi.org/10.1016/j.dsr2.2010.10.035")</f>
        <v>http://dx.doi.org/10.1016/j.dsr2.2010.10.035</v>
      </c>
      <c r="BG536" t="s">
        <v>74</v>
      </c>
      <c r="BH536" t="s">
        <v>74</v>
      </c>
      <c r="BI536">
        <v>17</v>
      </c>
      <c r="BJ536" t="s">
        <v>271</v>
      </c>
      <c r="BK536" t="s">
        <v>100</v>
      </c>
      <c r="BL536" t="s">
        <v>271</v>
      </c>
      <c r="BM536" t="s">
        <v>9975</v>
      </c>
      <c r="BN536" t="s">
        <v>74</v>
      </c>
      <c r="BO536" t="s">
        <v>74</v>
      </c>
      <c r="BP536" t="s">
        <v>74</v>
      </c>
      <c r="BQ536" t="s">
        <v>74</v>
      </c>
      <c r="BR536" t="s">
        <v>103</v>
      </c>
      <c r="BS536" t="s">
        <v>9990</v>
      </c>
      <c r="BT536" t="str">
        <f>HYPERLINK("https%3A%2F%2Fwww.webofscience.com%2Fwos%2Fwoscc%2Ffull-record%2FWOS:000291505600016","View Full Record in Web of Science")</f>
        <v>View Full Record in Web of Science</v>
      </c>
    </row>
    <row r="537" spans="1:72" x14ac:dyDescent="0.15">
      <c r="A537" t="s">
        <v>72</v>
      </c>
      <c r="B537" t="s">
        <v>9991</v>
      </c>
      <c r="C537" t="s">
        <v>74</v>
      </c>
      <c r="D537" t="s">
        <v>74</v>
      </c>
      <c r="E537" t="s">
        <v>74</v>
      </c>
      <c r="F537" t="s">
        <v>9992</v>
      </c>
      <c r="G537" t="s">
        <v>74</v>
      </c>
      <c r="H537" t="s">
        <v>74</v>
      </c>
      <c r="I537" t="s">
        <v>9993</v>
      </c>
      <c r="J537" t="s">
        <v>4460</v>
      </c>
      <c r="K537" t="s">
        <v>74</v>
      </c>
      <c r="L537" t="s">
        <v>74</v>
      </c>
      <c r="M537" t="s">
        <v>78</v>
      </c>
      <c r="N537" t="s">
        <v>79</v>
      </c>
      <c r="O537" t="s">
        <v>74</v>
      </c>
      <c r="P537" t="s">
        <v>74</v>
      </c>
      <c r="Q537" t="s">
        <v>74</v>
      </c>
      <c r="R537" t="s">
        <v>74</v>
      </c>
      <c r="S537" t="s">
        <v>74</v>
      </c>
      <c r="T537" t="s">
        <v>9994</v>
      </c>
      <c r="U537" t="s">
        <v>9995</v>
      </c>
      <c r="V537" t="s">
        <v>9996</v>
      </c>
      <c r="W537" t="s">
        <v>9997</v>
      </c>
      <c r="X537" t="s">
        <v>9998</v>
      </c>
      <c r="Y537" t="s">
        <v>9999</v>
      </c>
      <c r="Z537" t="s">
        <v>10000</v>
      </c>
      <c r="AA537" t="s">
        <v>10001</v>
      </c>
      <c r="AB537" t="s">
        <v>10002</v>
      </c>
      <c r="AC537" t="s">
        <v>10003</v>
      </c>
      <c r="AD537" t="s">
        <v>10004</v>
      </c>
      <c r="AE537" t="s">
        <v>10005</v>
      </c>
      <c r="AF537" t="s">
        <v>74</v>
      </c>
      <c r="AG537">
        <v>45</v>
      </c>
      <c r="AH537">
        <v>46</v>
      </c>
      <c r="AI537">
        <v>49</v>
      </c>
      <c r="AJ537">
        <v>0</v>
      </c>
      <c r="AK537">
        <v>25</v>
      </c>
      <c r="AL537" t="s">
        <v>926</v>
      </c>
      <c r="AM537" t="s">
        <v>508</v>
      </c>
      <c r="AN537" t="s">
        <v>927</v>
      </c>
      <c r="AO537" t="s">
        <v>4472</v>
      </c>
      <c r="AP537" t="s">
        <v>74</v>
      </c>
      <c r="AQ537" t="s">
        <v>74</v>
      </c>
      <c r="AR537" t="s">
        <v>4474</v>
      </c>
      <c r="AS537" t="s">
        <v>4475</v>
      </c>
      <c r="AT537" t="s">
        <v>9900</v>
      </c>
      <c r="AU537">
        <v>2011</v>
      </c>
      <c r="AV537">
        <v>58</v>
      </c>
      <c r="AW537" t="s">
        <v>9973</v>
      </c>
      <c r="AX537" t="s">
        <v>74</v>
      </c>
      <c r="AY537" t="s">
        <v>74</v>
      </c>
      <c r="AZ537" t="s">
        <v>74</v>
      </c>
      <c r="BA537" t="s">
        <v>74</v>
      </c>
      <c r="BB537">
        <v>1019</v>
      </c>
      <c r="BC537">
        <v>1038</v>
      </c>
      <c r="BD537" t="s">
        <v>74</v>
      </c>
      <c r="BE537" t="s">
        <v>10006</v>
      </c>
      <c r="BF537" t="str">
        <f>HYPERLINK("http://dx.doi.org/10.1016/j.dsr2.2010.10.027","http://dx.doi.org/10.1016/j.dsr2.2010.10.027")</f>
        <v>http://dx.doi.org/10.1016/j.dsr2.2010.10.027</v>
      </c>
      <c r="BG537" t="s">
        <v>74</v>
      </c>
      <c r="BH537" t="s">
        <v>74</v>
      </c>
      <c r="BI537">
        <v>20</v>
      </c>
      <c r="BJ537" t="s">
        <v>271</v>
      </c>
      <c r="BK537" t="s">
        <v>100</v>
      </c>
      <c r="BL537" t="s">
        <v>271</v>
      </c>
      <c r="BM537" t="s">
        <v>9975</v>
      </c>
      <c r="BN537" t="s">
        <v>74</v>
      </c>
      <c r="BO537" t="s">
        <v>74</v>
      </c>
      <c r="BP537" t="s">
        <v>74</v>
      </c>
      <c r="BQ537" t="s">
        <v>74</v>
      </c>
      <c r="BR537" t="s">
        <v>103</v>
      </c>
      <c r="BS537" t="s">
        <v>10007</v>
      </c>
      <c r="BT537" t="str">
        <f>HYPERLINK("https%3A%2F%2Fwww.webofscience.com%2Fwos%2Fwoscc%2Ffull-record%2FWOS:000291505600003","View Full Record in Web of Science")</f>
        <v>View Full Record in Web of Science</v>
      </c>
    </row>
    <row r="538" spans="1:72" x14ac:dyDescent="0.15">
      <c r="A538" t="s">
        <v>72</v>
      </c>
      <c r="B538" t="s">
        <v>10008</v>
      </c>
      <c r="C538" t="s">
        <v>74</v>
      </c>
      <c r="D538" t="s">
        <v>74</v>
      </c>
      <c r="E538" t="s">
        <v>74</v>
      </c>
      <c r="F538" t="s">
        <v>10009</v>
      </c>
      <c r="G538" t="s">
        <v>74</v>
      </c>
      <c r="H538" t="s">
        <v>74</v>
      </c>
      <c r="I538" t="s">
        <v>10010</v>
      </c>
      <c r="J538" t="s">
        <v>4460</v>
      </c>
      <c r="K538" t="s">
        <v>74</v>
      </c>
      <c r="L538" t="s">
        <v>74</v>
      </c>
      <c r="M538" t="s">
        <v>78</v>
      </c>
      <c r="N538" t="s">
        <v>79</v>
      </c>
      <c r="O538" t="s">
        <v>74</v>
      </c>
      <c r="P538" t="s">
        <v>74</v>
      </c>
      <c r="Q538" t="s">
        <v>74</v>
      </c>
      <c r="R538" t="s">
        <v>74</v>
      </c>
      <c r="S538" t="s">
        <v>74</v>
      </c>
      <c r="T538" t="s">
        <v>10011</v>
      </c>
      <c r="U538" t="s">
        <v>10012</v>
      </c>
      <c r="V538" t="s">
        <v>10013</v>
      </c>
      <c r="W538" t="s">
        <v>10014</v>
      </c>
      <c r="X538" t="s">
        <v>10015</v>
      </c>
      <c r="Y538" t="s">
        <v>10016</v>
      </c>
      <c r="Z538" t="s">
        <v>10017</v>
      </c>
      <c r="AA538" t="s">
        <v>74</v>
      </c>
      <c r="AB538" t="s">
        <v>74</v>
      </c>
      <c r="AC538" t="s">
        <v>10018</v>
      </c>
      <c r="AD538" t="s">
        <v>10019</v>
      </c>
      <c r="AE538" t="s">
        <v>10020</v>
      </c>
      <c r="AF538" t="s">
        <v>74</v>
      </c>
      <c r="AG538">
        <v>33</v>
      </c>
      <c r="AH538">
        <v>24</v>
      </c>
      <c r="AI538">
        <v>27</v>
      </c>
      <c r="AJ538">
        <v>1</v>
      </c>
      <c r="AK538">
        <v>17</v>
      </c>
      <c r="AL538" t="s">
        <v>926</v>
      </c>
      <c r="AM538" t="s">
        <v>508</v>
      </c>
      <c r="AN538" t="s">
        <v>927</v>
      </c>
      <c r="AO538" t="s">
        <v>4472</v>
      </c>
      <c r="AP538" t="s">
        <v>4473</v>
      </c>
      <c r="AQ538" t="s">
        <v>74</v>
      </c>
      <c r="AR538" t="s">
        <v>4474</v>
      </c>
      <c r="AS538" t="s">
        <v>4475</v>
      </c>
      <c r="AT538" t="s">
        <v>9900</v>
      </c>
      <c r="AU538">
        <v>2011</v>
      </c>
      <c r="AV538">
        <v>58</v>
      </c>
      <c r="AW538" t="s">
        <v>9973</v>
      </c>
      <c r="AX538" t="s">
        <v>74</v>
      </c>
      <c r="AY538" t="s">
        <v>74</v>
      </c>
      <c r="AZ538" t="s">
        <v>74</v>
      </c>
      <c r="BA538" t="s">
        <v>74</v>
      </c>
      <c r="BB538">
        <v>1112</v>
      </c>
      <c r="BC538">
        <v>1124</v>
      </c>
      <c r="BD538" t="s">
        <v>74</v>
      </c>
      <c r="BE538" t="s">
        <v>10021</v>
      </c>
      <c r="BF538" t="str">
        <f>HYPERLINK("http://dx.doi.org/10.1016/j.dsr2.2010.10.032","http://dx.doi.org/10.1016/j.dsr2.2010.10.032")</f>
        <v>http://dx.doi.org/10.1016/j.dsr2.2010.10.032</v>
      </c>
      <c r="BG538" t="s">
        <v>74</v>
      </c>
      <c r="BH538" t="s">
        <v>74</v>
      </c>
      <c r="BI538">
        <v>13</v>
      </c>
      <c r="BJ538" t="s">
        <v>271</v>
      </c>
      <c r="BK538" t="s">
        <v>100</v>
      </c>
      <c r="BL538" t="s">
        <v>271</v>
      </c>
      <c r="BM538" t="s">
        <v>9975</v>
      </c>
      <c r="BN538" t="s">
        <v>74</v>
      </c>
      <c r="BO538" t="s">
        <v>74</v>
      </c>
      <c r="BP538" t="s">
        <v>74</v>
      </c>
      <c r="BQ538" t="s">
        <v>74</v>
      </c>
      <c r="BR538" t="s">
        <v>103</v>
      </c>
      <c r="BS538" t="s">
        <v>10022</v>
      </c>
      <c r="BT538" t="str">
        <f>HYPERLINK("https%3A%2F%2Fwww.webofscience.com%2Fwos%2Fwoscc%2Ffull-record%2FWOS:000291505600009","View Full Record in Web of Science")</f>
        <v>View Full Record in Web of Science</v>
      </c>
    </row>
    <row r="539" spans="1:72" x14ac:dyDescent="0.15">
      <c r="A539" t="s">
        <v>72</v>
      </c>
      <c r="B539" t="s">
        <v>10023</v>
      </c>
      <c r="C539" t="s">
        <v>74</v>
      </c>
      <c r="D539" t="s">
        <v>74</v>
      </c>
      <c r="E539" t="s">
        <v>74</v>
      </c>
      <c r="F539" t="s">
        <v>10024</v>
      </c>
      <c r="G539" t="s">
        <v>74</v>
      </c>
      <c r="H539" t="s">
        <v>74</v>
      </c>
      <c r="I539" t="s">
        <v>10025</v>
      </c>
      <c r="J539" t="s">
        <v>4460</v>
      </c>
      <c r="K539" t="s">
        <v>74</v>
      </c>
      <c r="L539" t="s">
        <v>74</v>
      </c>
      <c r="M539" t="s">
        <v>78</v>
      </c>
      <c r="N539" t="s">
        <v>79</v>
      </c>
      <c r="O539" t="s">
        <v>74</v>
      </c>
      <c r="P539" t="s">
        <v>74</v>
      </c>
      <c r="Q539" t="s">
        <v>74</v>
      </c>
      <c r="R539" t="s">
        <v>74</v>
      </c>
      <c r="S539" t="s">
        <v>74</v>
      </c>
      <c r="T539" t="s">
        <v>10026</v>
      </c>
      <c r="U539" t="s">
        <v>10027</v>
      </c>
      <c r="V539" t="s">
        <v>10028</v>
      </c>
      <c r="W539" t="s">
        <v>10029</v>
      </c>
      <c r="X539" t="s">
        <v>10030</v>
      </c>
      <c r="Y539" t="s">
        <v>10031</v>
      </c>
      <c r="Z539" t="s">
        <v>10032</v>
      </c>
      <c r="AA539" t="s">
        <v>10033</v>
      </c>
      <c r="AB539" t="s">
        <v>2708</v>
      </c>
      <c r="AC539" t="s">
        <v>10034</v>
      </c>
      <c r="AD539" t="s">
        <v>10035</v>
      </c>
      <c r="AE539" t="s">
        <v>10036</v>
      </c>
      <c r="AF539" t="s">
        <v>74</v>
      </c>
      <c r="AG539">
        <v>42</v>
      </c>
      <c r="AH539">
        <v>23</v>
      </c>
      <c r="AI539">
        <v>25</v>
      </c>
      <c r="AJ539">
        <v>1</v>
      </c>
      <c r="AK539">
        <v>23</v>
      </c>
      <c r="AL539" t="s">
        <v>926</v>
      </c>
      <c r="AM539" t="s">
        <v>508</v>
      </c>
      <c r="AN539" t="s">
        <v>927</v>
      </c>
      <c r="AO539" t="s">
        <v>4472</v>
      </c>
      <c r="AP539" t="s">
        <v>4473</v>
      </c>
      <c r="AQ539" t="s">
        <v>74</v>
      </c>
      <c r="AR539" t="s">
        <v>4474</v>
      </c>
      <c r="AS539" t="s">
        <v>4475</v>
      </c>
      <c r="AT539" t="s">
        <v>9900</v>
      </c>
      <c r="AU539">
        <v>2011</v>
      </c>
      <c r="AV539">
        <v>58</v>
      </c>
      <c r="AW539" t="s">
        <v>9973</v>
      </c>
      <c r="AX539" t="s">
        <v>74</v>
      </c>
      <c r="AY539" t="s">
        <v>74</v>
      </c>
      <c r="AZ539" t="s">
        <v>74</v>
      </c>
      <c r="BA539" t="s">
        <v>74</v>
      </c>
      <c r="BB539">
        <v>1137</v>
      </c>
      <c r="BC539">
        <v>1148</v>
      </c>
      <c r="BD539" t="s">
        <v>74</v>
      </c>
      <c r="BE539" t="s">
        <v>10037</v>
      </c>
      <c r="BF539" t="str">
        <f>HYPERLINK("http://dx.doi.org/10.1016/j.dsr2.2010.12.002","http://dx.doi.org/10.1016/j.dsr2.2010.12.002")</f>
        <v>http://dx.doi.org/10.1016/j.dsr2.2010.12.002</v>
      </c>
      <c r="BG539" t="s">
        <v>74</v>
      </c>
      <c r="BH539" t="s">
        <v>74</v>
      </c>
      <c r="BI539">
        <v>12</v>
      </c>
      <c r="BJ539" t="s">
        <v>271</v>
      </c>
      <c r="BK539" t="s">
        <v>100</v>
      </c>
      <c r="BL539" t="s">
        <v>271</v>
      </c>
      <c r="BM539" t="s">
        <v>9975</v>
      </c>
      <c r="BN539" t="s">
        <v>74</v>
      </c>
      <c r="BO539" t="s">
        <v>1025</v>
      </c>
      <c r="BP539" t="s">
        <v>74</v>
      </c>
      <c r="BQ539" t="s">
        <v>74</v>
      </c>
      <c r="BR539" t="s">
        <v>103</v>
      </c>
      <c r="BS539" t="s">
        <v>10038</v>
      </c>
      <c r="BT539" t="str">
        <f>HYPERLINK("https%3A%2F%2Fwww.webofscience.com%2Fwos%2Fwoscc%2Ffull-record%2FWOS:000291505600011","View Full Record in Web of Science")</f>
        <v>View Full Record in Web of Science</v>
      </c>
    </row>
    <row r="540" spans="1:72" x14ac:dyDescent="0.15">
      <c r="A540" t="s">
        <v>72</v>
      </c>
      <c r="B540" t="s">
        <v>10039</v>
      </c>
      <c r="C540" t="s">
        <v>74</v>
      </c>
      <c r="D540" t="s">
        <v>74</v>
      </c>
      <c r="E540" t="s">
        <v>74</v>
      </c>
      <c r="F540" t="s">
        <v>10040</v>
      </c>
      <c r="G540" t="s">
        <v>74</v>
      </c>
      <c r="H540" t="s">
        <v>74</v>
      </c>
      <c r="I540" t="s">
        <v>10041</v>
      </c>
      <c r="J540" t="s">
        <v>4460</v>
      </c>
      <c r="K540" t="s">
        <v>74</v>
      </c>
      <c r="L540" t="s">
        <v>74</v>
      </c>
      <c r="M540" t="s">
        <v>78</v>
      </c>
      <c r="N540" t="s">
        <v>79</v>
      </c>
      <c r="O540" t="s">
        <v>74</v>
      </c>
      <c r="P540" t="s">
        <v>74</v>
      </c>
      <c r="Q540" t="s">
        <v>74</v>
      </c>
      <c r="R540" t="s">
        <v>74</v>
      </c>
      <c r="S540" t="s">
        <v>74</v>
      </c>
      <c r="T540" t="s">
        <v>10042</v>
      </c>
      <c r="U540" t="s">
        <v>10043</v>
      </c>
      <c r="V540" t="s">
        <v>10044</v>
      </c>
      <c r="W540" t="s">
        <v>10045</v>
      </c>
      <c r="X540" t="s">
        <v>10046</v>
      </c>
      <c r="Y540" t="s">
        <v>10047</v>
      </c>
      <c r="Z540" t="s">
        <v>10048</v>
      </c>
      <c r="AA540" t="s">
        <v>10049</v>
      </c>
      <c r="AB540" t="s">
        <v>74</v>
      </c>
      <c r="AC540" t="s">
        <v>10050</v>
      </c>
      <c r="AD540" t="s">
        <v>10051</v>
      </c>
      <c r="AE540" t="s">
        <v>10052</v>
      </c>
      <c r="AF540" t="s">
        <v>74</v>
      </c>
      <c r="AG540">
        <v>40</v>
      </c>
      <c r="AH540">
        <v>2</v>
      </c>
      <c r="AI540">
        <v>3</v>
      </c>
      <c r="AJ540">
        <v>0</v>
      </c>
      <c r="AK540">
        <v>7</v>
      </c>
      <c r="AL540" t="s">
        <v>926</v>
      </c>
      <c r="AM540" t="s">
        <v>508</v>
      </c>
      <c r="AN540" t="s">
        <v>927</v>
      </c>
      <c r="AO540" t="s">
        <v>4472</v>
      </c>
      <c r="AP540" t="s">
        <v>4473</v>
      </c>
      <c r="AQ540" t="s">
        <v>74</v>
      </c>
      <c r="AR540" t="s">
        <v>4474</v>
      </c>
      <c r="AS540" t="s">
        <v>4475</v>
      </c>
      <c r="AT540" t="s">
        <v>9900</v>
      </c>
      <c r="AU540">
        <v>2011</v>
      </c>
      <c r="AV540">
        <v>58</v>
      </c>
      <c r="AW540" t="s">
        <v>9973</v>
      </c>
      <c r="AX540" t="s">
        <v>74</v>
      </c>
      <c r="AY540" t="s">
        <v>74</v>
      </c>
      <c r="AZ540" t="s">
        <v>74</v>
      </c>
      <c r="BA540" t="s">
        <v>74</v>
      </c>
      <c r="BB540">
        <v>1149</v>
      </c>
      <c r="BC540">
        <v>1157</v>
      </c>
      <c r="BD540" t="s">
        <v>74</v>
      </c>
      <c r="BE540" t="s">
        <v>10053</v>
      </c>
      <c r="BF540" t="str">
        <f>HYPERLINK("http://dx.doi.org/10.1016/j.dsr2.2010.12.003","http://dx.doi.org/10.1016/j.dsr2.2010.12.003")</f>
        <v>http://dx.doi.org/10.1016/j.dsr2.2010.12.003</v>
      </c>
      <c r="BG540" t="s">
        <v>74</v>
      </c>
      <c r="BH540" t="s">
        <v>74</v>
      </c>
      <c r="BI540">
        <v>9</v>
      </c>
      <c r="BJ540" t="s">
        <v>271</v>
      </c>
      <c r="BK540" t="s">
        <v>100</v>
      </c>
      <c r="BL540" t="s">
        <v>271</v>
      </c>
      <c r="BM540" t="s">
        <v>9975</v>
      </c>
      <c r="BN540" t="s">
        <v>74</v>
      </c>
      <c r="BO540" t="s">
        <v>74</v>
      </c>
      <c r="BP540" t="s">
        <v>74</v>
      </c>
      <c r="BQ540" t="s">
        <v>74</v>
      </c>
      <c r="BR540" t="s">
        <v>103</v>
      </c>
      <c r="BS540" t="s">
        <v>10054</v>
      </c>
      <c r="BT540" t="str">
        <f>HYPERLINK("https%3A%2F%2Fwww.webofscience.com%2Fwos%2Fwoscc%2Ffull-record%2FWOS:000291505600012","View Full Record in Web of Science")</f>
        <v>View Full Record in Web of Science</v>
      </c>
    </row>
    <row r="541" spans="1:72" x14ac:dyDescent="0.15">
      <c r="A541" t="s">
        <v>72</v>
      </c>
      <c r="B541" t="s">
        <v>10055</v>
      </c>
      <c r="C541" t="s">
        <v>74</v>
      </c>
      <c r="D541" t="s">
        <v>74</v>
      </c>
      <c r="E541" t="s">
        <v>74</v>
      </c>
      <c r="F541" t="s">
        <v>10056</v>
      </c>
      <c r="G541" t="s">
        <v>74</v>
      </c>
      <c r="H541" t="s">
        <v>74</v>
      </c>
      <c r="I541" t="s">
        <v>10057</v>
      </c>
      <c r="J541" t="s">
        <v>4460</v>
      </c>
      <c r="K541" t="s">
        <v>74</v>
      </c>
      <c r="L541" t="s">
        <v>74</v>
      </c>
      <c r="M541" t="s">
        <v>78</v>
      </c>
      <c r="N541" t="s">
        <v>79</v>
      </c>
      <c r="O541" t="s">
        <v>74</v>
      </c>
      <c r="P541" t="s">
        <v>74</v>
      </c>
      <c r="Q541" t="s">
        <v>74</v>
      </c>
      <c r="R541" t="s">
        <v>74</v>
      </c>
      <c r="S541" t="s">
        <v>74</v>
      </c>
      <c r="T541" t="s">
        <v>10058</v>
      </c>
      <c r="U541" t="s">
        <v>10059</v>
      </c>
      <c r="V541" t="s">
        <v>10060</v>
      </c>
      <c r="W541" t="s">
        <v>10061</v>
      </c>
      <c r="X541" t="s">
        <v>10062</v>
      </c>
      <c r="Y541" t="s">
        <v>10031</v>
      </c>
      <c r="Z541" t="s">
        <v>10063</v>
      </c>
      <c r="AA541" t="s">
        <v>10064</v>
      </c>
      <c r="AB541" t="s">
        <v>10065</v>
      </c>
      <c r="AC541" t="s">
        <v>10066</v>
      </c>
      <c r="AD541" t="s">
        <v>906</v>
      </c>
      <c r="AE541" t="s">
        <v>10067</v>
      </c>
      <c r="AF541" t="s">
        <v>74</v>
      </c>
      <c r="AG541">
        <v>39</v>
      </c>
      <c r="AH541">
        <v>89</v>
      </c>
      <c r="AI541">
        <v>98</v>
      </c>
      <c r="AJ541">
        <v>1</v>
      </c>
      <c r="AK541">
        <v>31</v>
      </c>
      <c r="AL541" t="s">
        <v>926</v>
      </c>
      <c r="AM541" t="s">
        <v>508</v>
      </c>
      <c r="AN541" t="s">
        <v>927</v>
      </c>
      <c r="AO541" t="s">
        <v>4472</v>
      </c>
      <c r="AP541" t="s">
        <v>74</v>
      </c>
      <c r="AQ541" t="s">
        <v>74</v>
      </c>
      <c r="AR541" t="s">
        <v>4474</v>
      </c>
      <c r="AS541" t="s">
        <v>4475</v>
      </c>
      <c r="AT541" t="s">
        <v>9900</v>
      </c>
      <c r="AU541">
        <v>2011</v>
      </c>
      <c r="AV541">
        <v>58</v>
      </c>
      <c r="AW541" t="s">
        <v>9973</v>
      </c>
      <c r="AX541" t="s">
        <v>74</v>
      </c>
      <c r="AY541" t="s">
        <v>74</v>
      </c>
      <c r="AZ541" t="s">
        <v>74</v>
      </c>
      <c r="BA541" t="s">
        <v>74</v>
      </c>
      <c r="BB541">
        <v>1182</v>
      </c>
      <c r="BC541">
        <v>1193</v>
      </c>
      <c r="BD541" t="s">
        <v>74</v>
      </c>
      <c r="BE541" t="s">
        <v>10068</v>
      </c>
      <c r="BF541" t="str">
        <f>HYPERLINK("http://dx.doi.org/10.1016/j.dsr2.2010.10.034","http://dx.doi.org/10.1016/j.dsr2.2010.10.034")</f>
        <v>http://dx.doi.org/10.1016/j.dsr2.2010.10.034</v>
      </c>
      <c r="BG541" t="s">
        <v>74</v>
      </c>
      <c r="BH541" t="s">
        <v>74</v>
      </c>
      <c r="BI541">
        <v>12</v>
      </c>
      <c r="BJ541" t="s">
        <v>271</v>
      </c>
      <c r="BK541" t="s">
        <v>100</v>
      </c>
      <c r="BL541" t="s">
        <v>271</v>
      </c>
      <c r="BM541" t="s">
        <v>9975</v>
      </c>
      <c r="BN541" t="s">
        <v>74</v>
      </c>
      <c r="BO541" t="s">
        <v>10069</v>
      </c>
      <c r="BP541" t="s">
        <v>74</v>
      </c>
      <c r="BQ541" t="s">
        <v>74</v>
      </c>
      <c r="BR541" t="s">
        <v>103</v>
      </c>
      <c r="BS541" t="s">
        <v>10070</v>
      </c>
      <c r="BT541" t="str">
        <f>HYPERLINK("https%3A%2F%2Fwww.webofscience.com%2Fwos%2Fwoscc%2Ffull-record%2FWOS:000291505600015","View Full Record in Web of Science")</f>
        <v>View Full Record in Web of Science</v>
      </c>
    </row>
    <row r="542" spans="1:72" x14ac:dyDescent="0.15">
      <c r="A542" t="s">
        <v>72</v>
      </c>
      <c r="B542" t="s">
        <v>10071</v>
      </c>
      <c r="C542" t="s">
        <v>74</v>
      </c>
      <c r="D542" t="s">
        <v>74</v>
      </c>
      <c r="E542" t="s">
        <v>74</v>
      </c>
      <c r="F542" t="s">
        <v>10072</v>
      </c>
      <c r="G542" t="s">
        <v>74</v>
      </c>
      <c r="H542" t="s">
        <v>74</v>
      </c>
      <c r="I542" t="s">
        <v>10073</v>
      </c>
      <c r="J542" t="s">
        <v>4460</v>
      </c>
      <c r="K542" t="s">
        <v>74</v>
      </c>
      <c r="L542" t="s">
        <v>74</v>
      </c>
      <c r="M542" t="s">
        <v>78</v>
      </c>
      <c r="N542" t="s">
        <v>79</v>
      </c>
      <c r="O542" t="s">
        <v>74</v>
      </c>
      <c r="P542" t="s">
        <v>74</v>
      </c>
      <c r="Q542" t="s">
        <v>74</v>
      </c>
      <c r="R542" t="s">
        <v>74</v>
      </c>
      <c r="S542" t="s">
        <v>74</v>
      </c>
      <c r="T542" t="s">
        <v>10074</v>
      </c>
      <c r="U542" t="s">
        <v>10075</v>
      </c>
      <c r="V542" t="s">
        <v>10076</v>
      </c>
      <c r="W542" t="s">
        <v>10077</v>
      </c>
      <c r="X542" t="s">
        <v>10078</v>
      </c>
      <c r="Y542" t="s">
        <v>10079</v>
      </c>
      <c r="Z542" t="s">
        <v>10080</v>
      </c>
      <c r="AA542" t="s">
        <v>10081</v>
      </c>
      <c r="AB542" t="s">
        <v>10082</v>
      </c>
      <c r="AC542" t="s">
        <v>74</v>
      </c>
      <c r="AD542" t="s">
        <v>74</v>
      </c>
      <c r="AE542" t="s">
        <v>74</v>
      </c>
      <c r="AF542" t="s">
        <v>74</v>
      </c>
      <c r="AG542">
        <v>55</v>
      </c>
      <c r="AH542">
        <v>33</v>
      </c>
      <c r="AI542">
        <v>36</v>
      </c>
      <c r="AJ542">
        <v>0</v>
      </c>
      <c r="AK542">
        <v>25</v>
      </c>
      <c r="AL542" t="s">
        <v>926</v>
      </c>
      <c r="AM542" t="s">
        <v>508</v>
      </c>
      <c r="AN542" t="s">
        <v>927</v>
      </c>
      <c r="AO542" t="s">
        <v>4472</v>
      </c>
      <c r="AP542" t="s">
        <v>74</v>
      </c>
      <c r="AQ542" t="s">
        <v>74</v>
      </c>
      <c r="AR542" t="s">
        <v>4474</v>
      </c>
      <c r="AS542" t="s">
        <v>4475</v>
      </c>
      <c r="AT542" t="s">
        <v>9900</v>
      </c>
      <c r="AU542">
        <v>2011</v>
      </c>
      <c r="AV542">
        <v>58</v>
      </c>
      <c r="AW542" t="s">
        <v>9973</v>
      </c>
      <c r="AX542" t="s">
        <v>74</v>
      </c>
      <c r="AY542" t="s">
        <v>74</v>
      </c>
      <c r="AZ542" t="s">
        <v>74</v>
      </c>
      <c r="BA542" t="s">
        <v>74</v>
      </c>
      <c r="BB542">
        <v>1211</v>
      </c>
      <c r="BC542">
        <v>1221</v>
      </c>
      <c r="BD542" t="s">
        <v>74</v>
      </c>
      <c r="BE542" t="s">
        <v>10083</v>
      </c>
      <c r="BF542" t="str">
        <f>HYPERLINK("http://dx.doi.org/10.1016/j.dsr2.2010.11.001","http://dx.doi.org/10.1016/j.dsr2.2010.11.001")</f>
        <v>http://dx.doi.org/10.1016/j.dsr2.2010.11.001</v>
      </c>
      <c r="BG542" t="s">
        <v>74</v>
      </c>
      <c r="BH542" t="s">
        <v>74</v>
      </c>
      <c r="BI542">
        <v>11</v>
      </c>
      <c r="BJ542" t="s">
        <v>271</v>
      </c>
      <c r="BK542" t="s">
        <v>100</v>
      </c>
      <c r="BL542" t="s">
        <v>271</v>
      </c>
      <c r="BM542" t="s">
        <v>9975</v>
      </c>
      <c r="BN542" t="s">
        <v>74</v>
      </c>
      <c r="BO542" t="s">
        <v>74</v>
      </c>
      <c r="BP542" t="s">
        <v>74</v>
      </c>
      <c r="BQ542" t="s">
        <v>74</v>
      </c>
      <c r="BR542" t="s">
        <v>103</v>
      </c>
      <c r="BS542" t="s">
        <v>10084</v>
      </c>
      <c r="BT542" t="str">
        <f>HYPERLINK("https%3A%2F%2Fwww.webofscience.com%2Fwos%2Fwoscc%2Ffull-record%2FWOS:000291505600017","View Full Record in Web of Science")</f>
        <v>View Full Record in Web of Science</v>
      </c>
    </row>
    <row r="543" spans="1:72" x14ac:dyDescent="0.15">
      <c r="A543" t="s">
        <v>72</v>
      </c>
      <c r="B543" t="s">
        <v>10085</v>
      </c>
      <c r="C543" t="s">
        <v>74</v>
      </c>
      <c r="D543" t="s">
        <v>74</v>
      </c>
      <c r="E543" t="s">
        <v>74</v>
      </c>
      <c r="F543" t="s">
        <v>10086</v>
      </c>
      <c r="G543" t="s">
        <v>74</v>
      </c>
      <c r="H543" t="s">
        <v>74</v>
      </c>
      <c r="I543" t="s">
        <v>10087</v>
      </c>
      <c r="J543" t="s">
        <v>4460</v>
      </c>
      <c r="K543" t="s">
        <v>74</v>
      </c>
      <c r="L543" t="s">
        <v>74</v>
      </c>
      <c r="M543" t="s">
        <v>78</v>
      </c>
      <c r="N543" t="s">
        <v>79</v>
      </c>
      <c r="O543" t="s">
        <v>74</v>
      </c>
      <c r="P543" t="s">
        <v>74</v>
      </c>
      <c r="Q543" t="s">
        <v>74</v>
      </c>
      <c r="R543" t="s">
        <v>74</v>
      </c>
      <c r="S543" t="s">
        <v>74</v>
      </c>
      <c r="T543" t="s">
        <v>10088</v>
      </c>
      <c r="U543" t="s">
        <v>10089</v>
      </c>
      <c r="V543" t="s">
        <v>10090</v>
      </c>
      <c r="W543" t="s">
        <v>10091</v>
      </c>
      <c r="X543" t="s">
        <v>10092</v>
      </c>
      <c r="Y543" t="s">
        <v>10093</v>
      </c>
      <c r="Z543" t="s">
        <v>10094</v>
      </c>
      <c r="AA543" t="s">
        <v>10049</v>
      </c>
      <c r="AB543" t="s">
        <v>74</v>
      </c>
      <c r="AC543" t="s">
        <v>10095</v>
      </c>
      <c r="AD543" t="s">
        <v>10096</v>
      </c>
      <c r="AE543" t="s">
        <v>10097</v>
      </c>
      <c r="AF543" t="s">
        <v>74</v>
      </c>
      <c r="AG543">
        <v>53</v>
      </c>
      <c r="AH543">
        <v>12</v>
      </c>
      <c r="AI543">
        <v>16</v>
      </c>
      <c r="AJ543">
        <v>0</v>
      </c>
      <c r="AK543">
        <v>42</v>
      </c>
      <c r="AL543" t="s">
        <v>926</v>
      </c>
      <c r="AM543" t="s">
        <v>508</v>
      </c>
      <c r="AN543" t="s">
        <v>927</v>
      </c>
      <c r="AO543" t="s">
        <v>4472</v>
      </c>
      <c r="AP543" t="s">
        <v>4473</v>
      </c>
      <c r="AQ543" t="s">
        <v>74</v>
      </c>
      <c r="AR543" t="s">
        <v>4474</v>
      </c>
      <c r="AS543" t="s">
        <v>4475</v>
      </c>
      <c r="AT543" t="s">
        <v>9900</v>
      </c>
      <c r="AU543">
        <v>2011</v>
      </c>
      <c r="AV543">
        <v>58</v>
      </c>
      <c r="AW543" t="s">
        <v>9973</v>
      </c>
      <c r="AX543" t="s">
        <v>74</v>
      </c>
      <c r="AY543" t="s">
        <v>74</v>
      </c>
      <c r="AZ543" t="s">
        <v>74</v>
      </c>
      <c r="BA543" t="s">
        <v>74</v>
      </c>
      <c r="BB543">
        <v>1250</v>
      </c>
      <c r="BC543">
        <v>1260</v>
      </c>
      <c r="BD543" t="s">
        <v>74</v>
      </c>
      <c r="BE543" t="s">
        <v>10098</v>
      </c>
      <c r="BF543" t="str">
        <f>HYPERLINK("http://dx.doi.org/10.1016/j.dsr2.2010.12.005","http://dx.doi.org/10.1016/j.dsr2.2010.12.005")</f>
        <v>http://dx.doi.org/10.1016/j.dsr2.2010.12.005</v>
      </c>
      <c r="BG543" t="s">
        <v>74</v>
      </c>
      <c r="BH543" t="s">
        <v>74</v>
      </c>
      <c r="BI543">
        <v>11</v>
      </c>
      <c r="BJ543" t="s">
        <v>271</v>
      </c>
      <c r="BK543" t="s">
        <v>100</v>
      </c>
      <c r="BL543" t="s">
        <v>271</v>
      </c>
      <c r="BM543" t="s">
        <v>9975</v>
      </c>
      <c r="BN543" t="s">
        <v>74</v>
      </c>
      <c r="BO543" t="s">
        <v>74</v>
      </c>
      <c r="BP543" t="s">
        <v>74</v>
      </c>
      <c r="BQ543" t="s">
        <v>74</v>
      </c>
      <c r="BR543" t="s">
        <v>103</v>
      </c>
      <c r="BS543" t="s">
        <v>10099</v>
      </c>
      <c r="BT543" t="str">
        <f>HYPERLINK("https%3A%2F%2Fwww.webofscience.com%2Fwos%2Fwoscc%2Ffull-record%2FWOS:000291505600020","View Full Record in Web of Science")</f>
        <v>View Full Record in Web of Science</v>
      </c>
    </row>
    <row r="544" spans="1:72" x14ac:dyDescent="0.15">
      <c r="A544" t="s">
        <v>72</v>
      </c>
      <c r="B544" t="s">
        <v>10100</v>
      </c>
      <c r="C544" t="s">
        <v>74</v>
      </c>
      <c r="D544" t="s">
        <v>74</v>
      </c>
      <c r="E544" t="s">
        <v>74</v>
      </c>
      <c r="F544" t="s">
        <v>10101</v>
      </c>
      <c r="G544" t="s">
        <v>74</v>
      </c>
      <c r="H544" t="s">
        <v>74</v>
      </c>
      <c r="I544" t="s">
        <v>10102</v>
      </c>
      <c r="J544" t="s">
        <v>4368</v>
      </c>
      <c r="K544" t="s">
        <v>74</v>
      </c>
      <c r="L544" t="s">
        <v>74</v>
      </c>
      <c r="M544" t="s">
        <v>78</v>
      </c>
      <c r="N544" t="s">
        <v>278</v>
      </c>
      <c r="O544" t="s">
        <v>74</v>
      </c>
      <c r="P544" t="s">
        <v>74</v>
      </c>
      <c r="Q544" t="s">
        <v>74</v>
      </c>
      <c r="R544" t="s">
        <v>74</v>
      </c>
      <c r="S544" t="s">
        <v>74</v>
      </c>
      <c r="T544" t="s">
        <v>10103</v>
      </c>
      <c r="U544" t="s">
        <v>10104</v>
      </c>
      <c r="V544" t="s">
        <v>10105</v>
      </c>
      <c r="W544" t="s">
        <v>10106</v>
      </c>
      <c r="X544" t="s">
        <v>10107</v>
      </c>
      <c r="Y544" t="s">
        <v>10108</v>
      </c>
      <c r="Z544" t="s">
        <v>10109</v>
      </c>
      <c r="AA544" t="s">
        <v>10110</v>
      </c>
      <c r="AB544" t="s">
        <v>10111</v>
      </c>
      <c r="AC544" t="s">
        <v>10112</v>
      </c>
      <c r="AD544" t="s">
        <v>10113</v>
      </c>
      <c r="AE544" t="s">
        <v>10114</v>
      </c>
      <c r="AF544" t="s">
        <v>74</v>
      </c>
      <c r="AG544">
        <v>48</v>
      </c>
      <c r="AH544">
        <v>14</v>
      </c>
      <c r="AI544">
        <v>14</v>
      </c>
      <c r="AJ544">
        <v>0</v>
      </c>
      <c r="AK544">
        <v>12</v>
      </c>
      <c r="AL544" t="s">
        <v>1323</v>
      </c>
      <c r="AM544" t="s">
        <v>1324</v>
      </c>
      <c r="AN544" t="s">
        <v>1325</v>
      </c>
      <c r="AO544" t="s">
        <v>4381</v>
      </c>
      <c r="AP544" t="s">
        <v>10115</v>
      </c>
      <c r="AQ544" t="s">
        <v>74</v>
      </c>
      <c r="AR544" t="s">
        <v>4368</v>
      </c>
      <c r="AS544" t="s">
        <v>4382</v>
      </c>
      <c r="AT544" t="s">
        <v>9900</v>
      </c>
      <c r="AU544">
        <v>2011</v>
      </c>
      <c r="AV544">
        <v>63</v>
      </c>
      <c r="AW544">
        <v>5</v>
      </c>
      <c r="AX544" t="s">
        <v>74</v>
      </c>
      <c r="AY544" t="s">
        <v>74</v>
      </c>
      <c r="AZ544" t="s">
        <v>864</v>
      </c>
      <c r="BA544" t="s">
        <v>74</v>
      </c>
      <c r="BB544">
        <v>295</v>
      </c>
      <c r="BC544">
        <v>303</v>
      </c>
      <c r="BD544" t="s">
        <v>74</v>
      </c>
      <c r="BE544" t="s">
        <v>10116</v>
      </c>
      <c r="BF544" t="str">
        <f>HYPERLINK("http://dx.doi.org/10.1002/iub.446","http://dx.doi.org/10.1002/iub.446")</f>
        <v>http://dx.doi.org/10.1002/iub.446</v>
      </c>
      <c r="BG544" t="s">
        <v>74</v>
      </c>
      <c r="BH544" t="s">
        <v>74</v>
      </c>
      <c r="BI544">
        <v>9</v>
      </c>
      <c r="BJ544" t="s">
        <v>4384</v>
      </c>
      <c r="BK544" t="s">
        <v>100</v>
      </c>
      <c r="BL544" t="s">
        <v>4384</v>
      </c>
      <c r="BM544" t="s">
        <v>10117</v>
      </c>
      <c r="BN544">
        <v>21491555</v>
      </c>
      <c r="BO544" t="s">
        <v>152</v>
      </c>
      <c r="BP544" t="s">
        <v>74</v>
      </c>
      <c r="BQ544" t="s">
        <v>74</v>
      </c>
      <c r="BR544" t="s">
        <v>103</v>
      </c>
      <c r="BS544" t="s">
        <v>10118</v>
      </c>
      <c r="BT544" t="str">
        <f>HYPERLINK("https%3A%2F%2Fwww.webofscience.com%2Fwos%2Fwoscc%2Ffull-record%2FWOS:000291433900002","View Full Record in Web of Science")</f>
        <v>View Full Record in Web of Science</v>
      </c>
    </row>
    <row r="545" spans="1:72" x14ac:dyDescent="0.15">
      <c r="A545" t="s">
        <v>72</v>
      </c>
      <c r="B545" t="s">
        <v>10119</v>
      </c>
      <c r="C545" t="s">
        <v>74</v>
      </c>
      <c r="D545" t="s">
        <v>74</v>
      </c>
      <c r="E545" t="s">
        <v>74</v>
      </c>
      <c r="F545" t="s">
        <v>10120</v>
      </c>
      <c r="G545" t="s">
        <v>74</v>
      </c>
      <c r="H545" t="s">
        <v>74</v>
      </c>
      <c r="I545" t="s">
        <v>10121</v>
      </c>
      <c r="J545" t="s">
        <v>4368</v>
      </c>
      <c r="K545" t="s">
        <v>74</v>
      </c>
      <c r="L545" t="s">
        <v>74</v>
      </c>
      <c r="M545" t="s">
        <v>78</v>
      </c>
      <c r="N545" t="s">
        <v>79</v>
      </c>
      <c r="O545" t="s">
        <v>74</v>
      </c>
      <c r="P545" t="s">
        <v>74</v>
      </c>
      <c r="Q545" t="s">
        <v>74</v>
      </c>
      <c r="R545" t="s">
        <v>74</v>
      </c>
      <c r="S545" t="s">
        <v>74</v>
      </c>
      <c r="T545" t="s">
        <v>10122</v>
      </c>
      <c r="U545" t="s">
        <v>10123</v>
      </c>
      <c r="V545" t="s">
        <v>10124</v>
      </c>
      <c r="W545" t="s">
        <v>10125</v>
      </c>
      <c r="X545" t="s">
        <v>10126</v>
      </c>
      <c r="Y545" t="s">
        <v>4374</v>
      </c>
      <c r="Z545" t="s">
        <v>4375</v>
      </c>
      <c r="AA545" t="s">
        <v>10127</v>
      </c>
      <c r="AB545" t="s">
        <v>10128</v>
      </c>
      <c r="AC545" t="s">
        <v>9755</v>
      </c>
      <c r="AD545" t="s">
        <v>9755</v>
      </c>
      <c r="AE545" t="s">
        <v>10129</v>
      </c>
      <c r="AF545" t="s">
        <v>74</v>
      </c>
      <c r="AG545">
        <v>33</v>
      </c>
      <c r="AH545">
        <v>8</v>
      </c>
      <c r="AI545">
        <v>11</v>
      </c>
      <c r="AJ545">
        <v>0</v>
      </c>
      <c r="AK545">
        <v>11</v>
      </c>
      <c r="AL545" t="s">
        <v>1323</v>
      </c>
      <c r="AM545" t="s">
        <v>1324</v>
      </c>
      <c r="AN545" t="s">
        <v>1325</v>
      </c>
      <c r="AO545" t="s">
        <v>4381</v>
      </c>
      <c r="AP545" t="s">
        <v>10115</v>
      </c>
      <c r="AQ545" t="s">
        <v>74</v>
      </c>
      <c r="AR545" t="s">
        <v>4368</v>
      </c>
      <c r="AS545" t="s">
        <v>4382</v>
      </c>
      <c r="AT545" t="s">
        <v>9900</v>
      </c>
      <c r="AU545">
        <v>2011</v>
      </c>
      <c r="AV545">
        <v>63</v>
      </c>
      <c r="AW545">
        <v>5</v>
      </c>
      <c r="AX545" t="s">
        <v>74</v>
      </c>
      <c r="AY545" t="s">
        <v>74</v>
      </c>
      <c r="AZ545" t="s">
        <v>864</v>
      </c>
      <c r="BA545" t="s">
        <v>74</v>
      </c>
      <c r="BB545">
        <v>346</v>
      </c>
      <c r="BC545">
        <v>354</v>
      </c>
      <c r="BD545" t="s">
        <v>74</v>
      </c>
      <c r="BE545" t="s">
        <v>10130</v>
      </c>
      <c r="BF545" t="str">
        <f>HYPERLINK("http://dx.doi.org/10.1002/iub.450","http://dx.doi.org/10.1002/iub.450")</f>
        <v>http://dx.doi.org/10.1002/iub.450</v>
      </c>
      <c r="BG545" t="s">
        <v>74</v>
      </c>
      <c r="BH545" t="s">
        <v>74</v>
      </c>
      <c r="BI545">
        <v>9</v>
      </c>
      <c r="BJ545" t="s">
        <v>4384</v>
      </c>
      <c r="BK545" t="s">
        <v>100</v>
      </c>
      <c r="BL545" t="s">
        <v>4384</v>
      </c>
      <c r="BM545" t="s">
        <v>10117</v>
      </c>
      <c r="BN545">
        <v>21491556</v>
      </c>
      <c r="BO545" t="s">
        <v>74</v>
      </c>
      <c r="BP545" t="s">
        <v>74</v>
      </c>
      <c r="BQ545" t="s">
        <v>74</v>
      </c>
      <c r="BR545" t="s">
        <v>103</v>
      </c>
      <c r="BS545" t="s">
        <v>10131</v>
      </c>
      <c r="BT545" t="str">
        <f>HYPERLINK("https%3A%2F%2Fwww.webofscience.com%2Fwos%2Fwoscc%2Ffull-record%2FWOS:000291433900008","View Full Record in Web of Science")</f>
        <v>View Full Record in Web of Science</v>
      </c>
    </row>
    <row r="546" spans="1:72" x14ac:dyDescent="0.15">
      <c r="A546" t="s">
        <v>72</v>
      </c>
      <c r="B546" t="s">
        <v>10132</v>
      </c>
      <c r="C546" t="s">
        <v>74</v>
      </c>
      <c r="D546" t="s">
        <v>74</v>
      </c>
      <c r="E546" t="s">
        <v>74</v>
      </c>
      <c r="F546" t="s">
        <v>10133</v>
      </c>
      <c r="G546" t="s">
        <v>74</v>
      </c>
      <c r="H546" t="s">
        <v>74</v>
      </c>
      <c r="I546" t="s">
        <v>10134</v>
      </c>
      <c r="J546" t="s">
        <v>10135</v>
      </c>
      <c r="K546" t="s">
        <v>74</v>
      </c>
      <c r="L546" t="s">
        <v>74</v>
      </c>
      <c r="M546" t="s">
        <v>78</v>
      </c>
      <c r="N546" t="s">
        <v>79</v>
      </c>
      <c r="O546" t="s">
        <v>74</v>
      </c>
      <c r="P546" t="s">
        <v>74</v>
      </c>
      <c r="Q546" t="s">
        <v>74</v>
      </c>
      <c r="R546" t="s">
        <v>74</v>
      </c>
      <c r="S546" t="s">
        <v>74</v>
      </c>
      <c r="T546" t="s">
        <v>10136</v>
      </c>
      <c r="U546" t="s">
        <v>10137</v>
      </c>
      <c r="V546" t="s">
        <v>10138</v>
      </c>
      <c r="W546" t="s">
        <v>10139</v>
      </c>
      <c r="X546" t="s">
        <v>10140</v>
      </c>
      <c r="Y546" t="s">
        <v>10141</v>
      </c>
      <c r="Z546" t="s">
        <v>10142</v>
      </c>
      <c r="AA546" t="s">
        <v>10143</v>
      </c>
      <c r="AB546" t="s">
        <v>10144</v>
      </c>
      <c r="AC546" t="s">
        <v>10145</v>
      </c>
      <c r="AD546" t="s">
        <v>10146</v>
      </c>
      <c r="AE546" t="s">
        <v>10147</v>
      </c>
      <c r="AF546" t="s">
        <v>74</v>
      </c>
      <c r="AG546">
        <v>45</v>
      </c>
      <c r="AH546">
        <v>88</v>
      </c>
      <c r="AI546">
        <v>98</v>
      </c>
      <c r="AJ546">
        <v>0</v>
      </c>
      <c r="AK546">
        <v>46</v>
      </c>
      <c r="AL546" t="s">
        <v>2669</v>
      </c>
      <c r="AM546" t="s">
        <v>309</v>
      </c>
      <c r="AN546" t="s">
        <v>2670</v>
      </c>
      <c r="AO546" t="s">
        <v>10148</v>
      </c>
      <c r="AP546" t="s">
        <v>10149</v>
      </c>
      <c r="AQ546" t="s">
        <v>74</v>
      </c>
      <c r="AR546" t="s">
        <v>10150</v>
      </c>
      <c r="AS546" t="s">
        <v>10151</v>
      </c>
      <c r="AT546" t="s">
        <v>9900</v>
      </c>
      <c r="AU546">
        <v>2011</v>
      </c>
      <c r="AV546">
        <v>186</v>
      </c>
      <c r="AW546" t="s">
        <v>2154</v>
      </c>
      <c r="AX546" t="s">
        <v>74</v>
      </c>
      <c r="AY546" t="s">
        <v>74</v>
      </c>
      <c r="AZ546" t="s">
        <v>74</v>
      </c>
      <c r="BA546" t="s">
        <v>74</v>
      </c>
      <c r="BB546">
        <v>49</v>
      </c>
      <c r="BC546">
        <v>58</v>
      </c>
      <c r="BD546" t="s">
        <v>74</v>
      </c>
      <c r="BE546" t="s">
        <v>10152</v>
      </c>
      <c r="BF546" t="str">
        <f>HYPERLINK("http://dx.doi.org/10.1016/j.pepi.2011.03.002","http://dx.doi.org/10.1016/j.pepi.2011.03.002")</f>
        <v>http://dx.doi.org/10.1016/j.pepi.2011.03.002</v>
      </c>
      <c r="BG546" t="s">
        <v>74</v>
      </c>
      <c r="BH546" t="s">
        <v>74</v>
      </c>
      <c r="BI546">
        <v>10</v>
      </c>
      <c r="BJ546" t="s">
        <v>488</v>
      </c>
      <c r="BK546" t="s">
        <v>100</v>
      </c>
      <c r="BL546" t="s">
        <v>488</v>
      </c>
      <c r="BM546" t="s">
        <v>10153</v>
      </c>
      <c r="BN546" t="s">
        <v>74</v>
      </c>
      <c r="BO546" t="s">
        <v>74</v>
      </c>
      <c r="BP546" t="s">
        <v>74</v>
      </c>
      <c r="BQ546" t="s">
        <v>74</v>
      </c>
      <c r="BR546" t="s">
        <v>103</v>
      </c>
      <c r="BS546" t="s">
        <v>10154</v>
      </c>
      <c r="BT546" t="str">
        <f>HYPERLINK("https%3A%2F%2Fwww.webofscience.com%2Fwos%2Fwoscc%2Ffull-record%2FWOS:000291418100005","View Full Record in Web of Science")</f>
        <v>View Full Record in Web of Science</v>
      </c>
    </row>
    <row r="547" spans="1:72" x14ac:dyDescent="0.15">
      <c r="A547" t="s">
        <v>72</v>
      </c>
      <c r="B547" t="s">
        <v>10155</v>
      </c>
      <c r="C547" t="s">
        <v>74</v>
      </c>
      <c r="D547" t="s">
        <v>74</v>
      </c>
      <c r="E547" t="s">
        <v>74</v>
      </c>
      <c r="F547" t="s">
        <v>10156</v>
      </c>
      <c r="G547" t="s">
        <v>74</v>
      </c>
      <c r="H547" t="s">
        <v>74</v>
      </c>
      <c r="I547" t="s">
        <v>10157</v>
      </c>
      <c r="J547" t="s">
        <v>1004</v>
      </c>
      <c r="K547" t="s">
        <v>74</v>
      </c>
      <c r="L547" t="s">
        <v>74</v>
      </c>
      <c r="M547" t="s">
        <v>78</v>
      </c>
      <c r="N547" t="s">
        <v>79</v>
      </c>
      <c r="O547" t="s">
        <v>74</v>
      </c>
      <c r="P547" t="s">
        <v>74</v>
      </c>
      <c r="Q547" t="s">
        <v>74</v>
      </c>
      <c r="R547" t="s">
        <v>74</v>
      </c>
      <c r="S547" t="s">
        <v>74</v>
      </c>
      <c r="T547" t="s">
        <v>74</v>
      </c>
      <c r="U547" t="s">
        <v>10158</v>
      </c>
      <c r="V547" t="s">
        <v>10159</v>
      </c>
      <c r="W547" t="s">
        <v>10160</v>
      </c>
      <c r="X547" t="s">
        <v>10161</v>
      </c>
      <c r="Y547" t="s">
        <v>10162</v>
      </c>
      <c r="Z547" t="s">
        <v>10163</v>
      </c>
      <c r="AA547" t="s">
        <v>74</v>
      </c>
      <c r="AB547" t="s">
        <v>74</v>
      </c>
      <c r="AC547" t="s">
        <v>10164</v>
      </c>
      <c r="AD547" t="s">
        <v>10165</v>
      </c>
      <c r="AE547" t="s">
        <v>10166</v>
      </c>
      <c r="AF547" t="s">
        <v>74</v>
      </c>
      <c r="AG547">
        <v>59</v>
      </c>
      <c r="AH547">
        <v>26</v>
      </c>
      <c r="AI547">
        <v>34</v>
      </c>
      <c r="AJ547">
        <v>2</v>
      </c>
      <c r="AK547">
        <v>54</v>
      </c>
      <c r="AL547" t="s">
        <v>1014</v>
      </c>
      <c r="AM547" t="s">
        <v>1015</v>
      </c>
      <c r="AN547" t="s">
        <v>1016</v>
      </c>
      <c r="AO547" t="s">
        <v>1017</v>
      </c>
      <c r="AP547" t="s">
        <v>1018</v>
      </c>
      <c r="AQ547" t="s">
        <v>74</v>
      </c>
      <c r="AR547" t="s">
        <v>1019</v>
      </c>
      <c r="AS547" t="s">
        <v>1020</v>
      </c>
      <c r="AT547" t="s">
        <v>9900</v>
      </c>
      <c r="AU547">
        <v>2011</v>
      </c>
      <c r="AV547">
        <v>43</v>
      </c>
      <c r="AW547">
        <v>2</v>
      </c>
      <c r="AX547" t="s">
        <v>74</v>
      </c>
      <c r="AY547" t="s">
        <v>74</v>
      </c>
      <c r="AZ547" t="s">
        <v>74</v>
      </c>
      <c r="BA547" t="s">
        <v>74</v>
      </c>
      <c r="BB547">
        <v>189</v>
      </c>
      <c r="BC547">
        <v>197</v>
      </c>
      <c r="BD547" t="s">
        <v>74</v>
      </c>
      <c r="BE547" t="s">
        <v>10167</v>
      </c>
      <c r="BF547" t="str">
        <f>HYPERLINK("http://dx.doi.org/10.1657/1938-4246-43.2.189","http://dx.doi.org/10.1657/1938-4246-43.2.189")</f>
        <v>http://dx.doi.org/10.1657/1938-4246-43.2.189</v>
      </c>
      <c r="BG547" t="s">
        <v>74</v>
      </c>
      <c r="BH547" t="s">
        <v>74</v>
      </c>
      <c r="BI547">
        <v>9</v>
      </c>
      <c r="BJ547" t="s">
        <v>1022</v>
      </c>
      <c r="BK547" t="s">
        <v>100</v>
      </c>
      <c r="BL547" t="s">
        <v>1023</v>
      </c>
      <c r="BM547" t="s">
        <v>10168</v>
      </c>
      <c r="BN547" t="s">
        <v>74</v>
      </c>
      <c r="BO547" t="s">
        <v>1051</v>
      </c>
      <c r="BP547" t="s">
        <v>74</v>
      </c>
      <c r="BQ547" t="s">
        <v>74</v>
      </c>
      <c r="BR547" t="s">
        <v>103</v>
      </c>
      <c r="BS547" t="s">
        <v>10169</v>
      </c>
      <c r="BT547" t="str">
        <f>HYPERLINK("https%3A%2F%2Fwww.webofscience.com%2Fwos%2Fwoscc%2Ffull-record%2FWOS:000291118700003","View Full Record in Web of Science")</f>
        <v>View Full Record in Web of Science</v>
      </c>
    </row>
    <row r="548" spans="1:72" x14ac:dyDescent="0.15">
      <c r="A548" t="s">
        <v>72</v>
      </c>
      <c r="B548" t="s">
        <v>10170</v>
      </c>
      <c r="C548" t="s">
        <v>74</v>
      </c>
      <c r="D548" t="s">
        <v>74</v>
      </c>
      <c r="E548" t="s">
        <v>74</v>
      </c>
      <c r="F548" t="s">
        <v>10171</v>
      </c>
      <c r="G548" t="s">
        <v>74</v>
      </c>
      <c r="H548" t="s">
        <v>74</v>
      </c>
      <c r="I548" t="s">
        <v>10172</v>
      </c>
      <c r="J548" t="s">
        <v>1004</v>
      </c>
      <c r="K548" t="s">
        <v>74</v>
      </c>
      <c r="L548" t="s">
        <v>74</v>
      </c>
      <c r="M548" t="s">
        <v>78</v>
      </c>
      <c r="N548" t="s">
        <v>79</v>
      </c>
      <c r="O548" t="s">
        <v>74</v>
      </c>
      <c r="P548" t="s">
        <v>74</v>
      </c>
      <c r="Q548" t="s">
        <v>74</v>
      </c>
      <c r="R548" t="s">
        <v>74</v>
      </c>
      <c r="S548" t="s">
        <v>74</v>
      </c>
      <c r="T548" t="s">
        <v>74</v>
      </c>
      <c r="U548" t="s">
        <v>10173</v>
      </c>
      <c r="V548" t="s">
        <v>10174</v>
      </c>
      <c r="W548" t="s">
        <v>10175</v>
      </c>
      <c r="X548" t="s">
        <v>10176</v>
      </c>
      <c r="Y548" t="s">
        <v>10177</v>
      </c>
      <c r="Z548" t="s">
        <v>10178</v>
      </c>
      <c r="AA548" t="s">
        <v>10179</v>
      </c>
      <c r="AB548" t="s">
        <v>10180</v>
      </c>
      <c r="AC548" t="s">
        <v>10181</v>
      </c>
      <c r="AD548" t="s">
        <v>10182</v>
      </c>
      <c r="AE548" t="s">
        <v>10183</v>
      </c>
      <c r="AF548" t="s">
        <v>74</v>
      </c>
      <c r="AG548">
        <v>78</v>
      </c>
      <c r="AH548">
        <v>10</v>
      </c>
      <c r="AI548">
        <v>12</v>
      </c>
      <c r="AJ548">
        <v>1</v>
      </c>
      <c r="AK548">
        <v>52</v>
      </c>
      <c r="AL548" t="s">
        <v>1014</v>
      </c>
      <c r="AM548" t="s">
        <v>1015</v>
      </c>
      <c r="AN548" t="s">
        <v>1016</v>
      </c>
      <c r="AO548" t="s">
        <v>1017</v>
      </c>
      <c r="AP548" t="s">
        <v>1018</v>
      </c>
      <c r="AQ548" t="s">
        <v>74</v>
      </c>
      <c r="AR548" t="s">
        <v>1019</v>
      </c>
      <c r="AS548" t="s">
        <v>1020</v>
      </c>
      <c r="AT548" t="s">
        <v>9900</v>
      </c>
      <c r="AU548">
        <v>2011</v>
      </c>
      <c r="AV548">
        <v>43</v>
      </c>
      <c r="AW548">
        <v>2</v>
      </c>
      <c r="AX548" t="s">
        <v>74</v>
      </c>
      <c r="AY548" t="s">
        <v>74</v>
      </c>
      <c r="AZ548" t="s">
        <v>74</v>
      </c>
      <c r="BA548" t="s">
        <v>74</v>
      </c>
      <c r="BB548">
        <v>198</v>
      </c>
      <c r="BC548">
        <v>206</v>
      </c>
      <c r="BD548" t="s">
        <v>74</v>
      </c>
      <c r="BE548" t="s">
        <v>10184</v>
      </c>
      <c r="BF548" t="str">
        <f>HYPERLINK("http://dx.doi.org/10.1657/1938-4246-43.2.198","http://dx.doi.org/10.1657/1938-4246-43.2.198")</f>
        <v>http://dx.doi.org/10.1657/1938-4246-43.2.198</v>
      </c>
      <c r="BG548" t="s">
        <v>74</v>
      </c>
      <c r="BH548" t="s">
        <v>74</v>
      </c>
      <c r="BI548">
        <v>9</v>
      </c>
      <c r="BJ548" t="s">
        <v>1022</v>
      </c>
      <c r="BK548" t="s">
        <v>100</v>
      </c>
      <c r="BL548" t="s">
        <v>1023</v>
      </c>
      <c r="BM548" t="s">
        <v>10168</v>
      </c>
      <c r="BN548" t="s">
        <v>74</v>
      </c>
      <c r="BO548" t="s">
        <v>1051</v>
      </c>
      <c r="BP548" t="s">
        <v>74</v>
      </c>
      <c r="BQ548" t="s">
        <v>74</v>
      </c>
      <c r="BR548" t="s">
        <v>103</v>
      </c>
      <c r="BS548" t="s">
        <v>10185</v>
      </c>
      <c r="BT548" t="str">
        <f>HYPERLINK("https%3A%2F%2Fwww.webofscience.com%2Fwos%2Fwoscc%2Ffull-record%2FWOS:000291118700004","View Full Record in Web of Science")</f>
        <v>View Full Record in Web of Science</v>
      </c>
    </row>
    <row r="549" spans="1:72" x14ac:dyDescent="0.15">
      <c r="A549" t="s">
        <v>72</v>
      </c>
      <c r="B549" t="s">
        <v>10186</v>
      </c>
      <c r="C549" t="s">
        <v>74</v>
      </c>
      <c r="D549" t="s">
        <v>74</v>
      </c>
      <c r="E549" t="s">
        <v>74</v>
      </c>
      <c r="F549" t="s">
        <v>10187</v>
      </c>
      <c r="G549" t="s">
        <v>74</v>
      </c>
      <c r="H549" t="s">
        <v>74</v>
      </c>
      <c r="I549" t="s">
        <v>10188</v>
      </c>
      <c r="J549" t="s">
        <v>1004</v>
      </c>
      <c r="K549" t="s">
        <v>74</v>
      </c>
      <c r="L549" t="s">
        <v>74</v>
      </c>
      <c r="M549" t="s">
        <v>78</v>
      </c>
      <c r="N549" t="s">
        <v>79</v>
      </c>
      <c r="O549" t="s">
        <v>74</v>
      </c>
      <c r="P549" t="s">
        <v>74</v>
      </c>
      <c r="Q549" t="s">
        <v>74</v>
      </c>
      <c r="R549" t="s">
        <v>74</v>
      </c>
      <c r="S549" t="s">
        <v>74</v>
      </c>
      <c r="T549" t="s">
        <v>74</v>
      </c>
      <c r="U549" t="s">
        <v>74</v>
      </c>
      <c r="V549" t="s">
        <v>10189</v>
      </c>
      <c r="W549" t="s">
        <v>10190</v>
      </c>
      <c r="X549" t="s">
        <v>10191</v>
      </c>
      <c r="Y549" t="s">
        <v>10192</v>
      </c>
      <c r="Z549" t="s">
        <v>10193</v>
      </c>
      <c r="AA549" t="s">
        <v>10194</v>
      </c>
      <c r="AB549" t="s">
        <v>10195</v>
      </c>
      <c r="AC549" t="s">
        <v>10196</v>
      </c>
      <c r="AD549" t="s">
        <v>10197</v>
      </c>
      <c r="AE549" t="s">
        <v>10198</v>
      </c>
      <c r="AF549" t="s">
        <v>74</v>
      </c>
      <c r="AG549">
        <v>23</v>
      </c>
      <c r="AH549">
        <v>24</v>
      </c>
      <c r="AI549">
        <v>35</v>
      </c>
      <c r="AJ549">
        <v>2</v>
      </c>
      <c r="AK549">
        <v>23</v>
      </c>
      <c r="AL549" t="s">
        <v>1014</v>
      </c>
      <c r="AM549" t="s">
        <v>1015</v>
      </c>
      <c r="AN549" t="s">
        <v>1016</v>
      </c>
      <c r="AO549" t="s">
        <v>1017</v>
      </c>
      <c r="AP549" t="s">
        <v>1018</v>
      </c>
      <c r="AQ549" t="s">
        <v>74</v>
      </c>
      <c r="AR549" t="s">
        <v>1019</v>
      </c>
      <c r="AS549" t="s">
        <v>1020</v>
      </c>
      <c r="AT549" t="s">
        <v>9900</v>
      </c>
      <c r="AU549">
        <v>2011</v>
      </c>
      <c r="AV549">
        <v>43</v>
      </c>
      <c r="AW549">
        <v>2</v>
      </c>
      <c r="AX549" t="s">
        <v>74</v>
      </c>
      <c r="AY549" t="s">
        <v>74</v>
      </c>
      <c r="AZ549" t="s">
        <v>74</v>
      </c>
      <c r="BA549" t="s">
        <v>74</v>
      </c>
      <c r="BB549">
        <v>207</v>
      </c>
      <c r="BC549">
        <v>212</v>
      </c>
      <c r="BD549" t="s">
        <v>74</v>
      </c>
      <c r="BE549" t="s">
        <v>10199</v>
      </c>
      <c r="BF549" t="str">
        <f>HYPERLINK("http://dx.doi.org/10.1657/1938-4246-43.2.207","http://dx.doi.org/10.1657/1938-4246-43.2.207")</f>
        <v>http://dx.doi.org/10.1657/1938-4246-43.2.207</v>
      </c>
      <c r="BG549" t="s">
        <v>74</v>
      </c>
      <c r="BH549" t="s">
        <v>74</v>
      </c>
      <c r="BI549">
        <v>6</v>
      </c>
      <c r="BJ549" t="s">
        <v>1022</v>
      </c>
      <c r="BK549" t="s">
        <v>100</v>
      </c>
      <c r="BL549" t="s">
        <v>1023</v>
      </c>
      <c r="BM549" t="s">
        <v>10168</v>
      </c>
      <c r="BN549" t="s">
        <v>74</v>
      </c>
      <c r="BO549" t="s">
        <v>1039</v>
      </c>
      <c r="BP549" t="s">
        <v>74</v>
      </c>
      <c r="BQ549" t="s">
        <v>74</v>
      </c>
      <c r="BR549" t="s">
        <v>103</v>
      </c>
      <c r="BS549" t="s">
        <v>10200</v>
      </c>
      <c r="BT549" t="str">
        <f>HYPERLINK("https%3A%2F%2Fwww.webofscience.com%2Fwos%2Fwoscc%2Ffull-record%2FWOS:000291118700005","View Full Record in Web of Science")</f>
        <v>View Full Record in Web of Science</v>
      </c>
    </row>
    <row r="550" spans="1:72" x14ac:dyDescent="0.15">
      <c r="A550" t="s">
        <v>72</v>
      </c>
      <c r="B550" t="s">
        <v>10201</v>
      </c>
      <c r="C550" t="s">
        <v>74</v>
      </c>
      <c r="D550" t="s">
        <v>74</v>
      </c>
      <c r="E550" t="s">
        <v>74</v>
      </c>
      <c r="F550" t="s">
        <v>10202</v>
      </c>
      <c r="G550" t="s">
        <v>74</v>
      </c>
      <c r="H550" t="s">
        <v>74</v>
      </c>
      <c r="I550" t="s">
        <v>10203</v>
      </c>
      <c r="J550" t="s">
        <v>1004</v>
      </c>
      <c r="K550" t="s">
        <v>74</v>
      </c>
      <c r="L550" t="s">
        <v>74</v>
      </c>
      <c r="M550" t="s">
        <v>78</v>
      </c>
      <c r="N550" t="s">
        <v>79</v>
      </c>
      <c r="O550" t="s">
        <v>74</v>
      </c>
      <c r="P550" t="s">
        <v>74</v>
      </c>
      <c r="Q550" t="s">
        <v>74</v>
      </c>
      <c r="R550" t="s">
        <v>74</v>
      </c>
      <c r="S550" t="s">
        <v>74</v>
      </c>
      <c r="T550" t="s">
        <v>74</v>
      </c>
      <c r="U550" t="s">
        <v>10204</v>
      </c>
      <c r="V550" t="s">
        <v>10205</v>
      </c>
      <c r="W550" t="s">
        <v>10206</v>
      </c>
      <c r="X550" t="s">
        <v>10207</v>
      </c>
      <c r="Y550" t="s">
        <v>10208</v>
      </c>
      <c r="Z550" t="s">
        <v>10209</v>
      </c>
      <c r="AA550" t="s">
        <v>10210</v>
      </c>
      <c r="AB550" t="s">
        <v>10211</v>
      </c>
      <c r="AC550" t="s">
        <v>10212</v>
      </c>
      <c r="AD550" t="s">
        <v>10213</v>
      </c>
      <c r="AE550" t="s">
        <v>10214</v>
      </c>
      <c r="AF550" t="s">
        <v>74</v>
      </c>
      <c r="AG550">
        <v>60</v>
      </c>
      <c r="AH550">
        <v>39</v>
      </c>
      <c r="AI550">
        <v>40</v>
      </c>
      <c r="AJ550">
        <v>3</v>
      </c>
      <c r="AK550">
        <v>36</v>
      </c>
      <c r="AL550" t="s">
        <v>1014</v>
      </c>
      <c r="AM550" t="s">
        <v>1015</v>
      </c>
      <c r="AN550" t="s">
        <v>1016</v>
      </c>
      <c r="AO550" t="s">
        <v>1017</v>
      </c>
      <c r="AP550" t="s">
        <v>1018</v>
      </c>
      <c r="AQ550" t="s">
        <v>74</v>
      </c>
      <c r="AR550" t="s">
        <v>1019</v>
      </c>
      <c r="AS550" t="s">
        <v>1020</v>
      </c>
      <c r="AT550" t="s">
        <v>9900</v>
      </c>
      <c r="AU550">
        <v>2011</v>
      </c>
      <c r="AV550">
        <v>43</v>
      </c>
      <c r="AW550">
        <v>2</v>
      </c>
      <c r="AX550" t="s">
        <v>74</v>
      </c>
      <c r="AY550" t="s">
        <v>74</v>
      </c>
      <c r="AZ550" t="s">
        <v>74</v>
      </c>
      <c r="BA550" t="s">
        <v>74</v>
      </c>
      <c r="BB550">
        <v>213</v>
      </c>
      <c r="BC550">
        <v>222</v>
      </c>
      <c r="BD550" t="s">
        <v>74</v>
      </c>
      <c r="BE550" t="s">
        <v>10215</v>
      </c>
      <c r="BF550" t="str">
        <f>HYPERLINK("http://dx.doi.org/10.1657/1938-4246-43.2.213","http://dx.doi.org/10.1657/1938-4246-43.2.213")</f>
        <v>http://dx.doi.org/10.1657/1938-4246-43.2.213</v>
      </c>
      <c r="BG550" t="s">
        <v>74</v>
      </c>
      <c r="BH550" t="s">
        <v>74</v>
      </c>
      <c r="BI550">
        <v>10</v>
      </c>
      <c r="BJ550" t="s">
        <v>1022</v>
      </c>
      <c r="BK550" t="s">
        <v>100</v>
      </c>
      <c r="BL550" t="s">
        <v>1023</v>
      </c>
      <c r="BM550" t="s">
        <v>10168</v>
      </c>
      <c r="BN550" t="s">
        <v>74</v>
      </c>
      <c r="BO550" t="s">
        <v>1039</v>
      </c>
      <c r="BP550" t="s">
        <v>74</v>
      </c>
      <c r="BQ550" t="s">
        <v>74</v>
      </c>
      <c r="BR550" t="s">
        <v>103</v>
      </c>
      <c r="BS550" t="s">
        <v>10216</v>
      </c>
      <c r="BT550" t="str">
        <f>HYPERLINK("https%3A%2F%2Fwww.webofscience.com%2Fwos%2Fwoscc%2Ffull-record%2FWOS:000291118700006","View Full Record in Web of Science")</f>
        <v>View Full Record in Web of Science</v>
      </c>
    </row>
    <row r="551" spans="1:72" x14ac:dyDescent="0.15">
      <c r="A551" t="s">
        <v>72</v>
      </c>
      <c r="B551" t="s">
        <v>10217</v>
      </c>
      <c r="C551" t="s">
        <v>74</v>
      </c>
      <c r="D551" t="s">
        <v>74</v>
      </c>
      <c r="E551" t="s">
        <v>74</v>
      </c>
      <c r="F551" t="s">
        <v>10218</v>
      </c>
      <c r="G551" t="s">
        <v>74</v>
      </c>
      <c r="H551" t="s">
        <v>74</v>
      </c>
      <c r="I551" t="s">
        <v>10219</v>
      </c>
      <c r="J551" t="s">
        <v>1004</v>
      </c>
      <c r="K551" t="s">
        <v>74</v>
      </c>
      <c r="L551" t="s">
        <v>74</v>
      </c>
      <c r="M551" t="s">
        <v>78</v>
      </c>
      <c r="N551" t="s">
        <v>79</v>
      </c>
      <c r="O551" t="s">
        <v>74</v>
      </c>
      <c r="P551" t="s">
        <v>74</v>
      </c>
      <c r="Q551" t="s">
        <v>74</v>
      </c>
      <c r="R551" t="s">
        <v>74</v>
      </c>
      <c r="S551" t="s">
        <v>74</v>
      </c>
      <c r="T551" t="s">
        <v>74</v>
      </c>
      <c r="U551" t="s">
        <v>10220</v>
      </c>
      <c r="V551" t="s">
        <v>10221</v>
      </c>
      <c r="W551" t="s">
        <v>10222</v>
      </c>
      <c r="X551" t="s">
        <v>10223</v>
      </c>
      <c r="Y551" t="s">
        <v>10224</v>
      </c>
      <c r="Z551" t="s">
        <v>10225</v>
      </c>
      <c r="AA551" t="s">
        <v>10226</v>
      </c>
      <c r="AB551" t="s">
        <v>10227</v>
      </c>
      <c r="AC551" t="s">
        <v>10228</v>
      </c>
      <c r="AD551" t="s">
        <v>10229</v>
      </c>
      <c r="AE551" t="s">
        <v>10230</v>
      </c>
      <c r="AF551" t="s">
        <v>74</v>
      </c>
      <c r="AG551">
        <v>28</v>
      </c>
      <c r="AH551">
        <v>4</v>
      </c>
      <c r="AI551">
        <v>7</v>
      </c>
      <c r="AJ551">
        <v>1</v>
      </c>
      <c r="AK551">
        <v>14</v>
      </c>
      <c r="AL551" t="s">
        <v>1035</v>
      </c>
      <c r="AM551" t="s">
        <v>1036</v>
      </c>
      <c r="AN551" t="s">
        <v>1037</v>
      </c>
      <c r="AO551" t="s">
        <v>1017</v>
      </c>
      <c r="AP551" t="s">
        <v>1018</v>
      </c>
      <c r="AQ551" t="s">
        <v>74</v>
      </c>
      <c r="AR551" t="s">
        <v>1019</v>
      </c>
      <c r="AS551" t="s">
        <v>1020</v>
      </c>
      <c r="AT551" t="s">
        <v>9900</v>
      </c>
      <c r="AU551">
        <v>2011</v>
      </c>
      <c r="AV551">
        <v>43</v>
      </c>
      <c r="AW551">
        <v>2</v>
      </c>
      <c r="AX551" t="s">
        <v>74</v>
      </c>
      <c r="AY551" t="s">
        <v>74</v>
      </c>
      <c r="AZ551" t="s">
        <v>74</v>
      </c>
      <c r="BA551" t="s">
        <v>74</v>
      </c>
      <c r="BB551">
        <v>223</v>
      </c>
      <c r="BC551">
        <v>228</v>
      </c>
      <c r="BD551" t="s">
        <v>74</v>
      </c>
      <c r="BE551" t="s">
        <v>10231</v>
      </c>
      <c r="BF551" t="str">
        <f>HYPERLINK("http://dx.doi.org/10.1657/1938-4246-43.2.223","http://dx.doi.org/10.1657/1938-4246-43.2.223")</f>
        <v>http://dx.doi.org/10.1657/1938-4246-43.2.223</v>
      </c>
      <c r="BG551" t="s">
        <v>74</v>
      </c>
      <c r="BH551" t="s">
        <v>74</v>
      </c>
      <c r="BI551">
        <v>6</v>
      </c>
      <c r="BJ551" t="s">
        <v>1022</v>
      </c>
      <c r="BK551" t="s">
        <v>100</v>
      </c>
      <c r="BL551" t="s">
        <v>1023</v>
      </c>
      <c r="BM551" t="s">
        <v>10168</v>
      </c>
      <c r="BN551" t="s">
        <v>74</v>
      </c>
      <c r="BO551" t="s">
        <v>1025</v>
      </c>
      <c r="BP551" t="s">
        <v>74</v>
      </c>
      <c r="BQ551" t="s">
        <v>74</v>
      </c>
      <c r="BR551" t="s">
        <v>103</v>
      </c>
      <c r="BS551" t="s">
        <v>10232</v>
      </c>
      <c r="BT551" t="str">
        <f>HYPERLINK("https%3A%2F%2Fwww.webofscience.com%2Fwos%2Fwoscc%2Ffull-record%2FWOS:000291118700007","View Full Record in Web of Science")</f>
        <v>View Full Record in Web of Science</v>
      </c>
    </row>
    <row r="552" spans="1:72" x14ac:dyDescent="0.15">
      <c r="A552" t="s">
        <v>72</v>
      </c>
      <c r="B552" t="s">
        <v>10233</v>
      </c>
      <c r="C552" t="s">
        <v>74</v>
      </c>
      <c r="D552" t="s">
        <v>74</v>
      </c>
      <c r="E552" t="s">
        <v>74</v>
      </c>
      <c r="F552" t="s">
        <v>10234</v>
      </c>
      <c r="G552" t="s">
        <v>74</v>
      </c>
      <c r="H552" t="s">
        <v>74</v>
      </c>
      <c r="I552" t="s">
        <v>10235</v>
      </c>
      <c r="J552" t="s">
        <v>1004</v>
      </c>
      <c r="K552" t="s">
        <v>74</v>
      </c>
      <c r="L552" t="s">
        <v>74</v>
      </c>
      <c r="M552" t="s">
        <v>78</v>
      </c>
      <c r="N552" t="s">
        <v>79</v>
      </c>
      <c r="O552" t="s">
        <v>74</v>
      </c>
      <c r="P552" t="s">
        <v>74</v>
      </c>
      <c r="Q552" t="s">
        <v>74</v>
      </c>
      <c r="R552" t="s">
        <v>74</v>
      </c>
      <c r="S552" t="s">
        <v>74</v>
      </c>
      <c r="T552" t="s">
        <v>74</v>
      </c>
      <c r="U552" t="s">
        <v>10236</v>
      </c>
      <c r="V552" t="s">
        <v>10237</v>
      </c>
      <c r="W552" t="s">
        <v>10238</v>
      </c>
      <c r="X552" t="s">
        <v>10239</v>
      </c>
      <c r="Y552" t="s">
        <v>10240</v>
      </c>
      <c r="Z552" t="s">
        <v>10241</v>
      </c>
      <c r="AA552" t="s">
        <v>10242</v>
      </c>
      <c r="AB552" t="s">
        <v>10243</v>
      </c>
      <c r="AC552" t="s">
        <v>10244</v>
      </c>
      <c r="AD552" t="s">
        <v>10245</v>
      </c>
      <c r="AE552" t="s">
        <v>10246</v>
      </c>
      <c r="AF552" t="s">
        <v>74</v>
      </c>
      <c r="AG552">
        <v>52</v>
      </c>
      <c r="AH552">
        <v>46</v>
      </c>
      <c r="AI552">
        <v>61</v>
      </c>
      <c r="AJ552">
        <v>7</v>
      </c>
      <c r="AK552">
        <v>82</v>
      </c>
      <c r="AL552" t="s">
        <v>1014</v>
      </c>
      <c r="AM552" t="s">
        <v>1015</v>
      </c>
      <c r="AN552" t="s">
        <v>1016</v>
      </c>
      <c r="AO552" t="s">
        <v>1017</v>
      </c>
      <c r="AP552" t="s">
        <v>1018</v>
      </c>
      <c r="AQ552" t="s">
        <v>74</v>
      </c>
      <c r="AR552" t="s">
        <v>1019</v>
      </c>
      <c r="AS552" t="s">
        <v>1020</v>
      </c>
      <c r="AT552" t="s">
        <v>9900</v>
      </c>
      <c r="AU552">
        <v>2011</v>
      </c>
      <c r="AV552">
        <v>43</v>
      </c>
      <c r="AW552">
        <v>2</v>
      </c>
      <c r="AX552" t="s">
        <v>74</v>
      </c>
      <c r="AY552" t="s">
        <v>74</v>
      </c>
      <c r="AZ552" t="s">
        <v>74</v>
      </c>
      <c r="BA552" t="s">
        <v>74</v>
      </c>
      <c r="BB552">
        <v>229</v>
      </c>
      <c r="BC552">
        <v>238</v>
      </c>
      <c r="BD552" t="s">
        <v>74</v>
      </c>
      <c r="BE552" t="s">
        <v>10247</v>
      </c>
      <c r="BF552" t="str">
        <f>HYPERLINK("http://dx.doi.org/10.1657/1938-4246-43.2.229","http://dx.doi.org/10.1657/1938-4246-43.2.229")</f>
        <v>http://dx.doi.org/10.1657/1938-4246-43.2.229</v>
      </c>
      <c r="BG552" t="s">
        <v>74</v>
      </c>
      <c r="BH552" t="s">
        <v>74</v>
      </c>
      <c r="BI552">
        <v>10</v>
      </c>
      <c r="BJ552" t="s">
        <v>1022</v>
      </c>
      <c r="BK552" t="s">
        <v>100</v>
      </c>
      <c r="BL552" t="s">
        <v>1023</v>
      </c>
      <c r="BM552" t="s">
        <v>10168</v>
      </c>
      <c r="BN552" t="s">
        <v>74</v>
      </c>
      <c r="BO552" t="s">
        <v>1039</v>
      </c>
      <c r="BP552" t="s">
        <v>74</v>
      </c>
      <c r="BQ552" t="s">
        <v>74</v>
      </c>
      <c r="BR552" t="s">
        <v>103</v>
      </c>
      <c r="BS552" t="s">
        <v>10248</v>
      </c>
      <c r="BT552" t="str">
        <f>HYPERLINK("https%3A%2F%2Fwww.webofscience.com%2Fwos%2Fwoscc%2Ffull-record%2FWOS:000291118700008","View Full Record in Web of Science")</f>
        <v>View Full Record in Web of Science</v>
      </c>
    </row>
    <row r="553" spans="1:72" x14ac:dyDescent="0.15">
      <c r="A553" t="s">
        <v>72</v>
      </c>
      <c r="B553" t="s">
        <v>10249</v>
      </c>
      <c r="C553" t="s">
        <v>74</v>
      </c>
      <c r="D553" t="s">
        <v>74</v>
      </c>
      <c r="E553" t="s">
        <v>74</v>
      </c>
      <c r="F553" t="s">
        <v>10250</v>
      </c>
      <c r="G553" t="s">
        <v>74</v>
      </c>
      <c r="H553" t="s">
        <v>74</v>
      </c>
      <c r="I553" t="s">
        <v>10251</v>
      </c>
      <c r="J553" t="s">
        <v>1004</v>
      </c>
      <c r="K553" t="s">
        <v>74</v>
      </c>
      <c r="L553" t="s">
        <v>74</v>
      </c>
      <c r="M553" t="s">
        <v>78</v>
      </c>
      <c r="N553" t="s">
        <v>79</v>
      </c>
      <c r="O553" t="s">
        <v>74</v>
      </c>
      <c r="P553" t="s">
        <v>74</v>
      </c>
      <c r="Q553" t="s">
        <v>74</v>
      </c>
      <c r="R553" t="s">
        <v>74</v>
      </c>
      <c r="S553" t="s">
        <v>74</v>
      </c>
      <c r="T553" t="s">
        <v>74</v>
      </c>
      <c r="U553" t="s">
        <v>10252</v>
      </c>
      <c r="V553" t="s">
        <v>10253</v>
      </c>
      <c r="W553" t="s">
        <v>10254</v>
      </c>
      <c r="X553" t="s">
        <v>10255</v>
      </c>
      <c r="Y553" t="s">
        <v>10256</v>
      </c>
      <c r="Z553" t="s">
        <v>10257</v>
      </c>
      <c r="AA553" t="s">
        <v>10258</v>
      </c>
      <c r="AB553" t="s">
        <v>10259</v>
      </c>
      <c r="AC553" t="s">
        <v>10260</v>
      </c>
      <c r="AD553" t="s">
        <v>10261</v>
      </c>
      <c r="AE553" t="s">
        <v>10262</v>
      </c>
      <c r="AF553" t="s">
        <v>74</v>
      </c>
      <c r="AG553">
        <v>52</v>
      </c>
      <c r="AH553">
        <v>22</v>
      </c>
      <c r="AI553">
        <v>23</v>
      </c>
      <c r="AJ553">
        <v>0</v>
      </c>
      <c r="AK553">
        <v>28</v>
      </c>
      <c r="AL553" t="s">
        <v>1014</v>
      </c>
      <c r="AM553" t="s">
        <v>1015</v>
      </c>
      <c r="AN553" t="s">
        <v>1016</v>
      </c>
      <c r="AO553" t="s">
        <v>1017</v>
      </c>
      <c r="AP553" t="s">
        <v>1018</v>
      </c>
      <c r="AQ553" t="s">
        <v>74</v>
      </c>
      <c r="AR553" t="s">
        <v>1019</v>
      </c>
      <c r="AS553" t="s">
        <v>1020</v>
      </c>
      <c r="AT553" t="s">
        <v>9900</v>
      </c>
      <c r="AU553">
        <v>2011</v>
      </c>
      <c r="AV553">
        <v>43</v>
      </c>
      <c r="AW553">
        <v>2</v>
      </c>
      <c r="AX553" t="s">
        <v>74</v>
      </c>
      <c r="AY553" t="s">
        <v>74</v>
      </c>
      <c r="AZ553" t="s">
        <v>74</v>
      </c>
      <c r="BA553" t="s">
        <v>74</v>
      </c>
      <c r="BB553">
        <v>239</v>
      </c>
      <c r="BC553">
        <v>245</v>
      </c>
      <c r="BD553" t="s">
        <v>74</v>
      </c>
      <c r="BE553" t="s">
        <v>10263</v>
      </c>
      <c r="BF553" t="str">
        <f>HYPERLINK("http://dx.doi.org/10.1657/1938-4246-43.2.239","http://dx.doi.org/10.1657/1938-4246-43.2.239")</f>
        <v>http://dx.doi.org/10.1657/1938-4246-43.2.239</v>
      </c>
      <c r="BG553" t="s">
        <v>74</v>
      </c>
      <c r="BH553" t="s">
        <v>74</v>
      </c>
      <c r="BI553">
        <v>7</v>
      </c>
      <c r="BJ553" t="s">
        <v>1022</v>
      </c>
      <c r="BK553" t="s">
        <v>100</v>
      </c>
      <c r="BL553" t="s">
        <v>1023</v>
      </c>
      <c r="BM553" t="s">
        <v>10168</v>
      </c>
      <c r="BN553" t="s">
        <v>74</v>
      </c>
      <c r="BO553" t="s">
        <v>1039</v>
      </c>
      <c r="BP553" t="s">
        <v>74</v>
      </c>
      <c r="BQ553" t="s">
        <v>74</v>
      </c>
      <c r="BR553" t="s">
        <v>103</v>
      </c>
      <c r="BS553" t="s">
        <v>10264</v>
      </c>
      <c r="BT553" t="str">
        <f>HYPERLINK("https%3A%2F%2Fwww.webofscience.com%2Fwos%2Fwoscc%2Ffull-record%2FWOS:000291118700009","View Full Record in Web of Science")</f>
        <v>View Full Record in Web of Science</v>
      </c>
    </row>
    <row r="554" spans="1:72" x14ac:dyDescent="0.15">
      <c r="A554" t="s">
        <v>72</v>
      </c>
      <c r="B554" t="s">
        <v>10265</v>
      </c>
      <c r="C554" t="s">
        <v>74</v>
      </c>
      <c r="D554" t="s">
        <v>74</v>
      </c>
      <c r="E554" t="s">
        <v>74</v>
      </c>
      <c r="F554" t="s">
        <v>10266</v>
      </c>
      <c r="G554" t="s">
        <v>74</v>
      </c>
      <c r="H554" t="s">
        <v>74</v>
      </c>
      <c r="I554" t="s">
        <v>10267</v>
      </c>
      <c r="J554" t="s">
        <v>1004</v>
      </c>
      <c r="K554" t="s">
        <v>74</v>
      </c>
      <c r="L554" t="s">
        <v>74</v>
      </c>
      <c r="M554" t="s">
        <v>78</v>
      </c>
      <c r="N554" t="s">
        <v>79</v>
      </c>
      <c r="O554" t="s">
        <v>74</v>
      </c>
      <c r="P554" t="s">
        <v>74</v>
      </c>
      <c r="Q554" t="s">
        <v>74</v>
      </c>
      <c r="R554" t="s">
        <v>74</v>
      </c>
      <c r="S554" t="s">
        <v>74</v>
      </c>
      <c r="T554" t="s">
        <v>74</v>
      </c>
      <c r="U554" t="s">
        <v>10268</v>
      </c>
      <c r="V554" t="s">
        <v>10269</v>
      </c>
      <c r="W554" t="s">
        <v>10270</v>
      </c>
      <c r="X554" t="s">
        <v>10271</v>
      </c>
      <c r="Y554" t="s">
        <v>10272</v>
      </c>
      <c r="Z554" t="s">
        <v>10273</v>
      </c>
      <c r="AA554" t="s">
        <v>74</v>
      </c>
      <c r="AB554" t="s">
        <v>10274</v>
      </c>
      <c r="AC554" t="s">
        <v>10275</v>
      </c>
      <c r="AD554" t="s">
        <v>10276</v>
      </c>
      <c r="AE554" t="s">
        <v>10277</v>
      </c>
      <c r="AF554" t="s">
        <v>74</v>
      </c>
      <c r="AG554">
        <v>51</v>
      </c>
      <c r="AH554">
        <v>56</v>
      </c>
      <c r="AI554">
        <v>64</v>
      </c>
      <c r="AJ554">
        <v>1</v>
      </c>
      <c r="AK554">
        <v>76</v>
      </c>
      <c r="AL554" t="s">
        <v>1014</v>
      </c>
      <c r="AM554" t="s">
        <v>1015</v>
      </c>
      <c r="AN554" t="s">
        <v>1016</v>
      </c>
      <c r="AO554" t="s">
        <v>1017</v>
      </c>
      <c r="AP554" t="s">
        <v>1018</v>
      </c>
      <c r="AQ554" t="s">
        <v>74</v>
      </c>
      <c r="AR554" t="s">
        <v>1019</v>
      </c>
      <c r="AS554" t="s">
        <v>1020</v>
      </c>
      <c r="AT554" t="s">
        <v>9900</v>
      </c>
      <c r="AU554">
        <v>2011</v>
      </c>
      <c r="AV554">
        <v>43</v>
      </c>
      <c r="AW554">
        <v>2</v>
      </c>
      <c r="AX554" t="s">
        <v>74</v>
      </c>
      <c r="AY554" t="s">
        <v>74</v>
      </c>
      <c r="AZ554" t="s">
        <v>74</v>
      </c>
      <c r="BA554" t="s">
        <v>74</v>
      </c>
      <c r="BB554">
        <v>267</v>
      </c>
      <c r="BC554">
        <v>278</v>
      </c>
      <c r="BD554" t="s">
        <v>74</v>
      </c>
      <c r="BE554" t="s">
        <v>10278</v>
      </c>
      <c r="BF554" t="str">
        <f>HYPERLINK("http://dx.doi.org/10.1657/1938-4246-43.2.267","http://dx.doi.org/10.1657/1938-4246-43.2.267")</f>
        <v>http://dx.doi.org/10.1657/1938-4246-43.2.267</v>
      </c>
      <c r="BG554" t="s">
        <v>74</v>
      </c>
      <c r="BH554" t="s">
        <v>74</v>
      </c>
      <c r="BI554">
        <v>12</v>
      </c>
      <c r="BJ554" t="s">
        <v>1022</v>
      </c>
      <c r="BK554" t="s">
        <v>100</v>
      </c>
      <c r="BL554" t="s">
        <v>1023</v>
      </c>
      <c r="BM554" t="s">
        <v>10168</v>
      </c>
      <c r="BN554" t="s">
        <v>74</v>
      </c>
      <c r="BO554" t="s">
        <v>1039</v>
      </c>
      <c r="BP554" t="s">
        <v>74</v>
      </c>
      <c r="BQ554" t="s">
        <v>74</v>
      </c>
      <c r="BR554" t="s">
        <v>103</v>
      </c>
      <c r="BS554" t="s">
        <v>10279</v>
      </c>
      <c r="BT554" t="str">
        <f>HYPERLINK("https%3A%2F%2Fwww.webofscience.com%2Fwos%2Fwoscc%2Ffull-record%2FWOS:000291118700012","View Full Record in Web of Science")</f>
        <v>View Full Record in Web of Science</v>
      </c>
    </row>
    <row r="555" spans="1:72" x14ac:dyDescent="0.15">
      <c r="A555" t="s">
        <v>72</v>
      </c>
      <c r="B555" t="s">
        <v>10280</v>
      </c>
      <c r="C555" t="s">
        <v>74</v>
      </c>
      <c r="D555" t="s">
        <v>74</v>
      </c>
      <c r="E555" t="s">
        <v>74</v>
      </c>
      <c r="F555" t="s">
        <v>10281</v>
      </c>
      <c r="G555" t="s">
        <v>74</v>
      </c>
      <c r="H555" t="s">
        <v>74</v>
      </c>
      <c r="I555" t="s">
        <v>10282</v>
      </c>
      <c r="J555" t="s">
        <v>1004</v>
      </c>
      <c r="K555" t="s">
        <v>74</v>
      </c>
      <c r="L555" t="s">
        <v>74</v>
      </c>
      <c r="M555" t="s">
        <v>78</v>
      </c>
      <c r="N555" t="s">
        <v>79</v>
      </c>
      <c r="O555" t="s">
        <v>74</v>
      </c>
      <c r="P555" t="s">
        <v>74</v>
      </c>
      <c r="Q555" t="s">
        <v>74</v>
      </c>
      <c r="R555" t="s">
        <v>74</v>
      </c>
      <c r="S555" t="s">
        <v>74</v>
      </c>
      <c r="T555" t="s">
        <v>74</v>
      </c>
      <c r="U555" t="s">
        <v>10283</v>
      </c>
      <c r="V555" t="s">
        <v>10284</v>
      </c>
      <c r="W555" t="s">
        <v>10285</v>
      </c>
      <c r="X555" t="s">
        <v>10286</v>
      </c>
      <c r="Y555" t="s">
        <v>10287</v>
      </c>
      <c r="Z555" t="s">
        <v>10288</v>
      </c>
      <c r="AA555" t="s">
        <v>74</v>
      </c>
      <c r="AB555" t="s">
        <v>10289</v>
      </c>
      <c r="AC555" t="s">
        <v>10290</v>
      </c>
      <c r="AD555" t="s">
        <v>4631</v>
      </c>
      <c r="AE555" t="s">
        <v>10291</v>
      </c>
      <c r="AF555" t="s">
        <v>74</v>
      </c>
      <c r="AG555">
        <v>29</v>
      </c>
      <c r="AH555">
        <v>15</v>
      </c>
      <c r="AI555">
        <v>23</v>
      </c>
      <c r="AJ555">
        <v>0</v>
      </c>
      <c r="AK555">
        <v>25</v>
      </c>
      <c r="AL555" t="s">
        <v>1014</v>
      </c>
      <c r="AM555" t="s">
        <v>1015</v>
      </c>
      <c r="AN555" t="s">
        <v>1016</v>
      </c>
      <c r="AO555" t="s">
        <v>1017</v>
      </c>
      <c r="AP555" t="s">
        <v>1018</v>
      </c>
      <c r="AQ555" t="s">
        <v>74</v>
      </c>
      <c r="AR555" t="s">
        <v>1019</v>
      </c>
      <c r="AS555" t="s">
        <v>1020</v>
      </c>
      <c r="AT555" t="s">
        <v>9900</v>
      </c>
      <c r="AU555">
        <v>2011</v>
      </c>
      <c r="AV555">
        <v>43</v>
      </c>
      <c r="AW555">
        <v>2</v>
      </c>
      <c r="AX555" t="s">
        <v>74</v>
      </c>
      <c r="AY555" t="s">
        <v>74</v>
      </c>
      <c r="AZ555" t="s">
        <v>74</v>
      </c>
      <c r="BA555" t="s">
        <v>74</v>
      </c>
      <c r="BB555">
        <v>279</v>
      </c>
      <c r="BC555">
        <v>288</v>
      </c>
      <c r="BD555" t="s">
        <v>74</v>
      </c>
      <c r="BE555" t="s">
        <v>10292</v>
      </c>
      <c r="BF555" t="str">
        <f>HYPERLINK("http://dx.doi.org/10.1657/1938-4246-43.2.279","http://dx.doi.org/10.1657/1938-4246-43.2.279")</f>
        <v>http://dx.doi.org/10.1657/1938-4246-43.2.279</v>
      </c>
      <c r="BG555" t="s">
        <v>74</v>
      </c>
      <c r="BH555" t="s">
        <v>74</v>
      </c>
      <c r="BI555">
        <v>10</v>
      </c>
      <c r="BJ555" t="s">
        <v>1022</v>
      </c>
      <c r="BK555" t="s">
        <v>100</v>
      </c>
      <c r="BL555" t="s">
        <v>1023</v>
      </c>
      <c r="BM555" t="s">
        <v>10168</v>
      </c>
      <c r="BN555" t="s">
        <v>74</v>
      </c>
      <c r="BO555" t="s">
        <v>74</v>
      </c>
      <c r="BP555" t="s">
        <v>74</v>
      </c>
      <c r="BQ555" t="s">
        <v>74</v>
      </c>
      <c r="BR555" t="s">
        <v>103</v>
      </c>
      <c r="BS555" t="s">
        <v>10293</v>
      </c>
      <c r="BT555" t="str">
        <f>HYPERLINK("https%3A%2F%2Fwww.webofscience.com%2Fwos%2Fwoscc%2Ffull-record%2FWOS:000291118700013","View Full Record in Web of Science")</f>
        <v>View Full Record in Web of Science</v>
      </c>
    </row>
    <row r="556" spans="1:72" x14ac:dyDescent="0.15">
      <c r="A556" t="s">
        <v>72</v>
      </c>
      <c r="B556" t="s">
        <v>10294</v>
      </c>
      <c r="C556" t="s">
        <v>74</v>
      </c>
      <c r="D556" t="s">
        <v>74</v>
      </c>
      <c r="E556" t="s">
        <v>74</v>
      </c>
      <c r="F556" t="s">
        <v>10295</v>
      </c>
      <c r="G556" t="s">
        <v>74</v>
      </c>
      <c r="H556" t="s">
        <v>74</v>
      </c>
      <c r="I556" t="s">
        <v>10296</v>
      </c>
      <c r="J556" t="s">
        <v>1004</v>
      </c>
      <c r="K556" t="s">
        <v>74</v>
      </c>
      <c r="L556" t="s">
        <v>74</v>
      </c>
      <c r="M556" t="s">
        <v>78</v>
      </c>
      <c r="N556" t="s">
        <v>79</v>
      </c>
      <c r="O556" t="s">
        <v>74</v>
      </c>
      <c r="P556" t="s">
        <v>74</v>
      </c>
      <c r="Q556" t="s">
        <v>74</v>
      </c>
      <c r="R556" t="s">
        <v>74</v>
      </c>
      <c r="S556" t="s">
        <v>74</v>
      </c>
      <c r="T556" t="s">
        <v>74</v>
      </c>
      <c r="U556" t="s">
        <v>10297</v>
      </c>
      <c r="V556" t="s">
        <v>10298</v>
      </c>
      <c r="W556" t="s">
        <v>10299</v>
      </c>
      <c r="X556" t="s">
        <v>10300</v>
      </c>
      <c r="Y556" t="s">
        <v>10301</v>
      </c>
      <c r="Z556" t="s">
        <v>10302</v>
      </c>
      <c r="AA556" t="s">
        <v>10303</v>
      </c>
      <c r="AB556" t="s">
        <v>10304</v>
      </c>
      <c r="AC556" t="s">
        <v>10305</v>
      </c>
      <c r="AD556" t="s">
        <v>10306</v>
      </c>
      <c r="AE556" t="s">
        <v>10307</v>
      </c>
      <c r="AF556" t="s">
        <v>74</v>
      </c>
      <c r="AG556">
        <v>87</v>
      </c>
      <c r="AH556">
        <v>22</v>
      </c>
      <c r="AI556">
        <v>26</v>
      </c>
      <c r="AJ556">
        <v>2</v>
      </c>
      <c r="AK556">
        <v>58</v>
      </c>
      <c r="AL556" t="s">
        <v>1035</v>
      </c>
      <c r="AM556" t="s">
        <v>1036</v>
      </c>
      <c r="AN556" t="s">
        <v>1037</v>
      </c>
      <c r="AO556" t="s">
        <v>1017</v>
      </c>
      <c r="AP556" t="s">
        <v>74</v>
      </c>
      <c r="AQ556" t="s">
        <v>74</v>
      </c>
      <c r="AR556" t="s">
        <v>1019</v>
      </c>
      <c r="AS556" t="s">
        <v>1020</v>
      </c>
      <c r="AT556" t="s">
        <v>9900</v>
      </c>
      <c r="AU556">
        <v>2011</v>
      </c>
      <c r="AV556">
        <v>43</v>
      </c>
      <c r="AW556">
        <v>2</v>
      </c>
      <c r="AX556" t="s">
        <v>74</v>
      </c>
      <c r="AY556" t="s">
        <v>74</v>
      </c>
      <c r="AZ556" t="s">
        <v>74</v>
      </c>
      <c r="BA556" t="s">
        <v>74</v>
      </c>
      <c r="BB556">
        <v>289</v>
      </c>
      <c r="BC556">
        <v>300</v>
      </c>
      <c r="BD556" t="s">
        <v>74</v>
      </c>
      <c r="BE556" t="s">
        <v>10308</v>
      </c>
      <c r="BF556" t="str">
        <f>HYPERLINK("http://dx.doi.org/10.1657/1938-4246-43.2.289","http://dx.doi.org/10.1657/1938-4246-43.2.289")</f>
        <v>http://dx.doi.org/10.1657/1938-4246-43.2.289</v>
      </c>
      <c r="BG556" t="s">
        <v>74</v>
      </c>
      <c r="BH556" t="s">
        <v>74</v>
      </c>
      <c r="BI556">
        <v>12</v>
      </c>
      <c r="BJ556" t="s">
        <v>1022</v>
      </c>
      <c r="BK556" t="s">
        <v>100</v>
      </c>
      <c r="BL556" t="s">
        <v>1023</v>
      </c>
      <c r="BM556" t="s">
        <v>10168</v>
      </c>
      <c r="BN556" t="s">
        <v>74</v>
      </c>
      <c r="BO556" t="s">
        <v>1039</v>
      </c>
      <c r="BP556" t="s">
        <v>74</v>
      </c>
      <c r="BQ556" t="s">
        <v>74</v>
      </c>
      <c r="BR556" t="s">
        <v>103</v>
      </c>
      <c r="BS556" t="s">
        <v>10309</v>
      </c>
      <c r="BT556" t="str">
        <f>HYPERLINK("https%3A%2F%2Fwww.webofscience.com%2Fwos%2Fwoscc%2Ffull-record%2FWOS:000291118700014","View Full Record in Web of Science")</f>
        <v>View Full Record in Web of Science</v>
      </c>
    </row>
    <row r="557" spans="1:72" x14ac:dyDescent="0.15">
      <c r="A557" t="s">
        <v>72</v>
      </c>
      <c r="B557" t="s">
        <v>10310</v>
      </c>
      <c r="C557" t="s">
        <v>74</v>
      </c>
      <c r="D557" t="s">
        <v>74</v>
      </c>
      <c r="E557" t="s">
        <v>74</v>
      </c>
      <c r="F557" t="s">
        <v>10311</v>
      </c>
      <c r="G557" t="s">
        <v>74</v>
      </c>
      <c r="H557" t="s">
        <v>74</v>
      </c>
      <c r="I557" t="s">
        <v>10312</v>
      </c>
      <c r="J557" t="s">
        <v>1004</v>
      </c>
      <c r="K557" t="s">
        <v>74</v>
      </c>
      <c r="L557" t="s">
        <v>74</v>
      </c>
      <c r="M557" t="s">
        <v>78</v>
      </c>
      <c r="N557" t="s">
        <v>79</v>
      </c>
      <c r="O557" t="s">
        <v>74</v>
      </c>
      <c r="P557" t="s">
        <v>74</v>
      </c>
      <c r="Q557" t="s">
        <v>74</v>
      </c>
      <c r="R557" t="s">
        <v>74</v>
      </c>
      <c r="S557" t="s">
        <v>74</v>
      </c>
      <c r="T557" t="s">
        <v>74</v>
      </c>
      <c r="U557" t="s">
        <v>10313</v>
      </c>
      <c r="V557" t="s">
        <v>10314</v>
      </c>
      <c r="W557" t="s">
        <v>10315</v>
      </c>
      <c r="X557" t="s">
        <v>10316</v>
      </c>
      <c r="Y557" t="s">
        <v>10317</v>
      </c>
      <c r="Z557" t="s">
        <v>10318</v>
      </c>
      <c r="AA557" t="s">
        <v>10319</v>
      </c>
      <c r="AB557" t="s">
        <v>74</v>
      </c>
      <c r="AC557" t="s">
        <v>10320</v>
      </c>
      <c r="AD557" t="s">
        <v>10321</v>
      </c>
      <c r="AE557" t="s">
        <v>10322</v>
      </c>
      <c r="AF557" t="s">
        <v>74</v>
      </c>
      <c r="AG557">
        <v>52</v>
      </c>
      <c r="AH557">
        <v>11</v>
      </c>
      <c r="AI557">
        <v>14</v>
      </c>
      <c r="AJ557">
        <v>0</v>
      </c>
      <c r="AK557">
        <v>18</v>
      </c>
      <c r="AL557" t="s">
        <v>1014</v>
      </c>
      <c r="AM557" t="s">
        <v>1015</v>
      </c>
      <c r="AN557" t="s">
        <v>1016</v>
      </c>
      <c r="AO557" t="s">
        <v>1017</v>
      </c>
      <c r="AP557" t="s">
        <v>1018</v>
      </c>
      <c r="AQ557" t="s">
        <v>74</v>
      </c>
      <c r="AR557" t="s">
        <v>1019</v>
      </c>
      <c r="AS557" t="s">
        <v>1020</v>
      </c>
      <c r="AT557" t="s">
        <v>9900</v>
      </c>
      <c r="AU557">
        <v>2011</v>
      </c>
      <c r="AV557">
        <v>43</v>
      </c>
      <c r="AW557">
        <v>2</v>
      </c>
      <c r="AX557" t="s">
        <v>74</v>
      </c>
      <c r="AY557" t="s">
        <v>74</v>
      </c>
      <c r="AZ557" t="s">
        <v>74</v>
      </c>
      <c r="BA557" t="s">
        <v>74</v>
      </c>
      <c r="BB557">
        <v>301</v>
      </c>
      <c r="BC557">
        <v>312</v>
      </c>
      <c r="BD557" t="s">
        <v>74</v>
      </c>
      <c r="BE557" t="s">
        <v>10323</v>
      </c>
      <c r="BF557" t="str">
        <f>HYPERLINK("http://dx.doi.org/10.1657/1938-4246-43.2.301","http://dx.doi.org/10.1657/1938-4246-43.2.301")</f>
        <v>http://dx.doi.org/10.1657/1938-4246-43.2.301</v>
      </c>
      <c r="BG557" t="s">
        <v>74</v>
      </c>
      <c r="BH557" t="s">
        <v>74</v>
      </c>
      <c r="BI557">
        <v>12</v>
      </c>
      <c r="BJ557" t="s">
        <v>1022</v>
      </c>
      <c r="BK557" t="s">
        <v>100</v>
      </c>
      <c r="BL557" t="s">
        <v>1023</v>
      </c>
      <c r="BM557" t="s">
        <v>10168</v>
      </c>
      <c r="BN557" t="s">
        <v>74</v>
      </c>
      <c r="BO557" t="s">
        <v>1025</v>
      </c>
      <c r="BP557" t="s">
        <v>74</v>
      </c>
      <c r="BQ557" t="s">
        <v>74</v>
      </c>
      <c r="BR557" t="s">
        <v>103</v>
      </c>
      <c r="BS557" t="s">
        <v>10324</v>
      </c>
      <c r="BT557" t="str">
        <f>HYPERLINK("https%3A%2F%2Fwww.webofscience.com%2Fwos%2Fwoscc%2Ffull-record%2FWOS:000291118700015","View Full Record in Web of Science")</f>
        <v>View Full Record in Web of Science</v>
      </c>
    </row>
    <row r="558" spans="1:72" x14ac:dyDescent="0.15">
      <c r="A558" t="s">
        <v>72</v>
      </c>
      <c r="B558" t="s">
        <v>10325</v>
      </c>
      <c r="C558" t="s">
        <v>74</v>
      </c>
      <c r="D558" t="s">
        <v>74</v>
      </c>
      <c r="E558" t="s">
        <v>74</v>
      </c>
      <c r="F558" t="s">
        <v>10326</v>
      </c>
      <c r="G558" t="s">
        <v>74</v>
      </c>
      <c r="H558" t="s">
        <v>74</v>
      </c>
      <c r="I558" t="s">
        <v>10327</v>
      </c>
      <c r="J558" t="s">
        <v>10328</v>
      </c>
      <c r="K558" t="s">
        <v>74</v>
      </c>
      <c r="L558" t="s">
        <v>74</v>
      </c>
      <c r="M558" t="s">
        <v>78</v>
      </c>
      <c r="N558" t="s">
        <v>79</v>
      </c>
      <c r="O558" t="s">
        <v>74</v>
      </c>
      <c r="P558" t="s">
        <v>74</v>
      </c>
      <c r="Q558" t="s">
        <v>74</v>
      </c>
      <c r="R558" t="s">
        <v>74</v>
      </c>
      <c r="S558" t="s">
        <v>74</v>
      </c>
      <c r="T558" t="s">
        <v>10329</v>
      </c>
      <c r="U558" t="s">
        <v>10330</v>
      </c>
      <c r="V558" t="s">
        <v>10331</v>
      </c>
      <c r="W558" t="s">
        <v>10332</v>
      </c>
      <c r="X558" t="s">
        <v>10333</v>
      </c>
      <c r="Y558" t="s">
        <v>10334</v>
      </c>
      <c r="Z558" t="s">
        <v>4923</v>
      </c>
      <c r="AA558" t="s">
        <v>74</v>
      </c>
      <c r="AB558" t="s">
        <v>74</v>
      </c>
      <c r="AC558" t="s">
        <v>10335</v>
      </c>
      <c r="AD558" t="s">
        <v>10336</v>
      </c>
      <c r="AE558" t="s">
        <v>10337</v>
      </c>
      <c r="AF558" t="s">
        <v>74</v>
      </c>
      <c r="AG558">
        <v>69</v>
      </c>
      <c r="AH558">
        <v>48</v>
      </c>
      <c r="AI558">
        <v>60</v>
      </c>
      <c r="AJ558">
        <v>5</v>
      </c>
      <c r="AK558">
        <v>95</v>
      </c>
      <c r="AL558" t="s">
        <v>926</v>
      </c>
      <c r="AM558" t="s">
        <v>508</v>
      </c>
      <c r="AN558" t="s">
        <v>927</v>
      </c>
      <c r="AO558" t="s">
        <v>10338</v>
      </c>
      <c r="AP558" t="s">
        <v>10339</v>
      </c>
      <c r="AQ558" t="s">
        <v>74</v>
      </c>
      <c r="AR558" t="s">
        <v>10328</v>
      </c>
      <c r="AS558" t="s">
        <v>10340</v>
      </c>
      <c r="AT558" t="s">
        <v>9900</v>
      </c>
      <c r="AU558">
        <v>2011</v>
      </c>
      <c r="AV558">
        <v>83</v>
      </c>
      <c r="AW558">
        <v>8</v>
      </c>
      <c r="AX558" t="s">
        <v>74</v>
      </c>
      <c r="AY558" t="s">
        <v>74</v>
      </c>
      <c r="AZ558" t="s">
        <v>74</v>
      </c>
      <c r="BA558" t="s">
        <v>74</v>
      </c>
      <c r="BB558">
        <v>1108</v>
      </c>
      <c r="BC558">
        <v>1116</v>
      </c>
      <c r="BD558" t="s">
        <v>74</v>
      </c>
      <c r="BE558" t="s">
        <v>10341</v>
      </c>
      <c r="BF558" t="str">
        <f>HYPERLINK("http://dx.doi.org/10.1016/j.chemosphere.2011.01.031","http://dx.doi.org/10.1016/j.chemosphere.2011.01.031")</f>
        <v>http://dx.doi.org/10.1016/j.chemosphere.2011.01.031</v>
      </c>
      <c r="BG558" t="s">
        <v>74</v>
      </c>
      <c r="BH558" t="s">
        <v>74</v>
      </c>
      <c r="BI558">
        <v>9</v>
      </c>
      <c r="BJ558" t="s">
        <v>6748</v>
      </c>
      <c r="BK558" t="s">
        <v>100</v>
      </c>
      <c r="BL558" t="s">
        <v>5193</v>
      </c>
      <c r="BM558" t="s">
        <v>10342</v>
      </c>
      <c r="BN558">
        <v>21306754</v>
      </c>
      <c r="BO558" t="s">
        <v>74</v>
      </c>
      <c r="BP558" t="s">
        <v>74</v>
      </c>
      <c r="BQ558" t="s">
        <v>74</v>
      </c>
      <c r="BR558" t="s">
        <v>103</v>
      </c>
      <c r="BS558" t="s">
        <v>10343</v>
      </c>
      <c r="BT558" t="str">
        <f>HYPERLINK("https%3A%2F%2Fwww.webofscience.com%2Fwos%2Fwoscc%2Ffull-record%2FWOS:000291120400010","View Full Record in Web of Science")</f>
        <v>View Full Record in Web of Science</v>
      </c>
    </row>
    <row r="559" spans="1:72" x14ac:dyDescent="0.15">
      <c r="A559" t="s">
        <v>72</v>
      </c>
      <c r="B559" t="s">
        <v>10344</v>
      </c>
      <c r="C559" t="s">
        <v>74</v>
      </c>
      <c r="D559" t="s">
        <v>74</v>
      </c>
      <c r="E559" t="s">
        <v>74</v>
      </c>
      <c r="F559" t="s">
        <v>10345</v>
      </c>
      <c r="G559" t="s">
        <v>74</v>
      </c>
      <c r="H559" t="s">
        <v>74</v>
      </c>
      <c r="I559" t="s">
        <v>10346</v>
      </c>
      <c r="J559" t="s">
        <v>1289</v>
      </c>
      <c r="K559" t="s">
        <v>74</v>
      </c>
      <c r="L559" t="s">
        <v>74</v>
      </c>
      <c r="M559" t="s">
        <v>78</v>
      </c>
      <c r="N559" t="s">
        <v>79</v>
      </c>
      <c r="O559" t="s">
        <v>74</v>
      </c>
      <c r="P559" t="s">
        <v>74</v>
      </c>
      <c r="Q559" t="s">
        <v>74</v>
      </c>
      <c r="R559" t="s">
        <v>74</v>
      </c>
      <c r="S559" t="s">
        <v>74</v>
      </c>
      <c r="T559" t="s">
        <v>74</v>
      </c>
      <c r="U559" t="s">
        <v>10347</v>
      </c>
      <c r="V559" t="s">
        <v>10348</v>
      </c>
      <c r="W559" t="s">
        <v>10349</v>
      </c>
      <c r="X559" t="s">
        <v>10350</v>
      </c>
      <c r="Y559" t="s">
        <v>10351</v>
      </c>
      <c r="Z559" t="s">
        <v>10352</v>
      </c>
      <c r="AA559" t="s">
        <v>74</v>
      </c>
      <c r="AB559" t="s">
        <v>74</v>
      </c>
      <c r="AC559" t="s">
        <v>10353</v>
      </c>
      <c r="AD559" t="s">
        <v>10354</v>
      </c>
      <c r="AE559" t="s">
        <v>10355</v>
      </c>
      <c r="AF559" t="s">
        <v>74</v>
      </c>
      <c r="AG559">
        <v>21</v>
      </c>
      <c r="AH559">
        <v>13</v>
      </c>
      <c r="AI559">
        <v>14</v>
      </c>
      <c r="AJ559">
        <v>0</v>
      </c>
      <c r="AK559">
        <v>15</v>
      </c>
      <c r="AL559" t="s">
        <v>1275</v>
      </c>
      <c r="AM559" t="s">
        <v>1276</v>
      </c>
      <c r="AN559" t="s">
        <v>1277</v>
      </c>
      <c r="AO559" t="s">
        <v>1301</v>
      </c>
      <c r="AP559" t="s">
        <v>1302</v>
      </c>
      <c r="AQ559" t="s">
        <v>74</v>
      </c>
      <c r="AR559" t="s">
        <v>1303</v>
      </c>
      <c r="AS559" t="s">
        <v>1304</v>
      </c>
      <c r="AT559" t="s">
        <v>9900</v>
      </c>
      <c r="AU559">
        <v>2011</v>
      </c>
      <c r="AV559">
        <v>41</v>
      </c>
      <c r="AW559">
        <v>5</v>
      </c>
      <c r="AX559" t="s">
        <v>74</v>
      </c>
      <c r="AY559" t="s">
        <v>74</v>
      </c>
      <c r="AZ559" t="s">
        <v>74</v>
      </c>
      <c r="BA559" t="s">
        <v>74</v>
      </c>
      <c r="BB559">
        <v>889</v>
      </c>
      <c r="BC559">
        <v>910</v>
      </c>
      <c r="BD559" t="s">
        <v>74</v>
      </c>
      <c r="BE559" t="s">
        <v>10356</v>
      </c>
      <c r="BF559" t="str">
        <f>HYPERLINK("http://dx.doi.org/10.1175/2010JPO4496.1","http://dx.doi.org/10.1175/2010JPO4496.1")</f>
        <v>http://dx.doi.org/10.1175/2010JPO4496.1</v>
      </c>
      <c r="BG559" t="s">
        <v>74</v>
      </c>
      <c r="BH559" t="s">
        <v>74</v>
      </c>
      <c r="BI559">
        <v>22</v>
      </c>
      <c r="BJ559" t="s">
        <v>271</v>
      </c>
      <c r="BK559" t="s">
        <v>100</v>
      </c>
      <c r="BL559" t="s">
        <v>271</v>
      </c>
      <c r="BM559" t="s">
        <v>10357</v>
      </c>
      <c r="BN559" t="s">
        <v>74</v>
      </c>
      <c r="BO559" t="s">
        <v>10358</v>
      </c>
      <c r="BP559" t="s">
        <v>74</v>
      </c>
      <c r="BQ559" t="s">
        <v>74</v>
      </c>
      <c r="BR559" t="s">
        <v>103</v>
      </c>
      <c r="BS559" t="s">
        <v>10359</v>
      </c>
      <c r="BT559" t="str">
        <f>HYPERLINK("https%3A%2F%2Fwww.webofscience.com%2Fwos%2Fwoscc%2Ffull-record%2FWOS:000291121600004","View Full Record in Web of Science")</f>
        <v>View Full Record in Web of Science</v>
      </c>
    </row>
    <row r="560" spans="1:72" x14ac:dyDescent="0.15">
      <c r="A560" t="s">
        <v>72</v>
      </c>
      <c r="B560" t="s">
        <v>10360</v>
      </c>
      <c r="C560" t="s">
        <v>74</v>
      </c>
      <c r="D560" t="s">
        <v>74</v>
      </c>
      <c r="E560" t="s">
        <v>74</v>
      </c>
      <c r="F560" t="s">
        <v>10360</v>
      </c>
      <c r="G560" t="s">
        <v>74</v>
      </c>
      <c r="H560" t="s">
        <v>74</v>
      </c>
      <c r="I560" t="s">
        <v>10361</v>
      </c>
      <c r="J560" t="s">
        <v>10362</v>
      </c>
      <c r="K560" t="s">
        <v>74</v>
      </c>
      <c r="L560" t="s">
        <v>74</v>
      </c>
      <c r="M560" t="s">
        <v>78</v>
      </c>
      <c r="N560" t="s">
        <v>3318</v>
      </c>
      <c r="O560" t="s">
        <v>74</v>
      </c>
      <c r="P560" t="s">
        <v>74</v>
      </c>
      <c r="Q560" t="s">
        <v>74</v>
      </c>
      <c r="R560" t="s">
        <v>74</v>
      </c>
      <c r="S560" t="s">
        <v>74</v>
      </c>
      <c r="T560" t="s">
        <v>74</v>
      </c>
      <c r="U560" t="s">
        <v>74</v>
      </c>
      <c r="V560" t="s">
        <v>74</v>
      </c>
      <c r="W560" t="s">
        <v>74</v>
      </c>
      <c r="X560" t="s">
        <v>74</v>
      </c>
      <c r="Y560" t="s">
        <v>74</v>
      </c>
      <c r="Z560" t="s">
        <v>74</v>
      </c>
      <c r="AA560" t="s">
        <v>74</v>
      </c>
      <c r="AB560" t="s">
        <v>74</v>
      </c>
      <c r="AC560" t="s">
        <v>74</v>
      </c>
      <c r="AD560" t="s">
        <v>74</v>
      </c>
      <c r="AE560" t="s">
        <v>74</v>
      </c>
      <c r="AF560" t="s">
        <v>74</v>
      </c>
      <c r="AG560">
        <v>0</v>
      </c>
      <c r="AH560">
        <v>0</v>
      </c>
      <c r="AI560">
        <v>0</v>
      </c>
      <c r="AJ560">
        <v>0</v>
      </c>
      <c r="AK560">
        <v>2</v>
      </c>
      <c r="AL560" t="s">
        <v>926</v>
      </c>
      <c r="AM560" t="s">
        <v>508</v>
      </c>
      <c r="AN560" t="s">
        <v>927</v>
      </c>
      <c r="AO560" t="s">
        <v>10363</v>
      </c>
      <c r="AP560" t="s">
        <v>10364</v>
      </c>
      <c r="AQ560" t="s">
        <v>74</v>
      </c>
      <c r="AR560" t="s">
        <v>10365</v>
      </c>
      <c r="AS560" t="s">
        <v>10366</v>
      </c>
      <c r="AT560" t="s">
        <v>9900</v>
      </c>
      <c r="AU560">
        <v>2011</v>
      </c>
      <c r="AV560">
        <v>62</v>
      </c>
      <c r="AW560">
        <v>5</v>
      </c>
      <c r="AX560" t="s">
        <v>74</v>
      </c>
      <c r="AY560" t="s">
        <v>74</v>
      </c>
      <c r="AZ560" t="s">
        <v>74</v>
      </c>
      <c r="BA560" t="s">
        <v>74</v>
      </c>
      <c r="BB560">
        <v>885</v>
      </c>
      <c r="BC560">
        <v>885</v>
      </c>
      <c r="BD560" t="s">
        <v>74</v>
      </c>
      <c r="BE560" t="s">
        <v>74</v>
      </c>
      <c r="BF560" t="s">
        <v>74</v>
      </c>
      <c r="BG560" t="s">
        <v>74</v>
      </c>
      <c r="BH560" t="s">
        <v>74</v>
      </c>
      <c r="BI560">
        <v>1</v>
      </c>
      <c r="BJ560" t="s">
        <v>10367</v>
      </c>
      <c r="BK560" t="s">
        <v>100</v>
      </c>
      <c r="BL560" t="s">
        <v>3042</v>
      </c>
      <c r="BM560" t="s">
        <v>10368</v>
      </c>
      <c r="BN560" t="s">
        <v>74</v>
      </c>
      <c r="BO560" t="s">
        <v>74</v>
      </c>
      <c r="BP560" t="s">
        <v>74</v>
      </c>
      <c r="BQ560" t="s">
        <v>74</v>
      </c>
      <c r="BR560" t="s">
        <v>103</v>
      </c>
      <c r="BS560" t="s">
        <v>10369</v>
      </c>
      <c r="BT560" t="str">
        <f>HYPERLINK("https%3A%2F%2Fwww.webofscience.com%2Fwos%2Fwoscc%2Ffull-record%2FWOS:000291133500004","View Full Record in Web of Science")</f>
        <v>View Full Record in Web of Science</v>
      </c>
    </row>
    <row r="561" spans="1:72" x14ac:dyDescent="0.15">
      <c r="A561" t="s">
        <v>72</v>
      </c>
      <c r="B561" t="s">
        <v>10360</v>
      </c>
      <c r="C561" t="s">
        <v>74</v>
      </c>
      <c r="D561" t="s">
        <v>74</v>
      </c>
      <c r="E561" t="s">
        <v>74</v>
      </c>
      <c r="F561" t="s">
        <v>10360</v>
      </c>
      <c r="G561" t="s">
        <v>74</v>
      </c>
      <c r="H561" t="s">
        <v>74</v>
      </c>
      <c r="I561" t="s">
        <v>10370</v>
      </c>
      <c r="J561" t="s">
        <v>10362</v>
      </c>
      <c r="K561" t="s">
        <v>74</v>
      </c>
      <c r="L561" t="s">
        <v>74</v>
      </c>
      <c r="M561" t="s">
        <v>78</v>
      </c>
      <c r="N561" t="s">
        <v>3318</v>
      </c>
      <c r="O561" t="s">
        <v>74</v>
      </c>
      <c r="P561" t="s">
        <v>74</v>
      </c>
      <c r="Q561" t="s">
        <v>74</v>
      </c>
      <c r="R561" t="s">
        <v>74</v>
      </c>
      <c r="S561" t="s">
        <v>74</v>
      </c>
      <c r="T561" t="s">
        <v>74</v>
      </c>
      <c r="U561" t="s">
        <v>74</v>
      </c>
      <c r="V561" t="s">
        <v>74</v>
      </c>
      <c r="W561" t="s">
        <v>74</v>
      </c>
      <c r="X561" t="s">
        <v>74</v>
      </c>
      <c r="Y561" t="s">
        <v>74</v>
      </c>
      <c r="Z561" t="s">
        <v>74</v>
      </c>
      <c r="AA561" t="s">
        <v>74</v>
      </c>
      <c r="AB561" t="s">
        <v>74</v>
      </c>
      <c r="AC561" t="s">
        <v>74</v>
      </c>
      <c r="AD561" t="s">
        <v>74</v>
      </c>
      <c r="AE561" t="s">
        <v>74</v>
      </c>
      <c r="AF561" t="s">
        <v>74</v>
      </c>
      <c r="AG561">
        <v>0</v>
      </c>
      <c r="AH561">
        <v>0</v>
      </c>
      <c r="AI561">
        <v>0</v>
      </c>
      <c r="AJ561">
        <v>0</v>
      </c>
      <c r="AK561">
        <v>0</v>
      </c>
      <c r="AL561" t="s">
        <v>926</v>
      </c>
      <c r="AM561" t="s">
        <v>508</v>
      </c>
      <c r="AN561" t="s">
        <v>927</v>
      </c>
      <c r="AO561" t="s">
        <v>10363</v>
      </c>
      <c r="AP561" t="s">
        <v>10364</v>
      </c>
      <c r="AQ561" t="s">
        <v>74</v>
      </c>
      <c r="AR561" t="s">
        <v>10365</v>
      </c>
      <c r="AS561" t="s">
        <v>10366</v>
      </c>
      <c r="AT561" t="s">
        <v>9900</v>
      </c>
      <c r="AU561">
        <v>2011</v>
      </c>
      <c r="AV561">
        <v>62</v>
      </c>
      <c r="AW561">
        <v>5</v>
      </c>
      <c r="AX561" t="s">
        <v>74</v>
      </c>
      <c r="AY561" t="s">
        <v>74</v>
      </c>
      <c r="AZ561" t="s">
        <v>74</v>
      </c>
      <c r="BA561" t="s">
        <v>74</v>
      </c>
      <c r="BB561">
        <v>885</v>
      </c>
      <c r="BC561">
        <v>886</v>
      </c>
      <c r="BD561" t="s">
        <v>74</v>
      </c>
      <c r="BE561" t="s">
        <v>74</v>
      </c>
      <c r="BF561" t="s">
        <v>74</v>
      </c>
      <c r="BG561" t="s">
        <v>74</v>
      </c>
      <c r="BH561" t="s">
        <v>74</v>
      </c>
      <c r="BI561">
        <v>2</v>
      </c>
      <c r="BJ561" t="s">
        <v>10367</v>
      </c>
      <c r="BK561" t="s">
        <v>100</v>
      </c>
      <c r="BL561" t="s">
        <v>3042</v>
      </c>
      <c r="BM561" t="s">
        <v>10368</v>
      </c>
      <c r="BN561" t="s">
        <v>74</v>
      </c>
      <c r="BO561" t="s">
        <v>74</v>
      </c>
      <c r="BP561" t="s">
        <v>74</v>
      </c>
      <c r="BQ561" t="s">
        <v>74</v>
      </c>
      <c r="BR561" t="s">
        <v>103</v>
      </c>
      <c r="BS561" t="s">
        <v>10371</v>
      </c>
      <c r="BT561" t="str">
        <f>HYPERLINK("https%3A%2F%2Fwww.webofscience.com%2Fwos%2Fwoscc%2Ffull-record%2FWOS:000291133500005","View Full Record in Web of Science")</f>
        <v>View Full Record in Web of Science</v>
      </c>
    </row>
    <row r="562" spans="1:72" x14ac:dyDescent="0.15">
      <c r="A562" t="s">
        <v>72</v>
      </c>
      <c r="B562" t="s">
        <v>10372</v>
      </c>
      <c r="C562" t="s">
        <v>74</v>
      </c>
      <c r="D562" t="s">
        <v>74</v>
      </c>
      <c r="E562" t="s">
        <v>74</v>
      </c>
      <c r="F562" t="s">
        <v>10373</v>
      </c>
      <c r="G562" t="s">
        <v>74</v>
      </c>
      <c r="H562" t="s">
        <v>74</v>
      </c>
      <c r="I562" t="s">
        <v>10374</v>
      </c>
      <c r="J562" t="s">
        <v>5629</v>
      </c>
      <c r="K562" t="s">
        <v>74</v>
      </c>
      <c r="L562" t="s">
        <v>74</v>
      </c>
      <c r="M562" t="s">
        <v>78</v>
      </c>
      <c r="N562" t="s">
        <v>79</v>
      </c>
      <c r="O562" t="s">
        <v>74</v>
      </c>
      <c r="P562" t="s">
        <v>74</v>
      </c>
      <c r="Q562" t="s">
        <v>74</v>
      </c>
      <c r="R562" t="s">
        <v>74</v>
      </c>
      <c r="S562" t="s">
        <v>74</v>
      </c>
      <c r="T562" t="s">
        <v>74</v>
      </c>
      <c r="U562" t="s">
        <v>10375</v>
      </c>
      <c r="V562" t="s">
        <v>10376</v>
      </c>
      <c r="W562" t="s">
        <v>10377</v>
      </c>
      <c r="X562" t="s">
        <v>10378</v>
      </c>
      <c r="Y562" t="s">
        <v>10379</v>
      </c>
      <c r="Z562" t="s">
        <v>10380</v>
      </c>
      <c r="AA562" t="s">
        <v>74</v>
      </c>
      <c r="AB562" t="s">
        <v>10381</v>
      </c>
      <c r="AC562" t="s">
        <v>10382</v>
      </c>
      <c r="AD562" t="s">
        <v>10383</v>
      </c>
      <c r="AE562" t="s">
        <v>10384</v>
      </c>
      <c r="AF562" t="s">
        <v>74</v>
      </c>
      <c r="AG562">
        <v>90</v>
      </c>
      <c r="AH562">
        <v>4</v>
      </c>
      <c r="AI562">
        <v>4</v>
      </c>
      <c r="AJ562">
        <v>0</v>
      </c>
      <c r="AK562">
        <v>10</v>
      </c>
      <c r="AL562" t="s">
        <v>5641</v>
      </c>
      <c r="AM562" t="s">
        <v>5642</v>
      </c>
      <c r="AN562" t="s">
        <v>5643</v>
      </c>
      <c r="AO562" t="s">
        <v>5644</v>
      </c>
      <c r="AP562" t="s">
        <v>5645</v>
      </c>
      <c r="AQ562" t="s">
        <v>74</v>
      </c>
      <c r="AR562" t="s">
        <v>5646</v>
      </c>
      <c r="AS562" t="s">
        <v>5647</v>
      </c>
      <c r="AT562" t="s">
        <v>10385</v>
      </c>
      <c r="AU562">
        <v>2011</v>
      </c>
      <c r="AV562">
        <v>81</v>
      </c>
      <c r="AW562" t="s">
        <v>10386</v>
      </c>
      <c r="AX562" t="s">
        <v>74</v>
      </c>
      <c r="AY562" t="s">
        <v>74</v>
      </c>
      <c r="AZ562" t="s">
        <v>74</v>
      </c>
      <c r="BA562" t="s">
        <v>74</v>
      </c>
      <c r="BB562">
        <v>355</v>
      </c>
      <c r="BC562">
        <v>375</v>
      </c>
      <c r="BD562" t="s">
        <v>74</v>
      </c>
      <c r="BE562" t="s">
        <v>10387</v>
      </c>
      <c r="BF562" t="str">
        <f>HYPERLINK("http://dx.doi.org/10.2110/jsr.2011.30","http://dx.doi.org/10.2110/jsr.2011.30")</f>
        <v>http://dx.doi.org/10.2110/jsr.2011.30</v>
      </c>
      <c r="BG562" t="s">
        <v>74</v>
      </c>
      <c r="BH562" t="s">
        <v>74</v>
      </c>
      <c r="BI562">
        <v>21</v>
      </c>
      <c r="BJ562" t="s">
        <v>131</v>
      </c>
      <c r="BK562" t="s">
        <v>100</v>
      </c>
      <c r="BL562" t="s">
        <v>131</v>
      </c>
      <c r="BM562" t="s">
        <v>10388</v>
      </c>
      <c r="BN562" t="s">
        <v>74</v>
      </c>
      <c r="BO562" t="s">
        <v>74</v>
      </c>
      <c r="BP562" t="s">
        <v>74</v>
      </c>
      <c r="BQ562" t="s">
        <v>74</v>
      </c>
      <c r="BR562" t="s">
        <v>103</v>
      </c>
      <c r="BS562" t="s">
        <v>10389</v>
      </c>
      <c r="BT562" t="str">
        <f>HYPERLINK("https%3A%2F%2Fwww.webofscience.com%2Fwos%2Fwoscc%2Ffull-record%2FWOS:000291075400003","View Full Record in Web of Science")</f>
        <v>View Full Record in Web of Science</v>
      </c>
    </row>
    <row r="563" spans="1:72" x14ac:dyDescent="0.15">
      <c r="A563" t="s">
        <v>72</v>
      </c>
      <c r="B563" t="s">
        <v>10390</v>
      </c>
      <c r="C563" t="s">
        <v>74</v>
      </c>
      <c r="D563" t="s">
        <v>74</v>
      </c>
      <c r="E563" t="s">
        <v>74</v>
      </c>
      <c r="F563" t="s">
        <v>10391</v>
      </c>
      <c r="G563" t="s">
        <v>74</v>
      </c>
      <c r="H563" t="s">
        <v>74</v>
      </c>
      <c r="I563" t="s">
        <v>10392</v>
      </c>
      <c r="J563" t="s">
        <v>10393</v>
      </c>
      <c r="K563" t="s">
        <v>74</v>
      </c>
      <c r="L563" t="s">
        <v>74</v>
      </c>
      <c r="M563" t="s">
        <v>78</v>
      </c>
      <c r="N563" t="s">
        <v>79</v>
      </c>
      <c r="O563" t="s">
        <v>74</v>
      </c>
      <c r="P563" t="s">
        <v>74</v>
      </c>
      <c r="Q563" t="s">
        <v>74</v>
      </c>
      <c r="R563" t="s">
        <v>74</v>
      </c>
      <c r="S563" t="s">
        <v>74</v>
      </c>
      <c r="T563" t="s">
        <v>74</v>
      </c>
      <c r="U563" t="s">
        <v>10394</v>
      </c>
      <c r="V563" t="s">
        <v>10395</v>
      </c>
      <c r="W563" t="s">
        <v>10396</v>
      </c>
      <c r="X563" t="s">
        <v>10397</v>
      </c>
      <c r="Y563" t="s">
        <v>10398</v>
      </c>
      <c r="Z563" t="s">
        <v>10399</v>
      </c>
      <c r="AA563" t="s">
        <v>10400</v>
      </c>
      <c r="AB563" t="s">
        <v>10401</v>
      </c>
      <c r="AC563" t="s">
        <v>10402</v>
      </c>
      <c r="AD563" t="s">
        <v>10403</v>
      </c>
      <c r="AE563" t="s">
        <v>10404</v>
      </c>
      <c r="AF563" t="s">
        <v>74</v>
      </c>
      <c r="AG563">
        <v>43</v>
      </c>
      <c r="AH563">
        <v>454</v>
      </c>
      <c r="AI563">
        <v>520</v>
      </c>
      <c r="AJ563">
        <v>0</v>
      </c>
      <c r="AK563">
        <v>13</v>
      </c>
      <c r="AL563" t="s">
        <v>5936</v>
      </c>
      <c r="AM563" t="s">
        <v>5937</v>
      </c>
      <c r="AN563" t="s">
        <v>5938</v>
      </c>
      <c r="AO563" t="s">
        <v>10405</v>
      </c>
      <c r="AP563" t="s">
        <v>10406</v>
      </c>
      <c r="AQ563" t="s">
        <v>74</v>
      </c>
      <c r="AR563" t="s">
        <v>10407</v>
      </c>
      <c r="AS563" t="s">
        <v>10408</v>
      </c>
      <c r="AT563" t="s">
        <v>9900</v>
      </c>
      <c r="AU563">
        <v>2011</v>
      </c>
      <c r="AV563">
        <v>123</v>
      </c>
      <c r="AW563">
        <v>903</v>
      </c>
      <c r="AX563" t="s">
        <v>74</v>
      </c>
      <c r="AY563" t="s">
        <v>74</v>
      </c>
      <c r="AZ563" t="s">
        <v>74</v>
      </c>
      <c r="BA563" t="s">
        <v>74</v>
      </c>
      <c r="BB563">
        <v>568</v>
      </c>
      <c r="BC563">
        <v>581</v>
      </c>
      <c r="BD563" t="s">
        <v>74</v>
      </c>
      <c r="BE563" t="s">
        <v>10409</v>
      </c>
      <c r="BF563" t="str">
        <f>HYPERLINK("http://dx.doi.org/10.1086/659879","http://dx.doi.org/10.1086/659879")</f>
        <v>http://dx.doi.org/10.1086/659879</v>
      </c>
      <c r="BG563" t="s">
        <v>74</v>
      </c>
      <c r="BH563" t="s">
        <v>74</v>
      </c>
      <c r="BI563">
        <v>14</v>
      </c>
      <c r="BJ563" t="s">
        <v>391</v>
      </c>
      <c r="BK563" t="s">
        <v>100</v>
      </c>
      <c r="BL563" t="s">
        <v>391</v>
      </c>
      <c r="BM563" t="s">
        <v>10410</v>
      </c>
      <c r="BN563" t="s">
        <v>74</v>
      </c>
      <c r="BO563" t="s">
        <v>1039</v>
      </c>
      <c r="BP563" t="s">
        <v>74</v>
      </c>
      <c r="BQ563" t="s">
        <v>74</v>
      </c>
      <c r="BR563" t="s">
        <v>103</v>
      </c>
      <c r="BS563" t="s">
        <v>10411</v>
      </c>
      <c r="BT563" t="str">
        <f>HYPERLINK("https%3A%2F%2Fwww.webofscience.com%2Fwos%2Fwoscc%2Ffull-record%2FWOS:000290943000007","View Full Record in Web of Science")</f>
        <v>View Full Record in Web of Science</v>
      </c>
    </row>
    <row r="564" spans="1:72" x14ac:dyDescent="0.15">
      <c r="A564" t="s">
        <v>72</v>
      </c>
      <c r="B564" t="s">
        <v>10412</v>
      </c>
      <c r="C564" t="s">
        <v>74</v>
      </c>
      <c r="D564" t="s">
        <v>74</v>
      </c>
      <c r="E564" t="s">
        <v>74</v>
      </c>
      <c r="F564" t="s">
        <v>10413</v>
      </c>
      <c r="G564" t="s">
        <v>74</v>
      </c>
      <c r="H564" t="s">
        <v>74</v>
      </c>
      <c r="I564" t="s">
        <v>10414</v>
      </c>
      <c r="J564" t="s">
        <v>10415</v>
      </c>
      <c r="K564" t="s">
        <v>74</v>
      </c>
      <c r="L564" t="s">
        <v>74</v>
      </c>
      <c r="M564" t="s">
        <v>78</v>
      </c>
      <c r="N564" t="s">
        <v>79</v>
      </c>
      <c r="O564" t="s">
        <v>74</v>
      </c>
      <c r="P564" t="s">
        <v>74</v>
      </c>
      <c r="Q564" t="s">
        <v>74</v>
      </c>
      <c r="R564" t="s">
        <v>74</v>
      </c>
      <c r="S564" t="s">
        <v>74</v>
      </c>
      <c r="T564" t="s">
        <v>10416</v>
      </c>
      <c r="U564" t="s">
        <v>10417</v>
      </c>
      <c r="V564" t="s">
        <v>10418</v>
      </c>
      <c r="W564" t="s">
        <v>10419</v>
      </c>
      <c r="X564" t="s">
        <v>10420</v>
      </c>
      <c r="Y564" t="s">
        <v>10421</v>
      </c>
      <c r="Z564" t="s">
        <v>10422</v>
      </c>
      <c r="AA564" t="s">
        <v>10423</v>
      </c>
      <c r="AB564" t="s">
        <v>10424</v>
      </c>
      <c r="AC564" t="s">
        <v>10425</v>
      </c>
      <c r="AD564" t="s">
        <v>10426</v>
      </c>
      <c r="AE564" t="s">
        <v>10427</v>
      </c>
      <c r="AF564" t="s">
        <v>74</v>
      </c>
      <c r="AG564">
        <v>146</v>
      </c>
      <c r="AH564">
        <v>13</v>
      </c>
      <c r="AI564">
        <v>13</v>
      </c>
      <c r="AJ564">
        <v>0</v>
      </c>
      <c r="AK564">
        <v>18</v>
      </c>
      <c r="AL564" t="s">
        <v>10428</v>
      </c>
      <c r="AM564" t="s">
        <v>10429</v>
      </c>
      <c r="AN564" t="s">
        <v>10430</v>
      </c>
      <c r="AO564" t="s">
        <v>10431</v>
      </c>
      <c r="AP564" t="s">
        <v>10432</v>
      </c>
      <c r="AQ564" t="s">
        <v>74</v>
      </c>
      <c r="AR564" t="s">
        <v>10415</v>
      </c>
      <c r="AS564" t="s">
        <v>10433</v>
      </c>
      <c r="AT564" t="s">
        <v>9900</v>
      </c>
      <c r="AU564">
        <v>2011</v>
      </c>
      <c r="AV564">
        <v>11</v>
      </c>
      <c r="AW564">
        <v>4</v>
      </c>
      <c r="AX564" t="s">
        <v>74</v>
      </c>
      <c r="AY564" t="s">
        <v>74</v>
      </c>
      <c r="AZ564" t="s">
        <v>74</v>
      </c>
      <c r="BA564" t="s">
        <v>74</v>
      </c>
      <c r="BB564">
        <v>303</v>
      </c>
      <c r="BC564">
        <v>321</v>
      </c>
      <c r="BD564" t="s">
        <v>74</v>
      </c>
      <c r="BE564" t="s">
        <v>10434</v>
      </c>
      <c r="BF564" t="str">
        <f>HYPERLINK("http://dx.doi.org/10.1089/ast.2010.0583","http://dx.doi.org/10.1089/ast.2010.0583")</f>
        <v>http://dx.doi.org/10.1089/ast.2010.0583</v>
      </c>
      <c r="BG564" t="s">
        <v>74</v>
      </c>
      <c r="BH564" t="s">
        <v>74</v>
      </c>
      <c r="BI564">
        <v>19</v>
      </c>
      <c r="BJ564" t="s">
        <v>10435</v>
      </c>
      <c r="BK564" t="s">
        <v>100</v>
      </c>
      <c r="BL564" t="s">
        <v>10436</v>
      </c>
      <c r="BM564" t="s">
        <v>10437</v>
      </c>
      <c r="BN564">
        <v>21545270</v>
      </c>
      <c r="BO564" t="s">
        <v>74</v>
      </c>
      <c r="BP564" t="s">
        <v>74</v>
      </c>
      <c r="BQ564" t="s">
        <v>74</v>
      </c>
      <c r="BR564" t="s">
        <v>103</v>
      </c>
      <c r="BS564" t="s">
        <v>10438</v>
      </c>
      <c r="BT564" t="str">
        <f>HYPERLINK("https%3A%2F%2Fwww.webofscience.com%2Fwos%2Fwoscc%2Ffull-record%2FWOS:000290783000004","View Full Record in Web of Science")</f>
        <v>View Full Record in Web of Science</v>
      </c>
    </row>
    <row r="565" spans="1:72" x14ac:dyDescent="0.15">
      <c r="A565" t="s">
        <v>72</v>
      </c>
      <c r="B565" t="s">
        <v>10439</v>
      </c>
      <c r="C565" t="s">
        <v>74</v>
      </c>
      <c r="D565" t="s">
        <v>74</v>
      </c>
      <c r="E565" t="s">
        <v>74</v>
      </c>
      <c r="F565" t="s">
        <v>10440</v>
      </c>
      <c r="G565" t="s">
        <v>74</v>
      </c>
      <c r="H565" t="s">
        <v>74</v>
      </c>
      <c r="I565" t="s">
        <v>10441</v>
      </c>
      <c r="J565" t="s">
        <v>5663</v>
      </c>
      <c r="K565" t="s">
        <v>74</v>
      </c>
      <c r="L565" t="s">
        <v>74</v>
      </c>
      <c r="M565" t="s">
        <v>78</v>
      </c>
      <c r="N565" t="s">
        <v>79</v>
      </c>
      <c r="O565" t="s">
        <v>74</v>
      </c>
      <c r="P565" t="s">
        <v>74</v>
      </c>
      <c r="Q565" t="s">
        <v>74</v>
      </c>
      <c r="R565" t="s">
        <v>74</v>
      </c>
      <c r="S565" t="s">
        <v>74</v>
      </c>
      <c r="T565" t="s">
        <v>74</v>
      </c>
      <c r="U565" t="s">
        <v>10442</v>
      </c>
      <c r="V565" t="s">
        <v>10443</v>
      </c>
      <c r="W565" t="s">
        <v>10444</v>
      </c>
      <c r="X565" t="s">
        <v>10445</v>
      </c>
      <c r="Y565" t="s">
        <v>10446</v>
      </c>
      <c r="Z565" t="s">
        <v>10447</v>
      </c>
      <c r="AA565" t="s">
        <v>10448</v>
      </c>
      <c r="AB565" t="s">
        <v>10449</v>
      </c>
      <c r="AC565" t="s">
        <v>10450</v>
      </c>
      <c r="AD565" t="s">
        <v>10451</v>
      </c>
      <c r="AE565" t="s">
        <v>10452</v>
      </c>
      <c r="AF565" t="s">
        <v>74</v>
      </c>
      <c r="AG565">
        <v>41</v>
      </c>
      <c r="AH565">
        <v>30</v>
      </c>
      <c r="AI565">
        <v>33</v>
      </c>
      <c r="AJ565">
        <v>0</v>
      </c>
      <c r="AK565">
        <v>15</v>
      </c>
      <c r="AL565" t="s">
        <v>1323</v>
      </c>
      <c r="AM565" t="s">
        <v>1324</v>
      </c>
      <c r="AN565" t="s">
        <v>1325</v>
      </c>
      <c r="AO565" t="s">
        <v>5675</v>
      </c>
      <c r="AP565" t="s">
        <v>5695</v>
      </c>
      <c r="AQ565" t="s">
        <v>74</v>
      </c>
      <c r="AR565" t="s">
        <v>5676</v>
      </c>
      <c r="AS565" t="s">
        <v>5677</v>
      </c>
      <c r="AT565" t="s">
        <v>9900</v>
      </c>
      <c r="AU565">
        <v>2011</v>
      </c>
      <c r="AV565">
        <v>56</v>
      </c>
      <c r="AW565">
        <v>3</v>
      </c>
      <c r="AX565" t="s">
        <v>74</v>
      </c>
      <c r="AY565" t="s">
        <v>74</v>
      </c>
      <c r="AZ565" t="s">
        <v>74</v>
      </c>
      <c r="BA565" t="s">
        <v>74</v>
      </c>
      <c r="BB565">
        <v>1130</v>
      </c>
      <c r="BC565">
        <v>1140</v>
      </c>
      <c r="BD565" t="s">
        <v>74</v>
      </c>
      <c r="BE565" t="s">
        <v>10453</v>
      </c>
      <c r="BF565" t="str">
        <f>HYPERLINK("http://dx.doi.org/10.4319/lo.2011.56.3.1130","http://dx.doi.org/10.4319/lo.2011.56.3.1130")</f>
        <v>http://dx.doi.org/10.4319/lo.2011.56.3.1130</v>
      </c>
      <c r="BG565" t="s">
        <v>74</v>
      </c>
      <c r="BH565" t="s">
        <v>74</v>
      </c>
      <c r="BI565">
        <v>11</v>
      </c>
      <c r="BJ565" t="s">
        <v>5679</v>
      </c>
      <c r="BK565" t="s">
        <v>100</v>
      </c>
      <c r="BL565" t="s">
        <v>5605</v>
      </c>
      <c r="BM565" t="s">
        <v>10454</v>
      </c>
      <c r="BN565" t="s">
        <v>74</v>
      </c>
      <c r="BO565" t="s">
        <v>1039</v>
      </c>
      <c r="BP565" t="s">
        <v>74</v>
      </c>
      <c r="BQ565" t="s">
        <v>74</v>
      </c>
      <c r="BR565" t="s">
        <v>103</v>
      </c>
      <c r="BS565" t="s">
        <v>10455</v>
      </c>
      <c r="BT565" t="str">
        <f>HYPERLINK("https%3A%2F%2Fwww.webofscience.com%2Fwos%2Fwoscc%2Ffull-record%2FWOS:000290678100029","View Full Record in Web of Science")</f>
        <v>View Full Record in Web of Science</v>
      </c>
    </row>
    <row r="566" spans="1:72" x14ac:dyDescent="0.15">
      <c r="A566" t="s">
        <v>72</v>
      </c>
      <c r="B566" t="s">
        <v>10456</v>
      </c>
      <c r="C566" t="s">
        <v>74</v>
      </c>
      <c r="D566" t="s">
        <v>74</v>
      </c>
      <c r="E566" t="s">
        <v>74</v>
      </c>
      <c r="F566" t="s">
        <v>10457</v>
      </c>
      <c r="G566" t="s">
        <v>74</v>
      </c>
      <c r="H566" t="s">
        <v>74</v>
      </c>
      <c r="I566" t="s">
        <v>10458</v>
      </c>
      <c r="J566" t="s">
        <v>10459</v>
      </c>
      <c r="K566" t="s">
        <v>74</v>
      </c>
      <c r="L566" t="s">
        <v>74</v>
      </c>
      <c r="M566" t="s">
        <v>78</v>
      </c>
      <c r="N566" t="s">
        <v>79</v>
      </c>
      <c r="O566" t="s">
        <v>74</v>
      </c>
      <c r="P566" t="s">
        <v>74</v>
      </c>
      <c r="Q566" t="s">
        <v>74</v>
      </c>
      <c r="R566" t="s">
        <v>74</v>
      </c>
      <c r="S566" t="s">
        <v>74</v>
      </c>
      <c r="T566" t="s">
        <v>74</v>
      </c>
      <c r="U566" t="s">
        <v>74</v>
      </c>
      <c r="V566" t="s">
        <v>10460</v>
      </c>
      <c r="W566" t="s">
        <v>10461</v>
      </c>
      <c r="X566" t="s">
        <v>10462</v>
      </c>
      <c r="Y566" t="s">
        <v>10463</v>
      </c>
      <c r="Z566" t="s">
        <v>10464</v>
      </c>
      <c r="AA566" t="s">
        <v>10465</v>
      </c>
      <c r="AB566" t="s">
        <v>10466</v>
      </c>
      <c r="AC566" t="s">
        <v>74</v>
      </c>
      <c r="AD566" t="s">
        <v>74</v>
      </c>
      <c r="AE566" t="s">
        <v>74</v>
      </c>
      <c r="AF566" t="s">
        <v>74</v>
      </c>
      <c r="AG566">
        <v>11</v>
      </c>
      <c r="AH566">
        <v>12</v>
      </c>
      <c r="AI566">
        <v>14</v>
      </c>
      <c r="AJ566">
        <v>0</v>
      </c>
      <c r="AK566">
        <v>16</v>
      </c>
      <c r="AL566" t="s">
        <v>624</v>
      </c>
      <c r="AM566" t="s">
        <v>91</v>
      </c>
      <c r="AN566" t="s">
        <v>625</v>
      </c>
      <c r="AO566" t="s">
        <v>10467</v>
      </c>
      <c r="AP566" t="s">
        <v>74</v>
      </c>
      <c r="AQ566" t="s">
        <v>74</v>
      </c>
      <c r="AR566" t="s">
        <v>10468</v>
      </c>
      <c r="AS566" t="s">
        <v>10469</v>
      </c>
      <c r="AT566" t="s">
        <v>9900</v>
      </c>
      <c r="AU566">
        <v>2011</v>
      </c>
      <c r="AV566">
        <v>47</v>
      </c>
      <c r="AW566">
        <v>3</v>
      </c>
      <c r="AX566" t="s">
        <v>74</v>
      </c>
      <c r="AY566" t="s">
        <v>74</v>
      </c>
      <c r="AZ566" t="s">
        <v>74</v>
      </c>
      <c r="BA566" t="s">
        <v>74</v>
      </c>
      <c r="BB566">
        <v>288</v>
      </c>
      <c r="BC566">
        <v>292</v>
      </c>
      <c r="BD566" t="s">
        <v>74</v>
      </c>
      <c r="BE566" t="s">
        <v>10470</v>
      </c>
      <c r="BF566" t="str">
        <f>HYPERLINK("http://dx.doi.org/10.1134/S0003683811030033","http://dx.doi.org/10.1134/S0003683811030033")</f>
        <v>http://dx.doi.org/10.1134/S0003683811030033</v>
      </c>
      <c r="BG566" t="s">
        <v>74</v>
      </c>
      <c r="BH566" t="s">
        <v>74</v>
      </c>
      <c r="BI566">
        <v>5</v>
      </c>
      <c r="BJ566" t="s">
        <v>4406</v>
      </c>
      <c r="BK566" t="s">
        <v>100</v>
      </c>
      <c r="BL566" t="s">
        <v>4406</v>
      </c>
      <c r="BM566" t="s">
        <v>10471</v>
      </c>
      <c r="BN566" t="s">
        <v>74</v>
      </c>
      <c r="BO566" t="s">
        <v>74</v>
      </c>
      <c r="BP566" t="s">
        <v>74</v>
      </c>
      <c r="BQ566" t="s">
        <v>74</v>
      </c>
      <c r="BR566" t="s">
        <v>103</v>
      </c>
      <c r="BS566" t="s">
        <v>10472</v>
      </c>
      <c r="BT566" t="str">
        <f>HYPERLINK("https%3A%2F%2Fwww.webofscience.com%2Fwos%2Fwoscc%2Ffull-record%2FWOS:000290321600011","View Full Record in Web of Science")</f>
        <v>View Full Record in Web of Science</v>
      </c>
    </row>
    <row r="567" spans="1:72" x14ac:dyDescent="0.15">
      <c r="A567" t="s">
        <v>72</v>
      </c>
      <c r="B567" t="s">
        <v>10473</v>
      </c>
      <c r="C567" t="s">
        <v>74</v>
      </c>
      <c r="D567" t="s">
        <v>74</v>
      </c>
      <c r="E567" t="s">
        <v>74</v>
      </c>
      <c r="F567" t="s">
        <v>10474</v>
      </c>
      <c r="G567" t="s">
        <v>74</v>
      </c>
      <c r="H567" t="s">
        <v>74</v>
      </c>
      <c r="I567" t="s">
        <v>10475</v>
      </c>
      <c r="J567" t="s">
        <v>5231</v>
      </c>
      <c r="K567" t="s">
        <v>74</v>
      </c>
      <c r="L567" t="s">
        <v>74</v>
      </c>
      <c r="M567" t="s">
        <v>78</v>
      </c>
      <c r="N567" t="s">
        <v>79</v>
      </c>
      <c r="O567" t="s">
        <v>74</v>
      </c>
      <c r="P567" t="s">
        <v>74</v>
      </c>
      <c r="Q567" t="s">
        <v>74</v>
      </c>
      <c r="R567" t="s">
        <v>74</v>
      </c>
      <c r="S567" t="s">
        <v>74</v>
      </c>
      <c r="T567" t="s">
        <v>10476</v>
      </c>
      <c r="U567" t="s">
        <v>10477</v>
      </c>
      <c r="V567" t="s">
        <v>10478</v>
      </c>
      <c r="W567" t="s">
        <v>10479</v>
      </c>
      <c r="X567" t="s">
        <v>10480</v>
      </c>
      <c r="Y567" t="s">
        <v>10481</v>
      </c>
      <c r="Z567" t="s">
        <v>10482</v>
      </c>
      <c r="AA567" t="s">
        <v>10483</v>
      </c>
      <c r="AB567" t="s">
        <v>10484</v>
      </c>
      <c r="AC567" t="s">
        <v>74</v>
      </c>
      <c r="AD567" t="s">
        <v>74</v>
      </c>
      <c r="AE567" t="s">
        <v>74</v>
      </c>
      <c r="AF567" t="s">
        <v>74</v>
      </c>
      <c r="AG567">
        <v>71</v>
      </c>
      <c r="AH567">
        <v>38</v>
      </c>
      <c r="AI567">
        <v>42</v>
      </c>
      <c r="AJ567">
        <v>1</v>
      </c>
      <c r="AK567">
        <v>43</v>
      </c>
      <c r="AL567" t="s">
        <v>1851</v>
      </c>
      <c r="AM567" t="s">
        <v>1852</v>
      </c>
      <c r="AN567" t="s">
        <v>1853</v>
      </c>
      <c r="AO567" t="s">
        <v>5243</v>
      </c>
      <c r="AP567" t="s">
        <v>5244</v>
      </c>
      <c r="AQ567" t="s">
        <v>74</v>
      </c>
      <c r="AR567" t="s">
        <v>5245</v>
      </c>
      <c r="AS567" t="s">
        <v>5246</v>
      </c>
      <c r="AT567" t="s">
        <v>9900</v>
      </c>
      <c r="AU567">
        <v>2011</v>
      </c>
      <c r="AV567">
        <v>74</v>
      </c>
      <c r="AW567">
        <v>4</v>
      </c>
      <c r="AX567" t="s">
        <v>74</v>
      </c>
      <c r="AY567" t="s">
        <v>74</v>
      </c>
      <c r="AZ567" t="s">
        <v>74</v>
      </c>
      <c r="BA567" t="s">
        <v>74</v>
      </c>
      <c r="BB567">
        <v>800</v>
      </c>
      <c r="BC567">
        <v>810</v>
      </c>
      <c r="BD567" t="s">
        <v>74</v>
      </c>
      <c r="BE567" t="s">
        <v>10485</v>
      </c>
      <c r="BF567" t="str">
        <f>HYPERLINK("http://dx.doi.org/10.1016/j.ecoenv.2010.11.001","http://dx.doi.org/10.1016/j.ecoenv.2010.11.001")</f>
        <v>http://dx.doi.org/10.1016/j.ecoenv.2010.11.001</v>
      </c>
      <c r="BG567" t="s">
        <v>74</v>
      </c>
      <c r="BH567" t="s">
        <v>74</v>
      </c>
      <c r="BI567">
        <v>11</v>
      </c>
      <c r="BJ567" t="s">
        <v>5248</v>
      </c>
      <c r="BK567" t="s">
        <v>100</v>
      </c>
      <c r="BL567" t="s">
        <v>5249</v>
      </c>
      <c r="BM567" t="s">
        <v>10486</v>
      </c>
      <c r="BN567">
        <v>21497397</v>
      </c>
      <c r="BO567" t="s">
        <v>74</v>
      </c>
      <c r="BP567" t="s">
        <v>74</v>
      </c>
      <c r="BQ567" t="s">
        <v>74</v>
      </c>
      <c r="BR567" t="s">
        <v>103</v>
      </c>
      <c r="BS567" t="s">
        <v>10487</v>
      </c>
      <c r="BT567" t="str">
        <f>HYPERLINK("https%3A%2F%2Fwww.webofscience.com%2Fwos%2Fwoscc%2Ffull-record%2FWOS:000290553400033","View Full Record in Web of Science")</f>
        <v>View Full Record in Web of Science</v>
      </c>
    </row>
    <row r="568" spans="1:72" x14ac:dyDescent="0.15">
      <c r="A568" t="s">
        <v>72</v>
      </c>
      <c r="B568" t="s">
        <v>10488</v>
      </c>
      <c r="C568" t="s">
        <v>74</v>
      </c>
      <c r="D568" t="s">
        <v>74</v>
      </c>
      <c r="E568" t="s">
        <v>74</v>
      </c>
      <c r="F568" t="s">
        <v>10489</v>
      </c>
      <c r="G568" t="s">
        <v>74</v>
      </c>
      <c r="H568" t="s">
        <v>74</v>
      </c>
      <c r="I568" t="s">
        <v>10490</v>
      </c>
      <c r="J568" t="s">
        <v>1263</v>
      </c>
      <c r="K568" t="s">
        <v>74</v>
      </c>
      <c r="L568" t="s">
        <v>74</v>
      </c>
      <c r="M568" t="s">
        <v>78</v>
      </c>
      <c r="N568" t="s">
        <v>79</v>
      </c>
      <c r="O568" t="s">
        <v>74</v>
      </c>
      <c r="P568" t="s">
        <v>74</v>
      </c>
      <c r="Q568" t="s">
        <v>74</v>
      </c>
      <c r="R568" t="s">
        <v>74</v>
      </c>
      <c r="S568" t="s">
        <v>74</v>
      </c>
      <c r="T568" t="s">
        <v>74</v>
      </c>
      <c r="U568" t="s">
        <v>10491</v>
      </c>
      <c r="V568" t="s">
        <v>10492</v>
      </c>
      <c r="W568" t="s">
        <v>10493</v>
      </c>
      <c r="X568" t="s">
        <v>8689</v>
      </c>
      <c r="Y568" t="s">
        <v>10494</v>
      </c>
      <c r="Z568" t="s">
        <v>10495</v>
      </c>
      <c r="AA568" t="s">
        <v>10496</v>
      </c>
      <c r="AB568" t="s">
        <v>10497</v>
      </c>
      <c r="AC568" t="s">
        <v>10498</v>
      </c>
      <c r="AD568" t="s">
        <v>10499</v>
      </c>
      <c r="AE568" t="s">
        <v>10500</v>
      </c>
      <c r="AF568" t="s">
        <v>74</v>
      </c>
      <c r="AG568">
        <v>27</v>
      </c>
      <c r="AH568">
        <v>40</v>
      </c>
      <c r="AI568">
        <v>46</v>
      </c>
      <c r="AJ568">
        <v>2</v>
      </c>
      <c r="AK568">
        <v>23</v>
      </c>
      <c r="AL568" t="s">
        <v>1275</v>
      </c>
      <c r="AM568" t="s">
        <v>1276</v>
      </c>
      <c r="AN568" t="s">
        <v>1277</v>
      </c>
      <c r="AO568" t="s">
        <v>1278</v>
      </c>
      <c r="AP568" t="s">
        <v>1279</v>
      </c>
      <c r="AQ568" t="s">
        <v>74</v>
      </c>
      <c r="AR568" t="s">
        <v>1280</v>
      </c>
      <c r="AS568" t="s">
        <v>1281</v>
      </c>
      <c r="AT568" t="s">
        <v>9883</v>
      </c>
      <c r="AU568">
        <v>2011</v>
      </c>
      <c r="AV568">
        <v>24</v>
      </c>
      <c r="AW568">
        <v>9</v>
      </c>
      <c r="AX568" t="s">
        <v>74</v>
      </c>
      <c r="AY568" t="s">
        <v>74</v>
      </c>
      <c r="AZ568" t="s">
        <v>74</v>
      </c>
      <c r="BA568" t="s">
        <v>74</v>
      </c>
      <c r="BB568">
        <v>2224</v>
      </c>
      <c r="BC568">
        <v>2237</v>
      </c>
      <c r="BD568" t="s">
        <v>74</v>
      </c>
      <c r="BE568" t="s">
        <v>10501</v>
      </c>
      <c r="BF568" t="str">
        <f>HYPERLINK("http://dx.doi.org/10.1175/2010JCLI3625.1","http://dx.doi.org/10.1175/2010JCLI3625.1")</f>
        <v>http://dx.doi.org/10.1175/2010JCLI3625.1</v>
      </c>
      <c r="BG568" t="s">
        <v>74</v>
      </c>
      <c r="BH568" t="s">
        <v>74</v>
      </c>
      <c r="BI568">
        <v>14</v>
      </c>
      <c r="BJ568" t="s">
        <v>248</v>
      </c>
      <c r="BK568" t="s">
        <v>100</v>
      </c>
      <c r="BL568" t="s">
        <v>248</v>
      </c>
      <c r="BM568" t="s">
        <v>10502</v>
      </c>
      <c r="BN568" t="s">
        <v>74</v>
      </c>
      <c r="BO568" t="s">
        <v>1039</v>
      </c>
      <c r="BP568" t="s">
        <v>74</v>
      </c>
      <c r="BQ568" t="s">
        <v>74</v>
      </c>
      <c r="BR568" t="s">
        <v>103</v>
      </c>
      <c r="BS568" t="s">
        <v>10503</v>
      </c>
      <c r="BT568" t="str">
        <f>HYPERLINK("https%3A%2F%2Fwww.webofscience.com%2Fwos%2Fwoscc%2Ffull-record%2FWOS:000290457600002","View Full Record in Web of Science")</f>
        <v>View Full Record in Web of Science</v>
      </c>
    </row>
    <row r="569" spans="1:72" x14ac:dyDescent="0.15">
      <c r="A569" t="s">
        <v>72</v>
      </c>
      <c r="B569" t="s">
        <v>10504</v>
      </c>
      <c r="C569" t="s">
        <v>74</v>
      </c>
      <c r="D569" t="s">
        <v>74</v>
      </c>
      <c r="E569" t="s">
        <v>74</v>
      </c>
      <c r="F569" t="s">
        <v>10505</v>
      </c>
      <c r="G569" t="s">
        <v>74</v>
      </c>
      <c r="H569" t="s">
        <v>74</v>
      </c>
      <c r="I569" t="s">
        <v>10506</v>
      </c>
      <c r="J569" t="s">
        <v>10507</v>
      </c>
      <c r="K569" t="s">
        <v>74</v>
      </c>
      <c r="L569" t="s">
        <v>74</v>
      </c>
      <c r="M569" t="s">
        <v>78</v>
      </c>
      <c r="N569" t="s">
        <v>79</v>
      </c>
      <c r="O569" t="s">
        <v>74</v>
      </c>
      <c r="P569" t="s">
        <v>74</v>
      </c>
      <c r="Q569" t="s">
        <v>74</v>
      </c>
      <c r="R569" t="s">
        <v>74</v>
      </c>
      <c r="S569" t="s">
        <v>74</v>
      </c>
      <c r="T569" t="s">
        <v>10508</v>
      </c>
      <c r="U569" t="s">
        <v>10509</v>
      </c>
      <c r="V569" t="s">
        <v>10510</v>
      </c>
      <c r="W569" t="s">
        <v>10511</v>
      </c>
      <c r="X569" t="s">
        <v>10512</v>
      </c>
      <c r="Y569" t="s">
        <v>10513</v>
      </c>
      <c r="Z569" t="s">
        <v>10514</v>
      </c>
      <c r="AA569" t="s">
        <v>10515</v>
      </c>
      <c r="AB569" t="s">
        <v>74</v>
      </c>
      <c r="AC569" t="s">
        <v>10516</v>
      </c>
      <c r="AD569" t="s">
        <v>10517</v>
      </c>
      <c r="AE569" t="s">
        <v>10518</v>
      </c>
      <c r="AF569" t="s">
        <v>74</v>
      </c>
      <c r="AG569">
        <v>46</v>
      </c>
      <c r="AH569">
        <v>9</v>
      </c>
      <c r="AI569">
        <v>11</v>
      </c>
      <c r="AJ569">
        <v>0</v>
      </c>
      <c r="AK569">
        <v>16</v>
      </c>
      <c r="AL569" t="s">
        <v>507</v>
      </c>
      <c r="AM569" t="s">
        <v>508</v>
      </c>
      <c r="AN569" t="s">
        <v>509</v>
      </c>
      <c r="AO569" t="s">
        <v>10519</v>
      </c>
      <c r="AP569" t="s">
        <v>10520</v>
      </c>
      <c r="AQ569" t="s">
        <v>74</v>
      </c>
      <c r="AR569" t="s">
        <v>10521</v>
      </c>
      <c r="AS569" t="s">
        <v>10522</v>
      </c>
      <c r="AT569" t="s">
        <v>9900</v>
      </c>
      <c r="AU569">
        <v>2011</v>
      </c>
      <c r="AV569">
        <v>159</v>
      </c>
      <c r="AW569">
        <v>5</v>
      </c>
      <c r="AX569" t="s">
        <v>74</v>
      </c>
      <c r="AY569" t="s">
        <v>74</v>
      </c>
      <c r="AZ569" t="s">
        <v>864</v>
      </c>
      <c r="BA569" t="s">
        <v>74</v>
      </c>
      <c r="BB569">
        <v>1381</v>
      </c>
      <c r="BC569">
        <v>1389</v>
      </c>
      <c r="BD569" t="s">
        <v>74</v>
      </c>
      <c r="BE569" t="s">
        <v>10523</v>
      </c>
      <c r="BF569" t="str">
        <f>HYPERLINK("http://dx.doi.org/10.1016/j.envpol.2011.01.003","http://dx.doi.org/10.1016/j.envpol.2011.01.003")</f>
        <v>http://dx.doi.org/10.1016/j.envpol.2011.01.003</v>
      </c>
      <c r="BG569" t="s">
        <v>74</v>
      </c>
      <c r="BH569" t="s">
        <v>74</v>
      </c>
      <c r="BI569">
        <v>9</v>
      </c>
      <c r="BJ569" t="s">
        <v>6748</v>
      </c>
      <c r="BK569" t="s">
        <v>100</v>
      </c>
      <c r="BL569" t="s">
        <v>5193</v>
      </c>
      <c r="BM569" t="s">
        <v>10524</v>
      </c>
      <c r="BN569">
        <v>21295391</v>
      </c>
      <c r="BO569" t="s">
        <v>74</v>
      </c>
      <c r="BP569" t="s">
        <v>74</v>
      </c>
      <c r="BQ569" t="s">
        <v>74</v>
      </c>
      <c r="BR569" t="s">
        <v>103</v>
      </c>
      <c r="BS569" t="s">
        <v>10525</v>
      </c>
      <c r="BT569" t="str">
        <f>HYPERLINK("https%3A%2F%2Fwww.webofscience.com%2Fwos%2Fwoscc%2Ffull-record%2FWOS:000290192400048","View Full Record in Web of Science")</f>
        <v>View Full Record in Web of Science</v>
      </c>
    </row>
    <row r="570" spans="1:72" x14ac:dyDescent="0.15">
      <c r="A570" t="s">
        <v>72</v>
      </c>
      <c r="B570" t="s">
        <v>10526</v>
      </c>
      <c r="C570" t="s">
        <v>74</v>
      </c>
      <c r="D570" t="s">
        <v>74</v>
      </c>
      <c r="E570" t="s">
        <v>74</v>
      </c>
      <c r="F570" t="s">
        <v>10527</v>
      </c>
      <c r="G570" t="s">
        <v>74</v>
      </c>
      <c r="H570" t="s">
        <v>74</v>
      </c>
      <c r="I570" t="s">
        <v>10528</v>
      </c>
      <c r="J570" t="s">
        <v>10529</v>
      </c>
      <c r="K570" t="s">
        <v>74</v>
      </c>
      <c r="L570" t="s">
        <v>74</v>
      </c>
      <c r="M570" t="s">
        <v>78</v>
      </c>
      <c r="N570" t="s">
        <v>79</v>
      </c>
      <c r="O570" t="s">
        <v>74</v>
      </c>
      <c r="P570" t="s">
        <v>74</v>
      </c>
      <c r="Q570" t="s">
        <v>74</v>
      </c>
      <c r="R570" t="s">
        <v>74</v>
      </c>
      <c r="S570" t="s">
        <v>74</v>
      </c>
      <c r="T570" t="s">
        <v>10530</v>
      </c>
      <c r="U570" t="s">
        <v>10531</v>
      </c>
      <c r="V570" t="s">
        <v>10532</v>
      </c>
      <c r="W570" t="s">
        <v>10533</v>
      </c>
      <c r="X570" t="s">
        <v>10534</v>
      </c>
      <c r="Y570" t="s">
        <v>10535</v>
      </c>
      <c r="Z570" t="s">
        <v>10536</v>
      </c>
      <c r="AA570" t="s">
        <v>10537</v>
      </c>
      <c r="AB570" t="s">
        <v>10538</v>
      </c>
      <c r="AC570" t="s">
        <v>10539</v>
      </c>
      <c r="AD570" t="s">
        <v>10540</v>
      </c>
      <c r="AE570" t="s">
        <v>10541</v>
      </c>
      <c r="AF570" t="s">
        <v>74</v>
      </c>
      <c r="AG570">
        <v>79</v>
      </c>
      <c r="AH570">
        <v>11</v>
      </c>
      <c r="AI570">
        <v>14</v>
      </c>
      <c r="AJ570">
        <v>1</v>
      </c>
      <c r="AK570">
        <v>18</v>
      </c>
      <c r="AL570" t="s">
        <v>693</v>
      </c>
      <c r="AM570" t="s">
        <v>91</v>
      </c>
      <c r="AN570" t="s">
        <v>694</v>
      </c>
      <c r="AO570" t="s">
        <v>10542</v>
      </c>
      <c r="AP570" t="s">
        <v>10543</v>
      </c>
      <c r="AQ570" t="s">
        <v>74</v>
      </c>
      <c r="AR570" t="s">
        <v>10544</v>
      </c>
      <c r="AS570" t="s">
        <v>10545</v>
      </c>
      <c r="AT570" t="s">
        <v>9900</v>
      </c>
      <c r="AU570">
        <v>2011</v>
      </c>
      <c r="AV570">
        <v>148</v>
      </c>
      <c r="AW570">
        <v>3</v>
      </c>
      <c r="AX570" t="s">
        <v>74</v>
      </c>
      <c r="AY570" t="s">
        <v>74</v>
      </c>
      <c r="AZ570" t="s">
        <v>74</v>
      </c>
      <c r="BA570" t="s">
        <v>74</v>
      </c>
      <c r="BB570">
        <v>404</v>
      </c>
      <c r="BC570">
        <v>422</v>
      </c>
      <c r="BD570" t="s">
        <v>74</v>
      </c>
      <c r="BE570" t="s">
        <v>10546</v>
      </c>
      <c r="BF570" t="str">
        <f>HYPERLINK("http://dx.doi.org/10.1017/S001675681000083X","http://dx.doi.org/10.1017/S001675681000083X")</f>
        <v>http://dx.doi.org/10.1017/S001675681000083X</v>
      </c>
      <c r="BG570" t="s">
        <v>74</v>
      </c>
      <c r="BH570" t="s">
        <v>74</v>
      </c>
      <c r="BI570">
        <v>19</v>
      </c>
      <c r="BJ570" t="s">
        <v>130</v>
      </c>
      <c r="BK570" t="s">
        <v>100</v>
      </c>
      <c r="BL570" t="s">
        <v>131</v>
      </c>
      <c r="BM570" t="s">
        <v>10547</v>
      </c>
      <c r="BN570" t="s">
        <v>74</v>
      </c>
      <c r="BO570" t="s">
        <v>74</v>
      </c>
      <c r="BP570" t="s">
        <v>74</v>
      </c>
      <c r="BQ570" t="s">
        <v>74</v>
      </c>
      <c r="BR570" t="s">
        <v>103</v>
      </c>
      <c r="BS570" t="s">
        <v>10548</v>
      </c>
      <c r="BT570" t="str">
        <f>HYPERLINK("https%3A%2F%2Fwww.webofscience.com%2Fwos%2Fwoscc%2Ffull-record%2FWOS:000290180100003","View Full Record in Web of Science")</f>
        <v>View Full Record in Web of Science</v>
      </c>
    </row>
    <row r="571" spans="1:72" x14ac:dyDescent="0.15">
      <c r="A571" t="s">
        <v>72</v>
      </c>
      <c r="B571" t="s">
        <v>10549</v>
      </c>
      <c r="C571" t="s">
        <v>74</v>
      </c>
      <c r="D571" t="s">
        <v>74</v>
      </c>
      <c r="E571" t="s">
        <v>74</v>
      </c>
      <c r="F571" t="s">
        <v>10550</v>
      </c>
      <c r="G571" t="s">
        <v>74</v>
      </c>
      <c r="H571" t="s">
        <v>74</v>
      </c>
      <c r="I571" t="s">
        <v>10551</v>
      </c>
      <c r="J571" t="s">
        <v>1454</v>
      </c>
      <c r="K571" t="s">
        <v>74</v>
      </c>
      <c r="L571" t="s">
        <v>74</v>
      </c>
      <c r="M571" t="s">
        <v>78</v>
      </c>
      <c r="N571" t="s">
        <v>79</v>
      </c>
      <c r="O571" t="s">
        <v>74</v>
      </c>
      <c r="P571" t="s">
        <v>74</v>
      </c>
      <c r="Q571" t="s">
        <v>74</v>
      </c>
      <c r="R571" t="s">
        <v>74</v>
      </c>
      <c r="S571" t="s">
        <v>74</v>
      </c>
      <c r="T571" t="s">
        <v>74</v>
      </c>
      <c r="U571" t="s">
        <v>10552</v>
      </c>
      <c r="V571" t="s">
        <v>10553</v>
      </c>
      <c r="W571" t="s">
        <v>10554</v>
      </c>
      <c r="X571" t="s">
        <v>10555</v>
      </c>
      <c r="Y571" t="s">
        <v>10556</v>
      </c>
      <c r="Z571" t="s">
        <v>10557</v>
      </c>
      <c r="AA571" t="s">
        <v>10558</v>
      </c>
      <c r="AB571" t="s">
        <v>10559</v>
      </c>
      <c r="AC571" t="s">
        <v>10560</v>
      </c>
      <c r="AD571" t="s">
        <v>10561</v>
      </c>
      <c r="AE571" t="s">
        <v>10562</v>
      </c>
      <c r="AF571" t="s">
        <v>74</v>
      </c>
      <c r="AG571">
        <v>44</v>
      </c>
      <c r="AH571">
        <v>32</v>
      </c>
      <c r="AI571">
        <v>41</v>
      </c>
      <c r="AJ571">
        <v>0</v>
      </c>
      <c r="AK571">
        <v>11</v>
      </c>
      <c r="AL571" t="s">
        <v>1323</v>
      </c>
      <c r="AM571" t="s">
        <v>1324</v>
      </c>
      <c r="AN571" t="s">
        <v>1325</v>
      </c>
      <c r="AO571" t="s">
        <v>1466</v>
      </c>
      <c r="AP571" t="s">
        <v>1467</v>
      </c>
      <c r="AQ571" t="s">
        <v>74</v>
      </c>
      <c r="AR571" t="s">
        <v>1468</v>
      </c>
      <c r="AS571" t="s">
        <v>1469</v>
      </c>
      <c r="AT571" t="s">
        <v>9900</v>
      </c>
      <c r="AU571">
        <v>2011</v>
      </c>
      <c r="AV571">
        <v>46</v>
      </c>
      <c r="AW571">
        <v>5</v>
      </c>
      <c r="AX571" t="s">
        <v>74</v>
      </c>
      <c r="AY571" t="s">
        <v>74</v>
      </c>
      <c r="AZ571" t="s">
        <v>74</v>
      </c>
      <c r="BA571" t="s">
        <v>74</v>
      </c>
      <c r="BB571">
        <v>638</v>
      </c>
      <c r="BC571">
        <v>651</v>
      </c>
      <c r="BD571" t="s">
        <v>74</v>
      </c>
      <c r="BE571" t="s">
        <v>10563</v>
      </c>
      <c r="BF571" t="str">
        <f>HYPERLINK("http://dx.doi.org/10.1111/j.1945-5100.2011.01180.x","http://dx.doi.org/10.1111/j.1945-5100.2011.01180.x")</f>
        <v>http://dx.doi.org/10.1111/j.1945-5100.2011.01180.x</v>
      </c>
      <c r="BG571" t="s">
        <v>74</v>
      </c>
      <c r="BH571" t="s">
        <v>74</v>
      </c>
      <c r="BI571">
        <v>14</v>
      </c>
      <c r="BJ571" t="s">
        <v>488</v>
      </c>
      <c r="BK571" t="s">
        <v>100</v>
      </c>
      <c r="BL571" t="s">
        <v>488</v>
      </c>
      <c r="BM571" t="s">
        <v>10564</v>
      </c>
      <c r="BN571" t="s">
        <v>74</v>
      </c>
      <c r="BO571" t="s">
        <v>152</v>
      </c>
      <c r="BP571" t="s">
        <v>74</v>
      </c>
      <c r="BQ571" t="s">
        <v>74</v>
      </c>
      <c r="BR571" t="s">
        <v>103</v>
      </c>
      <c r="BS571" t="s">
        <v>10565</v>
      </c>
      <c r="BT571" t="str">
        <f>HYPERLINK("https%3A%2F%2Fwww.webofscience.com%2Fwos%2Fwoscc%2Ffull-record%2FWOS:000290393000002","View Full Record in Web of Science")</f>
        <v>View Full Record in Web of Science</v>
      </c>
    </row>
    <row r="572" spans="1:72" x14ac:dyDescent="0.15">
      <c r="A572" t="s">
        <v>72</v>
      </c>
      <c r="B572" t="s">
        <v>10566</v>
      </c>
      <c r="C572" t="s">
        <v>74</v>
      </c>
      <c r="D572" t="s">
        <v>74</v>
      </c>
      <c r="E572" t="s">
        <v>74</v>
      </c>
      <c r="F572" t="s">
        <v>10567</v>
      </c>
      <c r="G572" t="s">
        <v>74</v>
      </c>
      <c r="H572" t="s">
        <v>74</v>
      </c>
      <c r="I572" t="s">
        <v>10568</v>
      </c>
      <c r="J572" t="s">
        <v>10569</v>
      </c>
      <c r="K572" t="s">
        <v>74</v>
      </c>
      <c r="L572" t="s">
        <v>74</v>
      </c>
      <c r="M572" t="s">
        <v>78</v>
      </c>
      <c r="N572" t="s">
        <v>7194</v>
      </c>
      <c r="O572" t="s">
        <v>74</v>
      </c>
      <c r="P572" t="s">
        <v>74</v>
      </c>
      <c r="Q572" t="s">
        <v>74</v>
      </c>
      <c r="R572" t="s">
        <v>74</v>
      </c>
      <c r="S572" t="s">
        <v>74</v>
      </c>
      <c r="T572" t="s">
        <v>74</v>
      </c>
      <c r="U572" t="s">
        <v>74</v>
      </c>
      <c r="V572" t="s">
        <v>74</v>
      </c>
      <c r="W572" t="s">
        <v>10570</v>
      </c>
      <c r="X572" t="s">
        <v>10571</v>
      </c>
      <c r="Y572" t="s">
        <v>10572</v>
      </c>
      <c r="Z572" t="s">
        <v>10573</v>
      </c>
      <c r="AA572" t="s">
        <v>10574</v>
      </c>
      <c r="AB572" t="s">
        <v>10575</v>
      </c>
      <c r="AC572" t="s">
        <v>74</v>
      </c>
      <c r="AD572" t="s">
        <v>74</v>
      </c>
      <c r="AE572" t="s">
        <v>74</v>
      </c>
      <c r="AF572" t="s">
        <v>74</v>
      </c>
      <c r="AG572">
        <v>5</v>
      </c>
      <c r="AH572">
        <v>4</v>
      </c>
      <c r="AI572">
        <v>6</v>
      </c>
      <c r="AJ572">
        <v>0</v>
      </c>
      <c r="AK572">
        <v>2</v>
      </c>
      <c r="AL572" t="s">
        <v>2968</v>
      </c>
      <c r="AM572" t="s">
        <v>508</v>
      </c>
      <c r="AN572" t="s">
        <v>2969</v>
      </c>
      <c r="AO572" t="s">
        <v>10576</v>
      </c>
      <c r="AP572" t="s">
        <v>10577</v>
      </c>
      <c r="AQ572" t="s">
        <v>74</v>
      </c>
      <c r="AR572" t="s">
        <v>10578</v>
      </c>
      <c r="AS572" t="s">
        <v>10579</v>
      </c>
      <c r="AT572" t="s">
        <v>9900</v>
      </c>
      <c r="AU572">
        <v>2011</v>
      </c>
      <c r="AV572">
        <v>141</v>
      </c>
      <c r="AW572">
        <v>5</v>
      </c>
      <c r="AX572" t="s">
        <v>74</v>
      </c>
      <c r="AY572" t="s">
        <v>74</v>
      </c>
      <c r="AZ572" t="s">
        <v>74</v>
      </c>
      <c r="BA572" t="s">
        <v>74</v>
      </c>
      <c r="BB572">
        <v>985</v>
      </c>
      <c r="BC572">
        <v>986</v>
      </c>
      <c r="BD572" t="s">
        <v>74</v>
      </c>
      <c r="BE572" t="s">
        <v>10580</v>
      </c>
      <c r="BF572" t="str">
        <f>HYPERLINK("http://dx.doi.org/10.3945/jn.111.138792","http://dx.doi.org/10.3945/jn.111.138792")</f>
        <v>http://dx.doi.org/10.3945/jn.111.138792</v>
      </c>
      <c r="BG572" t="s">
        <v>74</v>
      </c>
      <c r="BH572" t="s">
        <v>74</v>
      </c>
      <c r="BI572">
        <v>2</v>
      </c>
      <c r="BJ572" t="s">
        <v>10581</v>
      </c>
      <c r="BK572" t="s">
        <v>100</v>
      </c>
      <c r="BL572" t="s">
        <v>10581</v>
      </c>
      <c r="BM572" t="s">
        <v>10582</v>
      </c>
      <c r="BN572">
        <v>21656938</v>
      </c>
      <c r="BO572" t="s">
        <v>1284</v>
      </c>
      <c r="BP572" t="s">
        <v>74</v>
      </c>
      <c r="BQ572" t="s">
        <v>74</v>
      </c>
      <c r="BR572" t="s">
        <v>103</v>
      </c>
      <c r="BS572" t="s">
        <v>10583</v>
      </c>
      <c r="BT572" t="str">
        <f>HYPERLINK("https%3A%2F%2Fwww.webofscience.com%2Fwos%2Fwoscc%2Ffull-record%2FWOS:000289828800032","View Full Record in Web of Science")</f>
        <v>View Full Record in Web of Science</v>
      </c>
    </row>
    <row r="573" spans="1:72" x14ac:dyDescent="0.15">
      <c r="A573" t="s">
        <v>72</v>
      </c>
      <c r="B573" t="s">
        <v>10584</v>
      </c>
      <c r="C573" t="s">
        <v>74</v>
      </c>
      <c r="D573" t="s">
        <v>74</v>
      </c>
      <c r="E573" t="s">
        <v>74</v>
      </c>
      <c r="F573" t="s">
        <v>10585</v>
      </c>
      <c r="G573" t="s">
        <v>74</v>
      </c>
      <c r="H573" t="s">
        <v>74</v>
      </c>
      <c r="I573" t="s">
        <v>10586</v>
      </c>
      <c r="J573" t="s">
        <v>10587</v>
      </c>
      <c r="K573" t="s">
        <v>74</v>
      </c>
      <c r="L573" t="s">
        <v>74</v>
      </c>
      <c r="M573" t="s">
        <v>78</v>
      </c>
      <c r="N573" t="s">
        <v>79</v>
      </c>
      <c r="O573" t="s">
        <v>74</v>
      </c>
      <c r="P573" t="s">
        <v>74</v>
      </c>
      <c r="Q573" t="s">
        <v>74</v>
      </c>
      <c r="R573" t="s">
        <v>74</v>
      </c>
      <c r="S573" t="s">
        <v>74</v>
      </c>
      <c r="T573" t="s">
        <v>10588</v>
      </c>
      <c r="U573" t="s">
        <v>10589</v>
      </c>
      <c r="V573" t="s">
        <v>10590</v>
      </c>
      <c r="W573" t="s">
        <v>10591</v>
      </c>
      <c r="X573" t="s">
        <v>10592</v>
      </c>
      <c r="Y573" t="s">
        <v>10593</v>
      </c>
      <c r="Z573" t="s">
        <v>10594</v>
      </c>
      <c r="AA573" t="s">
        <v>10595</v>
      </c>
      <c r="AB573" t="s">
        <v>10596</v>
      </c>
      <c r="AC573" t="s">
        <v>74</v>
      </c>
      <c r="AD573" t="s">
        <v>74</v>
      </c>
      <c r="AE573" t="s">
        <v>74</v>
      </c>
      <c r="AF573" t="s">
        <v>74</v>
      </c>
      <c r="AG573">
        <v>131</v>
      </c>
      <c r="AH573">
        <v>144</v>
      </c>
      <c r="AI573">
        <v>150</v>
      </c>
      <c r="AJ573">
        <v>1</v>
      </c>
      <c r="AK573">
        <v>33</v>
      </c>
      <c r="AL573" t="s">
        <v>2968</v>
      </c>
      <c r="AM573" t="s">
        <v>508</v>
      </c>
      <c r="AN573" t="s">
        <v>2969</v>
      </c>
      <c r="AO573" t="s">
        <v>10597</v>
      </c>
      <c r="AP573" t="s">
        <v>10598</v>
      </c>
      <c r="AQ573" t="s">
        <v>74</v>
      </c>
      <c r="AR573" t="s">
        <v>10599</v>
      </c>
      <c r="AS573" t="s">
        <v>10600</v>
      </c>
      <c r="AT573" t="s">
        <v>9900</v>
      </c>
      <c r="AU573">
        <v>2011</v>
      </c>
      <c r="AV573">
        <v>52</v>
      </c>
      <c r="AW573">
        <v>5</v>
      </c>
      <c r="AX573" t="s">
        <v>74</v>
      </c>
      <c r="AY573" t="s">
        <v>74</v>
      </c>
      <c r="AZ573" t="s">
        <v>74</v>
      </c>
      <c r="BA573" t="s">
        <v>74</v>
      </c>
      <c r="BB573">
        <v>931</v>
      </c>
      <c r="BC573">
        <v>958</v>
      </c>
      <c r="BD573" t="s">
        <v>74</v>
      </c>
      <c r="BE573" t="s">
        <v>10601</v>
      </c>
      <c r="BF573" t="str">
        <f>HYPERLINK("http://dx.doi.org/10.1093/petrology/egr010","http://dx.doi.org/10.1093/petrology/egr010")</f>
        <v>http://dx.doi.org/10.1093/petrology/egr010</v>
      </c>
      <c r="BG573" t="s">
        <v>74</v>
      </c>
      <c r="BH573" t="s">
        <v>74</v>
      </c>
      <c r="BI573">
        <v>28</v>
      </c>
      <c r="BJ573" t="s">
        <v>488</v>
      </c>
      <c r="BK573" t="s">
        <v>100</v>
      </c>
      <c r="BL573" t="s">
        <v>488</v>
      </c>
      <c r="BM573" t="s">
        <v>10602</v>
      </c>
      <c r="BN573" t="s">
        <v>74</v>
      </c>
      <c r="BO573" t="s">
        <v>152</v>
      </c>
      <c r="BP573" t="s">
        <v>74</v>
      </c>
      <c r="BQ573" t="s">
        <v>74</v>
      </c>
      <c r="BR573" t="s">
        <v>103</v>
      </c>
      <c r="BS573" t="s">
        <v>10603</v>
      </c>
      <c r="BT573" t="str">
        <f>HYPERLINK("https%3A%2F%2Fwww.webofscience.com%2Fwos%2Fwoscc%2Ffull-record%2FWOS:000289840500005","View Full Record in Web of Science")</f>
        <v>View Full Record in Web of Science</v>
      </c>
    </row>
    <row r="574" spans="1:72" x14ac:dyDescent="0.15">
      <c r="A574" t="s">
        <v>72</v>
      </c>
      <c r="B574" t="s">
        <v>10604</v>
      </c>
      <c r="C574" t="s">
        <v>74</v>
      </c>
      <c r="D574" t="s">
        <v>74</v>
      </c>
      <c r="E574" t="s">
        <v>74</v>
      </c>
      <c r="F574" t="s">
        <v>10605</v>
      </c>
      <c r="G574" t="s">
        <v>74</v>
      </c>
      <c r="H574" t="s">
        <v>74</v>
      </c>
      <c r="I574" t="s">
        <v>10606</v>
      </c>
      <c r="J574" t="s">
        <v>1311</v>
      </c>
      <c r="K574" t="s">
        <v>74</v>
      </c>
      <c r="L574" t="s">
        <v>74</v>
      </c>
      <c r="M574" t="s">
        <v>78</v>
      </c>
      <c r="N574" t="s">
        <v>79</v>
      </c>
      <c r="O574" t="s">
        <v>74</v>
      </c>
      <c r="P574" t="s">
        <v>74</v>
      </c>
      <c r="Q574" t="s">
        <v>74</v>
      </c>
      <c r="R574" t="s">
        <v>74</v>
      </c>
      <c r="S574" t="s">
        <v>74</v>
      </c>
      <c r="T574" t="s">
        <v>74</v>
      </c>
      <c r="U574" t="s">
        <v>10607</v>
      </c>
      <c r="V574" t="s">
        <v>10608</v>
      </c>
      <c r="W574" t="s">
        <v>10609</v>
      </c>
      <c r="X574" t="s">
        <v>10610</v>
      </c>
      <c r="Y574" t="s">
        <v>10611</v>
      </c>
      <c r="Z574" t="s">
        <v>10612</v>
      </c>
      <c r="AA574" t="s">
        <v>10613</v>
      </c>
      <c r="AB574" t="s">
        <v>10614</v>
      </c>
      <c r="AC574" t="s">
        <v>10615</v>
      </c>
      <c r="AD574" t="s">
        <v>10616</v>
      </c>
      <c r="AE574" t="s">
        <v>10617</v>
      </c>
      <c r="AF574" t="s">
        <v>74</v>
      </c>
      <c r="AG574">
        <v>60</v>
      </c>
      <c r="AH574">
        <v>39</v>
      </c>
      <c r="AI574">
        <v>44</v>
      </c>
      <c r="AJ574">
        <v>1</v>
      </c>
      <c r="AK574">
        <v>31</v>
      </c>
      <c r="AL574" t="s">
        <v>4179</v>
      </c>
      <c r="AM574" t="s">
        <v>4200</v>
      </c>
      <c r="AN574" t="s">
        <v>4201</v>
      </c>
      <c r="AO574" t="s">
        <v>1326</v>
      </c>
      <c r="AP574" t="s">
        <v>74</v>
      </c>
      <c r="AQ574" t="s">
        <v>74</v>
      </c>
      <c r="AR574" t="s">
        <v>1328</v>
      </c>
      <c r="AS574" t="s">
        <v>1329</v>
      </c>
      <c r="AT574" t="s">
        <v>9900</v>
      </c>
      <c r="AU574">
        <v>2011</v>
      </c>
      <c r="AV574">
        <v>13</v>
      </c>
      <c r="AW574">
        <v>5</v>
      </c>
      <c r="AX574" t="s">
        <v>74</v>
      </c>
      <c r="AY574" t="s">
        <v>74</v>
      </c>
      <c r="AZ574" t="s">
        <v>74</v>
      </c>
      <c r="BA574" t="s">
        <v>74</v>
      </c>
      <c r="BB574">
        <v>1285</v>
      </c>
      <c r="BC574">
        <v>1298</v>
      </c>
      <c r="BD574" t="s">
        <v>74</v>
      </c>
      <c r="BE574" t="s">
        <v>10618</v>
      </c>
      <c r="BF574" t="str">
        <f>HYPERLINK("http://dx.doi.org/10.1111/j.1462-2920.2011.02428.x","http://dx.doi.org/10.1111/j.1462-2920.2011.02428.x")</f>
        <v>http://dx.doi.org/10.1111/j.1462-2920.2011.02428.x</v>
      </c>
      <c r="BG574" t="s">
        <v>74</v>
      </c>
      <c r="BH574" t="s">
        <v>74</v>
      </c>
      <c r="BI574">
        <v>14</v>
      </c>
      <c r="BJ574" t="s">
        <v>892</v>
      </c>
      <c r="BK574" t="s">
        <v>100</v>
      </c>
      <c r="BL574" t="s">
        <v>892</v>
      </c>
      <c r="BM574" t="s">
        <v>10619</v>
      </c>
      <c r="BN574">
        <v>21410623</v>
      </c>
      <c r="BO574" t="s">
        <v>74</v>
      </c>
      <c r="BP574" t="s">
        <v>74</v>
      </c>
      <c r="BQ574" t="s">
        <v>74</v>
      </c>
      <c r="BR574" t="s">
        <v>103</v>
      </c>
      <c r="BS574" t="s">
        <v>10620</v>
      </c>
      <c r="BT574" t="str">
        <f>HYPERLINK("https%3A%2F%2Fwww.webofscience.com%2Fwos%2Fwoscc%2Ffull-record%2FWOS:000289798600014","View Full Record in Web of Science")</f>
        <v>View Full Record in Web of Science</v>
      </c>
    </row>
    <row r="575" spans="1:72" x14ac:dyDescent="0.15">
      <c r="A575" t="s">
        <v>72</v>
      </c>
      <c r="B575" t="s">
        <v>10621</v>
      </c>
      <c r="C575" t="s">
        <v>74</v>
      </c>
      <c r="D575" t="s">
        <v>74</v>
      </c>
      <c r="E575" t="s">
        <v>74</v>
      </c>
      <c r="F575" t="s">
        <v>10622</v>
      </c>
      <c r="G575" t="s">
        <v>74</v>
      </c>
      <c r="H575" t="s">
        <v>74</v>
      </c>
      <c r="I575" t="s">
        <v>10623</v>
      </c>
      <c r="J575" t="s">
        <v>10624</v>
      </c>
      <c r="K575" t="s">
        <v>74</v>
      </c>
      <c r="L575" t="s">
        <v>74</v>
      </c>
      <c r="M575" t="s">
        <v>78</v>
      </c>
      <c r="N575" t="s">
        <v>79</v>
      </c>
      <c r="O575" t="s">
        <v>74</v>
      </c>
      <c r="P575" t="s">
        <v>74</v>
      </c>
      <c r="Q575" t="s">
        <v>74</v>
      </c>
      <c r="R575" t="s">
        <v>74</v>
      </c>
      <c r="S575" t="s">
        <v>74</v>
      </c>
      <c r="T575" t="s">
        <v>10625</v>
      </c>
      <c r="U575" t="s">
        <v>10626</v>
      </c>
      <c r="V575" t="s">
        <v>10627</v>
      </c>
      <c r="W575" t="s">
        <v>10628</v>
      </c>
      <c r="X575" t="s">
        <v>10629</v>
      </c>
      <c r="Y575" t="s">
        <v>10630</v>
      </c>
      <c r="Z575" t="s">
        <v>10631</v>
      </c>
      <c r="AA575" t="s">
        <v>10632</v>
      </c>
      <c r="AB575" t="s">
        <v>10633</v>
      </c>
      <c r="AC575" t="s">
        <v>10634</v>
      </c>
      <c r="AD575" t="s">
        <v>10635</v>
      </c>
      <c r="AE575" t="s">
        <v>10636</v>
      </c>
      <c r="AF575" t="s">
        <v>74</v>
      </c>
      <c r="AG575">
        <v>32</v>
      </c>
      <c r="AH575">
        <v>49</v>
      </c>
      <c r="AI575">
        <v>56</v>
      </c>
      <c r="AJ575">
        <v>3</v>
      </c>
      <c r="AK575">
        <v>49</v>
      </c>
      <c r="AL575" t="s">
        <v>2669</v>
      </c>
      <c r="AM575" t="s">
        <v>309</v>
      </c>
      <c r="AN575" t="s">
        <v>2670</v>
      </c>
      <c r="AO575" t="s">
        <v>10637</v>
      </c>
      <c r="AP575" t="s">
        <v>74</v>
      </c>
      <c r="AQ575" t="s">
        <v>74</v>
      </c>
      <c r="AR575" t="s">
        <v>10624</v>
      </c>
      <c r="AS575" t="s">
        <v>10638</v>
      </c>
      <c r="AT575" t="s">
        <v>9900</v>
      </c>
      <c r="AU575">
        <v>2011</v>
      </c>
      <c r="AV575">
        <v>10</v>
      </c>
      <c r="AW575">
        <v>4</v>
      </c>
      <c r="AX575" t="s">
        <v>74</v>
      </c>
      <c r="AY575" t="s">
        <v>74</v>
      </c>
      <c r="AZ575" t="s">
        <v>74</v>
      </c>
      <c r="BA575" t="s">
        <v>74</v>
      </c>
      <c r="BB575">
        <v>366</v>
      </c>
      <c r="BC575">
        <v>373</v>
      </c>
      <c r="BD575" t="s">
        <v>74</v>
      </c>
      <c r="BE575" t="s">
        <v>10639</v>
      </c>
      <c r="BF575" t="str">
        <f>HYPERLINK("http://dx.doi.org/10.1016/j.hal.2011.01.002","http://dx.doi.org/10.1016/j.hal.2011.01.002")</f>
        <v>http://dx.doi.org/10.1016/j.hal.2011.01.002</v>
      </c>
      <c r="BG575" t="s">
        <v>74</v>
      </c>
      <c r="BH575" t="s">
        <v>74</v>
      </c>
      <c r="BI575">
        <v>8</v>
      </c>
      <c r="BJ575" t="s">
        <v>700</v>
      </c>
      <c r="BK575" t="s">
        <v>100</v>
      </c>
      <c r="BL575" t="s">
        <v>700</v>
      </c>
      <c r="BM575" t="s">
        <v>10640</v>
      </c>
      <c r="BN575" t="s">
        <v>74</v>
      </c>
      <c r="BO575" t="s">
        <v>74</v>
      </c>
      <c r="BP575" t="s">
        <v>74</v>
      </c>
      <c r="BQ575" t="s">
        <v>74</v>
      </c>
      <c r="BR575" t="s">
        <v>103</v>
      </c>
      <c r="BS575" t="s">
        <v>10641</v>
      </c>
      <c r="BT575" t="str">
        <f>HYPERLINK("https%3A%2F%2Fwww.webofscience.com%2Fwos%2Fwoscc%2Ffull-record%2FWOS:000289809600003","View Full Record in Web of Science")</f>
        <v>View Full Record in Web of Science</v>
      </c>
    </row>
    <row r="576" spans="1:72" x14ac:dyDescent="0.15">
      <c r="A576" t="s">
        <v>72</v>
      </c>
      <c r="B576" t="s">
        <v>10642</v>
      </c>
      <c r="C576" t="s">
        <v>74</v>
      </c>
      <c r="D576" t="s">
        <v>74</v>
      </c>
      <c r="E576" t="s">
        <v>74</v>
      </c>
      <c r="F576" t="s">
        <v>10643</v>
      </c>
      <c r="G576" t="s">
        <v>74</v>
      </c>
      <c r="H576" t="s">
        <v>74</v>
      </c>
      <c r="I576" t="s">
        <v>10644</v>
      </c>
      <c r="J576" t="s">
        <v>1562</v>
      </c>
      <c r="K576" t="s">
        <v>74</v>
      </c>
      <c r="L576" t="s">
        <v>74</v>
      </c>
      <c r="M576" t="s">
        <v>78</v>
      </c>
      <c r="N576" t="s">
        <v>79</v>
      </c>
      <c r="O576" t="s">
        <v>74</v>
      </c>
      <c r="P576" t="s">
        <v>74</v>
      </c>
      <c r="Q576" t="s">
        <v>74</v>
      </c>
      <c r="R576" t="s">
        <v>74</v>
      </c>
      <c r="S576" t="s">
        <v>74</v>
      </c>
      <c r="T576" t="s">
        <v>74</v>
      </c>
      <c r="U576" t="s">
        <v>10645</v>
      </c>
      <c r="V576" t="s">
        <v>10646</v>
      </c>
      <c r="W576" t="s">
        <v>10647</v>
      </c>
      <c r="X576" t="s">
        <v>10648</v>
      </c>
      <c r="Y576" t="s">
        <v>10649</v>
      </c>
      <c r="Z576" t="s">
        <v>10650</v>
      </c>
      <c r="AA576" t="s">
        <v>10651</v>
      </c>
      <c r="AB576" t="s">
        <v>10652</v>
      </c>
      <c r="AC576" t="s">
        <v>10653</v>
      </c>
      <c r="AD576" t="s">
        <v>10654</v>
      </c>
      <c r="AE576" t="s">
        <v>10655</v>
      </c>
      <c r="AF576" t="s">
        <v>74</v>
      </c>
      <c r="AG576">
        <v>45</v>
      </c>
      <c r="AH576">
        <v>43</v>
      </c>
      <c r="AI576">
        <v>49</v>
      </c>
      <c r="AJ576">
        <v>1</v>
      </c>
      <c r="AK576">
        <v>47</v>
      </c>
      <c r="AL576" t="s">
        <v>1441</v>
      </c>
      <c r="AM576" t="s">
        <v>91</v>
      </c>
      <c r="AN576" t="s">
        <v>1595</v>
      </c>
      <c r="AO576" t="s">
        <v>1574</v>
      </c>
      <c r="AP576" t="s">
        <v>74</v>
      </c>
      <c r="AQ576" t="s">
        <v>74</v>
      </c>
      <c r="AR576" t="s">
        <v>1576</v>
      </c>
      <c r="AS576" t="s">
        <v>1577</v>
      </c>
      <c r="AT576" t="s">
        <v>9900</v>
      </c>
      <c r="AU576">
        <v>2011</v>
      </c>
      <c r="AV576">
        <v>158</v>
      </c>
      <c r="AW576">
        <v>5</v>
      </c>
      <c r="AX576" t="s">
        <v>74</v>
      </c>
      <c r="AY576" t="s">
        <v>74</v>
      </c>
      <c r="AZ576" t="s">
        <v>74</v>
      </c>
      <c r="BA576" t="s">
        <v>74</v>
      </c>
      <c r="BB576">
        <v>1029</v>
      </c>
      <c r="BC576">
        <v>1041</v>
      </c>
      <c r="BD576" t="s">
        <v>74</v>
      </c>
      <c r="BE576" t="s">
        <v>10656</v>
      </c>
      <c r="BF576" t="str">
        <f>HYPERLINK("http://dx.doi.org/10.1007/s00227-011-1628-4","http://dx.doi.org/10.1007/s00227-011-1628-4")</f>
        <v>http://dx.doi.org/10.1007/s00227-011-1628-4</v>
      </c>
      <c r="BG576" t="s">
        <v>74</v>
      </c>
      <c r="BH576" t="s">
        <v>74</v>
      </c>
      <c r="BI576">
        <v>13</v>
      </c>
      <c r="BJ576" t="s">
        <v>700</v>
      </c>
      <c r="BK576" t="s">
        <v>100</v>
      </c>
      <c r="BL576" t="s">
        <v>700</v>
      </c>
      <c r="BM576" t="s">
        <v>10657</v>
      </c>
      <c r="BN576" t="s">
        <v>74</v>
      </c>
      <c r="BO576" t="s">
        <v>74</v>
      </c>
      <c r="BP576" t="s">
        <v>74</v>
      </c>
      <c r="BQ576" t="s">
        <v>74</v>
      </c>
      <c r="BR576" t="s">
        <v>103</v>
      </c>
      <c r="BS576" t="s">
        <v>10658</v>
      </c>
      <c r="BT576" t="str">
        <f>HYPERLINK("https%3A%2F%2Fwww.webofscience.com%2Fwos%2Fwoscc%2Ffull-record%2FWOS:000289691900008","View Full Record in Web of Science")</f>
        <v>View Full Record in Web of Science</v>
      </c>
    </row>
    <row r="577" spans="1:72" x14ac:dyDescent="0.15">
      <c r="A577" t="s">
        <v>72</v>
      </c>
      <c r="B577" t="s">
        <v>10659</v>
      </c>
      <c r="C577" t="s">
        <v>74</v>
      </c>
      <c r="D577" t="s">
        <v>74</v>
      </c>
      <c r="E577" t="s">
        <v>74</v>
      </c>
      <c r="F577" t="s">
        <v>10660</v>
      </c>
      <c r="G577" t="s">
        <v>74</v>
      </c>
      <c r="H577" t="s">
        <v>74</v>
      </c>
      <c r="I577" t="s">
        <v>10661</v>
      </c>
      <c r="J577" t="s">
        <v>10662</v>
      </c>
      <c r="K577" t="s">
        <v>74</v>
      </c>
      <c r="L577" t="s">
        <v>74</v>
      </c>
      <c r="M577" t="s">
        <v>78</v>
      </c>
      <c r="N577" t="s">
        <v>79</v>
      </c>
      <c r="O577" t="s">
        <v>74</v>
      </c>
      <c r="P577" t="s">
        <v>74</v>
      </c>
      <c r="Q577" t="s">
        <v>74</v>
      </c>
      <c r="R577" t="s">
        <v>74</v>
      </c>
      <c r="S577" t="s">
        <v>74</v>
      </c>
      <c r="T577" t="s">
        <v>10663</v>
      </c>
      <c r="U577" t="s">
        <v>10664</v>
      </c>
      <c r="V577" t="s">
        <v>10665</v>
      </c>
      <c r="W577" t="s">
        <v>10666</v>
      </c>
      <c r="X577" t="s">
        <v>10667</v>
      </c>
      <c r="Y577" t="s">
        <v>10668</v>
      </c>
      <c r="Z577" t="s">
        <v>10669</v>
      </c>
      <c r="AA577" t="s">
        <v>10670</v>
      </c>
      <c r="AB577" t="s">
        <v>10671</v>
      </c>
      <c r="AC577" t="s">
        <v>10672</v>
      </c>
      <c r="AD577" t="s">
        <v>10672</v>
      </c>
      <c r="AE577" t="s">
        <v>10673</v>
      </c>
      <c r="AF577" t="s">
        <v>74</v>
      </c>
      <c r="AG577">
        <v>41</v>
      </c>
      <c r="AH577">
        <v>17</v>
      </c>
      <c r="AI577">
        <v>17</v>
      </c>
      <c r="AJ577">
        <v>1</v>
      </c>
      <c r="AK577">
        <v>19</v>
      </c>
      <c r="AL577" t="s">
        <v>1323</v>
      </c>
      <c r="AM577" t="s">
        <v>1324</v>
      </c>
      <c r="AN577" t="s">
        <v>1325</v>
      </c>
      <c r="AO577" t="s">
        <v>10674</v>
      </c>
      <c r="AP577" t="s">
        <v>10675</v>
      </c>
      <c r="AQ577" t="s">
        <v>74</v>
      </c>
      <c r="AR577" t="s">
        <v>10676</v>
      </c>
      <c r="AS577" t="s">
        <v>10677</v>
      </c>
      <c r="AT577" t="s">
        <v>9900</v>
      </c>
      <c r="AU577">
        <v>2011</v>
      </c>
      <c r="AV577">
        <v>98</v>
      </c>
      <c r="AW577">
        <v>5</v>
      </c>
      <c r="AX577" t="s">
        <v>74</v>
      </c>
      <c r="AY577" t="s">
        <v>74</v>
      </c>
      <c r="AZ577" t="s">
        <v>74</v>
      </c>
      <c r="BA577" t="s">
        <v>74</v>
      </c>
      <c r="BB577">
        <v>909</v>
      </c>
      <c r="BC577">
        <v>914</v>
      </c>
      <c r="BD577" t="s">
        <v>74</v>
      </c>
      <c r="BE577" t="s">
        <v>10678</v>
      </c>
      <c r="BF577" t="str">
        <f>HYPERLINK("http://dx.doi.org/10.3732/ajb.1000460","http://dx.doi.org/10.3732/ajb.1000460")</f>
        <v>http://dx.doi.org/10.3732/ajb.1000460</v>
      </c>
      <c r="BG577" t="s">
        <v>74</v>
      </c>
      <c r="BH577" t="s">
        <v>74</v>
      </c>
      <c r="BI577">
        <v>6</v>
      </c>
      <c r="BJ577" t="s">
        <v>4032</v>
      </c>
      <c r="BK577" t="s">
        <v>100</v>
      </c>
      <c r="BL577" t="s">
        <v>4032</v>
      </c>
      <c r="BM577" t="s">
        <v>10679</v>
      </c>
      <c r="BN577">
        <v>21613188</v>
      </c>
      <c r="BO577" t="s">
        <v>74</v>
      </c>
      <c r="BP577" t="s">
        <v>74</v>
      </c>
      <c r="BQ577" t="s">
        <v>74</v>
      </c>
      <c r="BR577" t="s">
        <v>103</v>
      </c>
      <c r="BS577" t="s">
        <v>10680</v>
      </c>
      <c r="BT577" t="str">
        <f>HYPERLINK("https%3A%2F%2Fwww.webofscience.com%2Fwos%2Fwoscc%2Ffull-record%2FWOS:000290480600023","View Full Record in Web of Science")</f>
        <v>View Full Record in Web of Science</v>
      </c>
    </row>
    <row r="578" spans="1:72" x14ac:dyDescent="0.15">
      <c r="A578" t="s">
        <v>72</v>
      </c>
      <c r="B578" t="s">
        <v>10681</v>
      </c>
      <c r="C578" t="s">
        <v>74</v>
      </c>
      <c r="D578" t="s">
        <v>74</v>
      </c>
      <c r="E578" t="s">
        <v>74</v>
      </c>
      <c r="F578" t="s">
        <v>10682</v>
      </c>
      <c r="G578" t="s">
        <v>74</v>
      </c>
      <c r="H578" t="s">
        <v>74</v>
      </c>
      <c r="I578" t="s">
        <v>10683</v>
      </c>
      <c r="J578" t="s">
        <v>1004</v>
      </c>
      <c r="K578" t="s">
        <v>74</v>
      </c>
      <c r="L578" t="s">
        <v>74</v>
      </c>
      <c r="M578" t="s">
        <v>78</v>
      </c>
      <c r="N578" t="s">
        <v>278</v>
      </c>
      <c r="O578" t="s">
        <v>74</v>
      </c>
      <c r="P578" t="s">
        <v>74</v>
      </c>
      <c r="Q578" t="s">
        <v>74</v>
      </c>
      <c r="R578" t="s">
        <v>74</v>
      </c>
      <c r="S578" t="s">
        <v>74</v>
      </c>
      <c r="T578" t="s">
        <v>74</v>
      </c>
      <c r="U578" t="s">
        <v>10684</v>
      </c>
      <c r="V578" t="s">
        <v>10685</v>
      </c>
      <c r="W578" t="s">
        <v>10686</v>
      </c>
      <c r="X578" t="s">
        <v>10687</v>
      </c>
      <c r="Y578" t="s">
        <v>10688</v>
      </c>
      <c r="Z578" t="s">
        <v>10689</v>
      </c>
      <c r="AA578" t="s">
        <v>10690</v>
      </c>
      <c r="AB578" t="s">
        <v>10691</v>
      </c>
      <c r="AC578" t="s">
        <v>10692</v>
      </c>
      <c r="AD578" t="s">
        <v>10693</v>
      </c>
      <c r="AE578" t="s">
        <v>10694</v>
      </c>
      <c r="AF578" t="s">
        <v>74</v>
      </c>
      <c r="AG578">
        <v>202</v>
      </c>
      <c r="AH578">
        <v>75</v>
      </c>
      <c r="AI578">
        <v>88</v>
      </c>
      <c r="AJ578">
        <v>0</v>
      </c>
      <c r="AK578">
        <v>88</v>
      </c>
      <c r="AL578" t="s">
        <v>1014</v>
      </c>
      <c r="AM578" t="s">
        <v>1015</v>
      </c>
      <c r="AN578" t="s">
        <v>1016</v>
      </c>
      <c r="AO578" t="s">
        <v>1017</v>
      </c>
      <c r="AP578" t="s">
        <v>1018</v>
      </c>
      <c r="AQ578" t="s">
        <v>74</v>
      </c>
      <c r="AR578" t="s">
        <v>1019</v>
      </c>
      <c r="AS578" t="s">
        <v>1020</v>
      </c>
      <c r="AT578" t="s">
        <v>9900</v>
      </c>
      <c r="AU578">
        <v>2011</v>
      </c>
      <c r="AV578">
        <v>43</v>
      </c>
      <c r="AW578">
        <v>2</v>
      </c>
      <c r="AX578" t="s">
        <v>74</v>
      </c>
      <c r="AY578" t="s">
        <v>74</v>
      </c>
      <c r="AZ578" t="s">
        <v>74</v>
      </c>
      <c r="BA578" t="s">
        <v>74</v>
      </c>
      <c r="BB578">
        <v>167</v>
      </c>
      <c r="BC578">
        <v>177</v>
      </c>
      <c r="BD578" t="s">
        <v>74</v>
      </c>
      <c r="BE578" t="s">
        <v>10695</v>
      </c>
      <c r="BF578" t="str">
        <f>HYPERLINK("http://dx.doi.org/10.1657/1938-4246-43.2.167","http://dx.doi.org/10.1657/1938-4246-43.2.167")</f>
        <v>http://dx.doi.org/10.1657/1938-4246-43.2.167</v>
      </c>
      <c r="BG578" t="s">
        <v>74</v>
      </c>
      <c r="BH578" t="s">
        <v>74</v>
      </c>
      <c r="BI578">
        <v>11</v>
      </c>
      <c r="BJ578" t="s">
        <v>1022</v>
      </c>
      <c r="BK578" t="s">
        <v>100</v>
      </c>
      <c r="BL578" t="s">
        <v>1023</v>
      </c>
      <c r="BM578" t="s">
        <v>10168</v>
      </c>
      <c r="BN578" t="s">
        <v>74</v>
      </c>
      <c r="BO578" t="s">
        <v>1025</v>
      </c>
      <c r="BP578" t="s">
        <v>74</v>
      </c>
      <c r="BQ578" t="s">
        <v>74</v>
      </c>
      <c r="BR578" t="s">
        <v>103</v>
      </c>
      <c r="BS578" t="s">
        <v>10696</v>
      </c>
      <c r="BT578" t="str">
        <f>HYPERLINK("https%3A%2F%2Fwww.webofscience.com%2Fwos%2Fwoscc%2Ffull-record%2FWOS:000291118700001","View Full Record in Web of Science")</f>
        <v>View Full Record in Web of Science</v>
      </c>
    </row>
    <row r="579" spans="1:72" x14ac:dyDescent="0.15">
      <c r="A579" t="s">
        <v>72</v>
      </c>
      <c r="B579" t="s">
        <v>10697</v>
      </c>
      <c r="C579" t="s">
        <v>74</v>
      </c>
      <c r="D579" t="s">
        <v>74</v>
      </c>
      <c r="E579" t="s">
        <v>74</v>
      </c>
      <c r="F579" t="s">
        <v>10698</v>
      </c>
      <c r="G579" t="s">
        <v>74</v>
      </c>
      <c r="H579" t="s">
        <v>74</v>
      </c>
      <c r="I579" t="s">
        <v>10699</v>
      </c>
      <c r="J579" t="s">
        <v>1004</v>
      </c>
      <c r="K579" t="s">
        <v>74</v>
      </c>
      <c r="L579" t="s">
        <v>74</v>
      </c>
      <c r="M579" t="s">
        <v>78</v>
      </c>
      <c r="N579" t="s">
        <v>79</v>
      </c>
      <c r="O579" t="s">
        <v>74</v>
      </c>
      <c r="P579" t="s">
        <v>74</v>
      </c>
      <c r="Q579" t="s">
        <v>74</v>
      </c>
      <c r="R579" t="s">
        <v>74</v>
      </c>
      <c r="S579" t="s">
        <v>74</v>
      </c>
      <c r="T579" t="s">
        <v>74</v>
      </c>
      <c r="U579" t="s">
        <v>10700</v>
      </c>
      <c r="V579" t="s">
        <v>10701</v>
      </c>
      <c r="W579" t="s">
        <v>10702</v>
      </c>
      <c r="X579" t="s">
        <v>10703</v>
      </c>
      <c r="Y579" t="s">
        <v>10704</v>
      </c>
      <c r="Z579" t="s">
        <v>10705</v>
      </c>
      <c r="AA579" t="s">
        <v>10706</v>
      </c>
      <c r="AB579" t="s">
        <v>10707</v>
      </c>
      <c r="AC579" t="s">
        <v>10708</v>
      </c>
      <c r="AD579" t="s">
        <v>10709</v>
      </c>
      <c r="AE579" t="s">
        <v>10710</v>
      </c>
      <c r="AF579" t="s">
        <v>74</v>
      </c>
      <c r="AG579">
        <v>60</v>
      </c>
      <c r="AH579">
        <v>33</v>
      </c>
      <c r="AI579">
        <v>39</v>
      </c>
      <c r="AJ579">
        <v>2</v>
      </c>
      <c r="AK579">
        <v>70</v>
      </c>
      <c r="AL579" t="s">
        <v>1014</v>
      </c>
      <c r="AM579" t="s">
        <v>1015</v>
      </c>
      <c r="AN579" t="s">
        <v>1016</v>
      </c>
      <c r="AO579" t="s">
        <v>1017</v>
      </c>
      <c r="AP579" t="s">
        <v>1018</v>
      </c>
      <c r="AQ579" t="s">
        <v>74</v>
      </c>
      <c r="AR579" t="s">
        <v>1019</v>
      </c>
      <c r="AS579" t="s">
        <v>1020</v>
      </c>
      <c r="AT579" t="s">
        <v>9900</v>
      </c>
      <c r="AU579">
        <v>2011</v>
      </c>
      <c r="AV579">
        <v>43</v>
      </c>
      <c r="AW579">
        <v>2</v>
      </c>
      <c r="AX579" t="s">
        <v>74</v>
      </c>
      <c r="AY579" t="s">
        <v>74</v>
      </c>
      <c r="AZ579" t="s">
        <v>74</v>
      </c>
      <c r="BA579" t="s">
        <v>74</v>
      </c>
      <c r="BB579">
        <v>178</v>
      </c>
      <c r="BC579">
        <v>188</v>
      </c>
      <c r="BD579" t="s">
        <v>74</v>
      </c>
      <c r="BE579" t="s">
        <v>10711</v>
      </c>
      <c r="BF579" t="str">
        <f>HYPERLINK("http://dx.doi.org/10.1657/1938-4246-43.2.178","http://dx.doi.org/10.1657/1938-4246-43.2.178")</f>
        <v>http://dx.doi.org/10.1657/1938-4246-43.2.178</v>
      </c>
      <c r="BG579" t="s">
        <v>74</v>
      </c>
      <c r="BH579" t="s">
        <v>74</v>
      </c>
      <c r="BI579">
        <v>11</v>
      </c>
      <c r="BJ579" t="s">
        <v>1022</v>
      </c>
      <c r="BK579" t="s">
        <v>100</v>
      </c>
      <c r="BL579" t="s">
        <v>1023</v>
      </c>
      <c r="BM579" t="s">
        <v>10168</v>
      </c>
      <c r="BN579" t="s">
        <v>74</v>
      </c>
      <c r="BO579" t="s">
        <v>1025</v>
      </c>
      <c r="BP579" t="s">
        <v>74</v>
      </c>
      <c r="BQ579" t="s">
        <v>74</v>
      </c>
      <c r="BR579" t="s">
        <v>103</v>
      </c>
      <c r="BS579" t="s">
        <v>10712</v>
      </c>
      <c r="BT579" t="str">
        <f>HYPERLINK("https%3A%2F%2Fwww.webofscience.com%2Fwos%2Fwoscc%2Ffull-record%2FWOS:000291118700002","View Full Record in Web of Science")</f>
        <v>View Full Record in Web of Science</v>
      </c>
    </row>
    <row r="580" spans="1:72" x14ac:dyDescent="0.15">
      <c r="A580" t="s">
        <v>72</v>
      </c>
      <c r="B580" t="s">
        <v>10713</v>
      </c>
      <c r="C580" t="s">
        <v>74</v>
      </c>
      <c r="D580" t="s">
        <v>74</v>
      </c>
      <c r="E580" t="s">
        <v>74</v>
      </c>
      <c r="F580" t="s">
        <v>10714</v>
      </c>
      <c r="G580" t="s">
        <v>74</v>
      </c>
      <c r="H580" t="s">
        <v>74</v>
      </c>
      <c r="I580" t="s">
        <v>10715</v>
      </c>
      <c r="J580" t="s">
        <v>1004</v>
      </c>
      <c r="K580" t="s">
        <v>74</v>
      </c>
      <c r="L580" t="s">
        <v>74</v>
      </c>
      <c r="M580" t="s">
        <v>78</v>
      </c>
      <c r="N580" t="s">
        <v>79</v>
      </c>
      <c r="O580" t="s">
        <v>74</v>
      </c>
      <c r="P580" t="s">
        <v>74</v>
      </c>
      <c r="Q580" t="s">
        <v>74</v>
      </c>
      <c r="R580" t="s">
        <v>74</v>
      </c>
      <c r="S580" t="s">
        <v>74</v>
      </c>
      <c r="T580" t="s">
        <v>74</v>
      </c>
      <c r="U580" t="s">
        <v>10716</v>
      </c>
      <c r="V580" t="s">
        <v>10717</v>
      </c>
      <c r="W580" t="s">
        <v>10718</v>
      </c>
      <c r="X580" t="s">
        <v>10719</v>
      </c>
      <c r="Y580" t="s">
        <v>10720</v>
      </c>
      <c r="Z580" t="s">
        <v>10721</v>
      </c>
      <c r="AA580" t="s">
        <v>10722</v>
      </c>
      <c r="AB580" t="s">
        <v>10723</v>
      </c>
      <c r="AC580" t="s">
        <v>10724</v>
      </c>
      <c r="AD580" t="s">
        <v>10725</v>
      </c>
      <c r="AE580" t="s">
        <v>10726</v>
      </c>
      <c r="AF580" t="s">
        <v>74</v>
      </c>
      <c r="AG580">
        <v>55</v>
      </c>
      <c r="AH580">
        <v>45</v>
      </c>
      <c r="AI580">
        <v>48</v>
      </c>
      <c r="AJ580">
        <v>1</v>
      </c>
      <c r="AK580">
        <v>28</v>
      </c>
      <c r="AL580" t="s">
        <v>1014</v>
      </c>
      <c r="AM580" t="s">
        <v>1015</v>
      </c>
      <c r="AN580" t="s">
        <v>1016</v>
      </c>
      <c r="AO580" t="s">
        <v>1017</v>
      </c>
      <c r="AP580" t="s">
        <v>1018</v>
      </c>
      <c r="AQ580" t="s">
        <v>74</v>
      </c>
      <c r="AR580" t="s">
        <v>1019</v>
      </c>
      <c r="AS580" t="s">
        <v>1020</v>
      </c>
      <c r="AT580" t="s">
        <v>9900</v>
      </c>
      <c r="AU580">
        <v>2011</v>
      </c>
      <c r="AV580">
        <v>43</v>
      </c>
      <c r="AW580">
        <v>2</v>
      </c>
      <c r="AX580" t="s">
        <v>74</v>
      </c>
      <c r="AY580" t="s">
        <v>74</v>
      </c>
      <c r="AZ580" t="s">
        <v>74</v>
      </c>
      <c r="BA580" t="s">
        <v>74</v>
      </c>
      <c r="BB580">
        <v>246</v>
      </c>
      <c r="BC580">
        <v>255</v>
      </c>
      <c r="BD580" t="s">
        <v>74</v>
      </c>
      <c r="BE580" t="s">
        <v>10727</v>
      </c>
      <c r="BF580" t="str">
        <f>HYPERLINK("http://dx.doi.org/10.1657/1938-4246-43.2.246","http://dx.doi.org/10.1657/1938-4246-43.2.246")</f>
        <v>http://dx.doi.org/10.1657/1938-4246-43.2.246</v>
      </c>
      <c r="BG580" t="s">
        <v>74</v>
      </c>
      <c r="BH580" t="s">
        <v>74</v>
      </c>
      <c r="BI580">
        <v>10</v>
      </c>
      <c r="BJ580" t="s">
        <v>1022</v>
      </c>
      <c r="BK580" t="s">
        <v>100</v>
      </c>
      <c r="BL580" t="s">
        <v>1023</v>
      </c>
      <c r="BM580" t="s">
        <v>10168</v>
      </c>
      <c r="BN580" t="s">
        <v>74</v>
      </c>
      <c r="BO580" t="s">
        <v>1051</v>
      </c>
      <c r="BP580" t="s">
        <v>74</v>
      </c>
      <c r="BQ580" t="s">
        <v>74</v>
      </c>
      <c r="BR580" t="s">
        <v>103</v>
      </c>
      <c r="BS580" t="s">
        <v>10728</v>
      </c>
      <c r="BT580" t="str">
        <f>HYPERLINK("https%3A%2F%2Fwww.webofscience.com%2Fwos%2Fwoscc%2Ffull-record%2FWOS:000291118700010","View Full Record in Web of Science")</f>
        <v>View Full Record in Web of Science</v>
      </c>
    </row>
    <row r="581" spans="1:72" x14ac:dyDescent="0.15">
      <c r="A581" t="s">
        <v>72</v>
      </c>
      <c r="B581" t="s">
        <v>10729</v>
      </c>
      <c r="C581" t="s">
        <v>74</v>
      </c>
      <c r="D581" t="s">
        <v>74</v>
      </c>
      <c r="E581" t="s">
        <v>74</v>
      </c>
      <c r="F581" t="s">
        <v>10730</v>
      </c>
      <c r="G581" t="s">
        <v>74</v>
      </c>
      <c r="H581" t="s">
        <v>74</v>
      </c>
      <c r="I581" t="s">
        <v>10731</v>
      </c>
      <c r="J581" t="s">
        <v>1004</v>
      </c>
      <c r="K581" t="s">
        <v>74</v>
      </c>
      <c r="L581" t="s">
        <v>74</v>
      </c>
      <c r="M581" t="s">
        <v>78</v>
      </c>
      <c r="N581" t="s">
        <v>79</v>
      </c>
      <c r="O581" t="s">
        <v>74</v>
      </c>
      <c r="P581" t="s">
        <v>74</v>
      </c>
      <c r="Q581" t="s">
        <v>74</v>
      </c>
      <c r="R581" t="s">
        <v>74</v>
      </c>
      <c r="S581" t="s">
        <v>74</v>
      </c>
      <c r="T581" t="s">
        <v>74</v>
      </c>
      <c r="U581" t="s">
        <v>10732</v>
      </c>
      <c r="V581" t="s">
        <v>10733</v>
      </c>
      <c r="W581" t="s">
        <v>10734</v>
      </c>
      <c r="X581" t="s">
        <v>10735</v>
      </c>
      <c r="Y581" t="s">
        <v>10736</v>
      </c>
      <c r="Z581" t="s">
        <v>10737</v>
      </c>
      <c r="AA581" t="s">
        <v>10738</v>
      </c>
      <c r="AB581" t="s">
        <v>10739</v>
      </c>
      <c r="AC581" t="s">
        <v>10740</v>
      </c>
      <c r="AD581" t="s">
        <v>10741</v>
      </c>
      <c r="AE581" t="s">
        <v>10742</v>
      </c>
      <c r="AF581" t="s">
        <v>74</v>
      </c>
      <c r="AG581">
        <v>57</v>
      </c>
      <c r="AH581">
        <v>29</v>
      </c>
      <c r="AI581">
        <v>41</v>
      </c>
      <c r="AJ581">
        <v>0</v>
      </c>
      <c r="AK581">
        <v>39</v>
      </c>
      <c r="AL581" t="s">
        <v>1014</v>
      </c>
      <c r="AM581" t="s">
        <v>1015</v>
      </c>
      <c r="AN581" t="s">
        <v>1016</v>
      </c>
      <c r="AO581" t="s">
        <v>1017</v>
      </c>
      <c r="AP581" t="s">
        <v>1018</v>
      </c>
      <c r="AQ581" t="s">
        <v>74</v>
      </c>
      <c r="AR581" t="s">
        <v>1019</v>
      </c>
      <c r="AS581" t="s">
        <v>1020</v>
      </c>
      <c r="AT581" t="s">
        <v>9900</v>
      </c>
      <c r="AU581">
        <v>2011</v>
      </c>
      <c r="AV581">
        <v>43</v>
      </c>
      <c r="AW581">
        <v>2</v>
      </c>
      <c r="AX581" t="s">
        <v>74</v>
      </c>
      <c r="AY581" t="s">
        <v>74</v>
      </c>
      <c r="AZ581" t="s">
        <v>74</v>
      </c>
      <c r="BA581" t="s">
        <v>74</v>
      </c>
      <c r="BB581">
        <v>256</v>
      </c>
      <c r="BC581">
        <v>266</v>
      </c>
      <c r="BD581" t="s">
        <v>74</v>
      </c>
      <c r="BE581" t="s">
        <v>10743</v>
      </c>
      <c r="BF581" t="str">
        <f>HYPERLINK("http://dx.doi.org/10.1657/1938-4246-43.2.256","http://dx.doi.org/10.1657/1938-4246-43.2.256")</f>
        <v>http://dx.doi.org/10.1657/1938-4246-43.2.256</v>
      </c>
      <c r="BG581" t="s">
        <v>74</v>
      </c>
      <c r="BH581" t="s">
        <v>74</v>
      </c>
      <c r="BI581">
        <v>11</v>
      </c>
      <c r="BJ581" t="s">
        <v>1022</v>
      </c>
      <c r="BK581" t="s">
        <v>100</v>
      </c>
      <c r="BL581" t="s">
        <v>1023</v>
      </c>
      <c r="BM581" t="s">
        <v>10168</v>
      </c>
      <c r="BN581" t="s">
        <v>74</v>
      </c>
      <c r="BO581" t="s">
        <v>1039</v>
      </c>
      <c r="BP581" t="s">
        <v>74</v>
      </c>
      <c r="BQ581" t="s">
        <v>74</v>
      </c>
      <c r="BR581" t="s">
        <v>103</v>
      </c>
      <c r="BS581" t="s">
        <v>10744</v>
      </c>
      <c r="BT581" t="str">
        <f>HYPERLINK("https%3A%2F%2Fwww.webofscience.com%2Fwos%2Fwoscc%2Ffull-record%2FWOS:000291118700011","View Full Record in Web of Science")</f>
        <v>View Full Record in Web of Science</v>
      </c>
    </row>
    <row r="582" spans="1:72" x14ac:dyDescent="0.15">
      <c r="A582" t="s">
        <v>72</v>
      </c>
      <c r="B582" t="s">
        <v>10745</v>
      </c>
      <c r="C582" t="s">
        <v>74</v>
      </c>
      <c r="D582" t="s">
        <v>74</v>
      </c>
      <c r="E582" t="s">
        <v>74</v>
      </c>
      <c r="F582" t="s">
        <v>10746</v>
      </c>
      <c r="G582" t="s">
        <v>74</v>
      </c>
      <c r="H582" t="s">
        <v>74</v>
      </c>
      <c r="I582" t="s">
        <v>10747</v>
      </c>
      <c r="J582" t="s">
        <v>10415</v>
      </c>
      <c r="K582" t="s">
        <v>74</v>
      </c>
      <c r="L582" t="s">
        <v>74</v>
      </c>
      <c r="M582" t="s">
        <v>78</v>
      </c>
      <c r="N582" t="s">
        <v>79</v>
      </c>
      <c r="O582" t="s">
        <v>74</v>
      </c>
      <c r="P582" t="s">
        <v>74</v>
      </c>
      <c r="Q582" t="s">
        <v>74</v>
      </c>
      <c r="R582" t="s">
        <v>74</v>
      </c>
      <c r="S582" t="s">
        <v>74</v>
      </c>
      <c r="T582" t="s">
        <v>10748</v>
      </c>
      <c r="U582" t="s">
        <v>10749</v>
      </c>
      <c r="V582" t="s">
        <v>10750</v>
      </c>
      <c r="W582" t="s">
        <v>10751</v>
      </c>
      <c r="X582" t="s">
        <v>10752</v>
      </c>
      <c r="Y582" t="s">
        <v>10753</v>
      </c>
      <c r="Z582" t="s">
        <v>10754</v>
      </c>
      <c r="AA582" t="s">
        <v>10755</v>
      </c>
      <c r="AB582" t="s">
        <v>74</v>
      </c>
      <c r="AC582" t="s">
        <v>10756</v>
      </c>
      <c r="AD582" t="s">
        <v>10757</v>
      </c>
      <c r="AE582" t="s">
        <v>10758</v>
      </c>
      <c r="AF582" t="s">
        <v>74</v>
      </c>
      <c r="AG582">
        <v>69</v>
      </c>
      <c r="AH582">
        <v>22</v>
      </c>
      <c r="AI582">
        <v>27</v>
      </c>
      <c r="AJ582">
        <v>0</v>
      </c>
      <c r="AK582">
        <v>20</v>
      </c>
      <c r="AL582" t="s">
        <v>10428</v>
      </c>
      <c r="AM582" t="s">
        <v>10429</v>
      </c>
      <c r="AN582" t="s">
        <v>10430</v>
      </c>
      <c r="AO582" t="s">
        <v>10431</v>
      </c>
      <c r="AP582" t="s">
        <v>10432</v>
      </c>
      <c r="AQ582" t="s">
        <v>74</v>
      </c>
      <c r="AR582" t="s">
        <v>10415</v>
      </c>
      <c r="AS582" t="s">
        <v>10433</v>
      </c>
      <c r="AT582" t="s">
        <v>9900</v>
      </c>
      <c r="AU582">
        <v>2011</v>
      </c>
      <c r="AV582">
        <v>11</v>
      </c>
      <c r="AW582">
        <v>4</v>
      </c>
      <c r="AX582" t="s">
        <v>74</v>
      </c>
      <c r="AY582" t="s">
        <v>74</v>
      </c>
      <c r="AZ582" t="s">
        <v>74</v>
      </c>
      <c r="BA582" t="s">
        <v>74</v>
      </c>
      <c r="BB582">
        <v>323</v>
      </c>
      <c r="BC582">
        <v>334</v>
      </c>
      <c r="BD582" t="s">
        <v>74</v>
      </c>
      <c r="BE582" t="s">
        <v>10759</v>
      </c>
      <c r="BF582" t="str">
        <f>HYPERLINK("http://dx.doi.org/10.1089/ast.2010.0573","http://dx.doi.org/10.1089/ast.2010.0573")</f>
        <v>http://dx.doi.org/10.1089/ast.2010.0573</v>
      </c>
      <c r="BG582" t="s">
        <v>74</v>
      </c>
      <c r="BH582" t="s">
        <v>74</v>
      </c>
      <c r="BI582">
        <v>12</v>
      </c>
      <c r="BJ582" t="s">
        <v>10435</v>
      </c>
      <c r="BK582" t="s">
        <v>100</v>
      </c>
      <c r="BL582" t="s">
        <v>10436</v>
      </c>
      <c r="BM582" t="s">
        <v>10437</v>
      </c>
      <c r="BN582">
        <v>21563959</v>
      </c>
      <c r="BO582" t="s">
        <v>74</v>
      </c>
      <c r="BP582" t="s">
        <v>74</v>
      </c>
      <c r="BQ582" t="s">
        <v>74</v>
      </c>
      <c r="BR582" t="s">
        <v>103</v>
      </c>
      <c r="BS582" t="s">
        <v>10760</v>
      </c>
      <c r="BT582" t="str">
        <f>HYPERLINK("https%3A%2F%2Fwww.webofscience.com%2Fwos%2Fwoscc%2Ffull-record%2FWOS:000290783000005","View Full Record in Web of Science")</f>
        <v>View Full Record in Web of Science</v>
      </c>
    </row>
    <row r="583" spans="1:72" x14ac:dyDescent="0.15">
      <c r="A583" t="s">
        <v>72</v>
      </c>
      <c r="B583" t="s">
        <v>10761</v>
      </c>
      <c r="C583" t="s">
        <v>74</v>
      </c>
      <c r="D583" t="s">
        <v>74</v>
      </c>
      <c r="E583" t="s">
        <v>74</v>
      </c>
      <c r="F583" t="s">
        <v>10762</v>
      </c>
      <c r="G583" t="s">
        <v>74</v>
      </c>
      <c r="H583" t="s">
        <v>74</v>
      </c>
      <c r="I583" t="s">
        <v>10763</v>
      </c>
      <c r="J583" t="s">
        <v>10764</v>
      </c>
      <c r="K583" t="s">
        <v>74</v>
      </c>
      <c r="L583" t="s">
        <v>74</v>
      </c>
      <c r="M583" t="s">
        <v>78</v>
      </c>
      <c r="N583" t="s">
        <v>79</v>
      </c>
      <c r="O583" t="s">
        <v>74</v>
      </c>
      <c r="P583" t="s">
        <v>74</v>
      </c>
      <c r="Q583" t="s">
        <v>74</v>
      </c>
      <c r="R583" t="s">
        <v>74</v>
      </c>
      <c r="S583" t="s">
        <v>74</v>
      </c>
      <c r="T583" t="s">
        <v>10765</v>
      </c>
      <c r="U583" t="s">
        <v>10766</v>
      </c>
      <c r="V583" t="s">
        <v>10767</v>
      </c>
      <c r="W583" t="s">
        <v>10768</v>
      </c>
      <c r="X583" t="s">
        <v>10769</v>
      </c>
      <c r="Y583" t="s">
        <v>10770</v>
      </c>
      <c r="Z583" t="s">
        <v>10771</v>
      </c>
      <c r="AA583" t="s">
        <v>10772</v>
      </c>
      <c r="AB583" t="s">
        <v>10773</v>
      </c>
      <c r="AC583" t="s">
        <v>10774</v>
      </c>
      <c r="AD583" t="s">
        <v>10775</v>
      </c>
      <c r="AE583" t="s">
        <v>74</v>
      </c>
      <c r="AF583" t="s">
        <v>74</v>
      </c>
      <c r="AG583">
        <v>51</v>
      </c>
      <c r="AH583">
        <v>36</v>
      </c>
      <c r="AI583">
        <v>37</v>
      </c>
      <c r="AJ583">
        <v>0</v>
      </c>
      <c r="AK583">
        <v>48</v>
      </c>
      <c r="AL583" t="s">
        <v>507</v>
      </c>
      <c r="AM583" t="s">
        <v>508</v>
      </c>
      <c r="AN583" t="s">
        <v>509</v>
      </c>
      <c r="AO583" t="s">
        <v>10776</v>
      </c>
      <c r="AP583" t="s">
        <v>10777</v>
      </c>
      <c r="AQ583" t="s">
        <v>74</v>
      </c>
      <c r="AR583" t="s">
        <v>10778</v>
      </c>
      <c r="AS583" t="s">
        <v>10779</v>
      </c>
      <c r="AT583" t="s">
        <v>9900</v>
      </c>
      <c r="AU583">
        <v>2011</v>
      </c>
      <c r="AV583">
        <v>144</v>
      </c>
      <c r="AW583">
        <v>5</v>
      </c>
      <c r="AX583" t="s">
        <v>74</v>
      </c>
      <c r="AY583" t="s">
        <v>74</v>
      </c>
      <c r="AZ583" t="s">
        <v>74</v>
      </c>
      <c r="BA583" t="s">
        <v>74</v>
      </c>
      <c r="BB583">
        <v>1682</v>
      </c>
      <c r="BC583">
        <v>1689</v>
      </c>
      <c r="BD583" t="s">
        <v>74</v>
      </c>
      <c r="BE583" t="s">
        <v>10780</v>
      </c>
      <c r="BF583" t="str">
        <f>HYPERLINK("http://dx.doi.org/10.1016/j.biocon.2011.03.001","http://dx.doi.org/10.1016/j.biocon.2011.03.001")</f>
        <v>http://dx.doi.org/10.1016/j.biocon.2011.03.001</v>
      </c>
      <c r="BG583" t="s">
        <v>74</v>
      </c>
      <c r="BH583" t="s">
        <v>74</v>
      </c>
      <c r="BI583">
        <v>8</v>
      </c>
      <c r="BJ583" t="s">
        <v>8455</v>
      </c>
      <c r="BK583" t="s">
        <v>100</v>
      </c>
      <c r="BL583" t="s">
        <v>1909</v>
      </c>
      <c r="BM583" t="s">
        <v>10781</v>
      </c>
      <c r="BN583" t="s">
        <v>74</v>
      </c>
      <c r="BO583" t="s">
        <v>74</v>
      </c>
      <c r="BP583" t="s">
        <v>74</v>
      </c>
      <c r="BQ583" t="s">
        <v>74</v>
      </c>
      <c r="BR583" t="s">
        <v>103</v>
      </c>
      <c r="BS583" t="s">
        <v>10782</v>
      </c>
      <c r="BT583" t="str">
        <f>HYPERLINK("https%3A%2F%2Fwww.webofscience.com%2Fwos%2Fwoscc%2Ffull-record%2FWOS:000292668200052","View Full Record in Web of Science")</f>
        <v>View Full Record in Web of Science</v>
      </c>
    </row>
    <row r="584" spans="1:72" x14ac:dyDescent="0.15">
      <c r="A584" t="s">
        <v>72</v>
      </c>
      <c r="B584" t="s">
        <v>10783</v>
      </c>
      <c r="C584" t="s">
        <v>74</v>
      </c>
      <c r="D584" t="s">
        <v>74</v>
      </c>
      <c r="E584" t="s">
        <v>74</v>
      </c>
      <c r="F584" t="s">
        <v>10784</v>
      </c>
      <c r="G584" t="s">
        <v>74</v>
      </c>
      <c r="H584" t="s">
        <v>74</v>
      </c>
      <c r="I584" t="s">
        <v>10785</v>
      </c>
      <c r="J584" t="s">
        <v>10786</v>
      </c>
      <c r="K584" t="s">
        <v>74</v>
      </c>
      <c r="L584" t="s">
        <v>74</v>
      </c>
      <c r="M584" t="s">
        <v>78</v>
      </c>
      <c r="N584" t="s">
        <v>79</v>
      </c>
      <c r="O584" t="s">
        <v>74</v>
      </c>
      <c r="P584" t="s">
        <v>74</v>
      </c>
      <c r="Q584" t="s">
        <v>74</v>
      </c>
      <c r="R584" t="s">
        <v>74</v>
      </c>
      <c r="S584" t="s">
        <v>74</v>
      </c>
      <c r="T584" t="s">
        <v>10787</v>
      </c>
      <c r="U584" t="s">
        <v>10788</v>
      </c>
      <c r="V584" t="s">
        <v>10789</v>
      </c>
      <c r="W584" t="s">
        <v>10790</v>
      </c>
      <c r="X584" t="s">
        <v>10791</v>
      </c>
      <c r="Y584" t="s">
        <v>10792</v>
      </c>
      <c r="Z584" t="s">
        <v>10793</v>
      </c>
      <c r="AA584" t="s">
        <v>10794</v>
      </c>
      <c r="AB584" t="s">
        <v>10795</v>
      </c>
      <c r="AC584" t="s">
        <v>10796</v>
      </c>
      <c r="AD584" t="s">
        <v>10797</v>
      </c>
      <c r="AE584" t="s">
        <v>10798</v>
      </c>
      <c r="AF584" t="s">
        <v>74</v>
      </c>
      <c r="AG584">
        <v>103</v>
      </c>
      <c r="AH584">
        <v>90</v>
      </c>
      <c r="AI584">
        <v>93</v>
      </c>
      <c r="AJ584">
        <v>1</v>
      </c>
      <c r="AK584">
        <v>78</v>
      </c>
      <c r="AL584" t="s">
        <v>1441</v>
      </c>
      <c r="AM584" t="s">
        <v>1442</v>
      </c>
      <c r="AN584" t="s">
        <v>1443</v>
      </c>
      <c r="AO584" t="s">
        <v>10799</v>
      </c>
      <c r="AP584" t="s">
        <v>10800</v>
      </c>
      <c r="AQ584" t="s">
        <v>74</v>
      </c>
      <c r="AR584" t="s">
        <v>10801</v>
      </c>
      <c r="AS584" t="s">
        <v>10802</v>
      </c>
      <c r="AT584" t="s">
        <v>9900</v>
      </c>
      <c r="AU584">
        <v>2011</v>
      </c>
      <c r="AV584">
        <v>13</v>
      </c>
      <c r="AW584">
        <v>5</v>
      </c>
      <c r="AX584" t="s">
        <v>74</v>
      </c>
      <c r="AY584" t="s">
        <v>74</v>
      </c>
      <c r="AZ584" t="s">
        <v>864</v>
      </c>
      <c r="BA584" t="s">
        <v>74</v>
      </c>
      <c r="BB584">
        <v>1195</v>
      </c>
      <c r="BC584">
        <v>1208</v>
      </c>
      <c r="BD584" t="s">
        <v>74</v>
      </c>
      <c r="BE584" t="s">
        <v>10803</v>
      </c>
      <c r="BF584" t="str">
        <f>HYPERLINK("http://dx.doi.org/10.1007/s10530-011-9946-5","http://dx.doi.org/10.1007/s10530-011-9946-5")</f>
        <v>http://dx.doi.org/10.1007/s10530-011-9946-5</v>
      </c>
      <c r="BG584" t="s">
        <v>74</v>
      </c>
      <c r="BH584" t="s">
        <v>74</v>
      </c>
      <c r="BI584">
        <v>14</v>
      </c>
      <c r="BJ584" t="s">
        <v>1908</v>
      </c>
      <c r="BK584" t="s">
        <v>100</v>
      </c>
      <c r="BL584" t="s">
        <v>1909</v>
      </c>
      <c r="BM584" t="s">
        <v>10804</v>
      </c>
      <c r="BN584" t="s">
        <v>74</v>
      </c>
      <c r="BO584" t="s">
        <v>74</v>
      </c>
      <c r="BP584" t="s">
        <v>74</v>
      </c>
      <c r="BQ584" t="s">
        <v>74</v>
      </c>
      <c r="BR584" t="s">
        <v>103</v>
      </c>
      <c r="BS584" t="s">
        <v>10805</v>
      </c>
      <c r="BT584" t="str">
        <f>HYPERLINK("https%3A%2F%2Fwww.webofscience.com%2Fwos%2Fwoscc%2Ffull-record%2FWOS:000289560000011","View Full Record in Web of Science")</f>
        <v>View Full Record in Web of Science</v>
      </c>
    </row>
    <row r="585" spans="1:72" x14ac:dyDescent="0.15">
      <c r="A585" t="s">
        <v>72</v>
      </c>
      <c r="B585" t="s">
        <v>9945</v>
      </c>
      <c r="C585" t="s">
        <v>74</v>
      </c>
      <c r="D585" t="s">
        <v>74</v>
      </c>
      <c r="E585" t="s">
        <v>74</v>
      </c>
      <c r="F585" t="s">
        <v>9946</v>
      </c>
      <c r="G585" t="s">
        <v>74</v>
      </c>
      <c r="H585" t="s">
        <v>74</v>
      </c>
      <c r="I585" t="s">
        <v>9947</v>
      </c>
      <c r="J585" t="s">
        <v>4878</v>
      </c>
      <c r="K585" t="s">
        <v>74</v>
      </c>
      <c r="L585" t="s">
        <v>74</v>
      </c>
      <c r="M585" t="s">
        <v>4879</v>
      </c>
      <c r="N585" t="s">
        <v>79</v>
      </c>
      <c r="O585" t="s">
        <v>74</v>
      </c>
      <c r="P585" t="s">
        <v>74</v>
      </c>
      <c r="Q585" t="s">
        <v>74</v>
      </c>
      <c r="R585" t="s">
        <v>74</v>
      </c>
      <c r="S585" t="s">
        <v>74</v>
      </c>
      <c r="T585" t="s">
        <v>74</v>
      </c>
      <c r="U585" t="s">
        <v>74</v>
      </c>
      <c r="V585" t="s">
        <v>10806</v>
      </c>
      <c r="W585" t="s">
        <v>10807</v>
      </c>
      <c r="X585" t="s">
        <v>4079</v>
      </c>
      <c r="Y585" t="s">
        <v>10808</v>
      </c>
      <c r="Z585" t="s">
        <v>4081</v>
      </c>
      <c r="AA585" t="s">
        <v>4082</v>
      </c>
      <c r="AB585" t="s">
        <v>74</v>
      </c>
      <c r="AC585" t="s">
        <v>74</v>
      </c>
      <c r="AD585" t="s">
        <v>74</v>
      </c>
      <c r="AE585" t="s">
        <v>74</v>
      </c>
      <c r="AF585" t="s">
        <v>74</v>
      </c>
      <c r="AG585">
        <v>26</v>
      </c>
      <c r="AH585">
        <v>1</v>
      </c>
      <c r="AI585">
        <v>1</v>
      </c>
      <c r="AJ585">
        <v>0</v>
      </c>
      <c r="AK585">
        <v>3</v>
      </c>
      <c r="AL585" t="s">
        <v>4883</v>
      </c>
      <c r="AM585" t="s">
        <v>4221</v>
      </c>
      <c r="AN585" t="s">
        <v>4884</v>
      </c>
      <c r="AO585" t="s">
        <v>4885</v>
      </c>
      <c r="AP585" t="s">
        <v>4083</v>
      </c>
      <c r="AQ585" t="s">
        <v>74</v>
      </c>
      <c r="AR585" t="s">
        <v>4886</v>
      </c>
      <c r="AS585" t="s">
        <v>4887</v>
      </c>
      <c r="AT585" t="s">
        <v>10385</v>
      </c>
      <c r="AU585">
        <v>2011</v>
      </c>
      <c r="AV585">
        <v>37</v>
      </c>
      <c r="AW585">
        <v>3</v>
      </c>
      <c r="AX585" t="s">
        <v>74</v>
      </c>
      <c r="AY585" t="s">
        <v>74</v>
      </c>
      <c r="AZ585" t="s">
        <v>74</v>
      </c>
      <c r="BA585" t="s">
        <v>74</v>
      </c>
      <c r="BB585">
        <v>157</v>
      </c>
      <c r="BC585">
        <v>167</v>
      </c>
      <c r="BD585" t="s">
        <v>74</v>
      </c>
      <c r="BE585" t="s">
        <v>74</v>
      </c>
      <c r="BF585" t="s">
        <v>74</v>
      </c>
      <c r="BG585" t="s">
        <v>74</v>
      </c>
      <c r="BH585" t="s">
        <v>74</v>
      </c>
      <c r="BI585">
        <v>11</v>
      </c>
      <c r="BJ585" t="s">
        <v>700</v>
      </c>
      <c r="BK585" t="s">
        <v>100</v>
      </c>
      <c r="BL585" t="s">
        <v>700</v>
      </c>
      <c r="BM585" t="s">
        <v>10809</v>
      </c>
      <c r="BN585" t="s">
        <v>74</v>
      </c>
      <c r="BO585" t="s">
        <v>74</v>
      </c>
      <c r="BP585" t="s">
        <v>74</v>
      </c>
      <c r="BQ585" t="s">
        <v>74</v>
      </c>
      <c r="BR585" t="s">
        <v>103</v>
      </c>
      <c r="BS585" t="s">
        <v>10810</v>
      </c>
      <c r="BT585" t="str">
        <f>HYPERLINK("https%3A%2F%2Fwww.webofscience.com%2Fwos%2Fwoscc%2Ffull-record%2FWOS:000209676000001","View Full Record in Web of Science")</f>
        <v>View Full Record in Web of Science</v>
      </c>
    </row>
    <row r="586" spans="1:72" x14ac:dyDescent="0.15">
      <c r="A586" t="s">
        <v>72</v>
      </c>
      <c r="B586" t="s">
        <v>10811</v>
      </c>
      <c r="C586" t="s">
        <v>74</v>
      </c>
      <c r="D586" t="s">
        <v>74</v>
      </c>
      <c r="E586" t="s">
        <v>74</v>
      </c>
      <c r="F586" t="s">
        <v>10812</v>
      </c>
      <c r="G586" t="s">
        <v>74</v>
      </c>
      <c r="H586" t="s">
        <v>74</v>
      </c>
      <c r="I586" t="s">
        <v>10813</v>
      </c>
      <c r="J586" t="s">
        <v>8343</v>
      </c>
      <c r="K586" t="s">
        <v>74</v>
      </c>
      <c r="L586" t="s">
        <v>74</v>
      </c>
      <c r="M586" t="s">
        <v>78</v>
      </c>
      <c r="N586" t="s">
        <v>2002</v>
      </c>
      <c r="O586" t="s">
        <v>74</v>
      </c>
      <c r="P586" t="s">
        <v>74</v>
      </c>
      <c r="Q586" t="s">
        <v>74</v>
      </c>
      <c r="R586" t="s">
        <v>74</v>
      </c>
      <c r="S586" t="s">
        <v>74</v>
      </c>
      <c r="T586" t="s">
        <v>74</v>
      </c>
      <c r="U586" t="s">
        <v>10814</v>
      </c>
      <c r="V586" t="s">
        <v>74</v>
      </c>
      <c r="W586" t="s">
        <v>10815</v>
      </c>
      <c r="X586" t="s">
        <v>10816</v>
      </c>
      <c r="Y586" t="s">
        <v>10817</v>
      </c>
      <c r="Z586" t="s">
        <v>10818</v>
      </c>
      <c r="AA586" t="s">
        <v>10819</v>
      </c>
      <c r="AB586" t="s">
        <v>10820</v>
      </c>
      <c r="AC586" t="s">
        <v>10821</v>
      </c>
      <c r="AD586" t="s">
        <v>10822</v>
      </c>
      <c r="AE586" t="s">
        <v>74</v>
      </c>
      <c r="AF586" t="s">
        <v>74</v>
      </c>
      <c r="AG586">
        <v>20</v>
      </c>
      <c r="AH586">
        <v>75</v>
      </c>
      <c r="AI586">
        <v>86</v>
      </c>
      <c r="AJ586">
        <v>1</v>
      </c>
      <c r="AK586">
        <v>35</v>
      </c>
      <c r="AL586" t="s">
        <v>1275</v>
      </c>
      <c r="AM586" t="s">
        <v>1276</v>
      </c>
      <c r="AN586" t="s">
        <v>1277</v>
      </c>
      <c r="AO586" t="s">
        <v>8354</v>
      </c>
      <c r="AP586" t="s">
        <v>8355</v>
      </c>
      <c r="AQ586" t="s">
        <v>74</v>
      </c>
      <c r="AR586" t="s">
        <v>8356</v>
      </c>
      <c r="AS586" t="s">
        <v>8357</v>
      </c>
      <c r="AT586" t="s">
        <v>9900</v>
      </c>
      <c r="AU586">
        <v>2011</v>
      </c>
      <c r="AV586">
        <v>92</v>
      </c>
      <c r="AW586">
        <v>5</v>
      </c>
      <c r="AX586" t="s">
        <v>74</v>
      </c>
      <c r="AY586" t="s">
        <v>74</v>
      </c>
      <c r="AZ586" t="s">
        <v>74</v>
      </c>
      <c r="BA586" t="s">
        <v>74</v>
      </c>
      <c r="BB586">
        <v>561</v>
      </c>
      <c r="BC586">
        <v>566</v>
      </c>
      <c r="BD586" t="s">
        <v>74</v>
      </c>
      <c r="BE586" t="s">
        <v>10823</v>
      </c>
      <c r="BF586" t="str">
        <f>HYPERLINK("http://dx.doi.org/10.1175/2010BAMS2921.1","http://dx.doi.org/10.1175/2010BAMS2921.1")</f>
        <v>http://dx.doi.org/10.1175/2010BAMS2921.1</v>
      </c>
      <c r="BG586" t="s">
        <v>74</v>
      </c>
      <c r="BH586" t="s">
        <v>74</v>
      </c>
      <c r="BI586">
        <v>6</v>
      </c>
      <c r="BJ586" t="s">
        <v>248</v>
      </c>
      <c r="BK586" t="s">
        <v>100</v>
      </c>
      <c r="BL586" t="s">
        <v>248</v>
      </c>
      <c r="BM586" t="s">
        <v>10824</v>
      </c>
      <c r="BN586" t="s">
        <v>74</v>
      </c>
      <c r="BO586" t="s">
        <v>6768</v>
      </c>
      <c r="BP586" t="s">
        <v>74</v>
      </c>
      <c r="BQ586" t="s">
        <v>74</v>
      </c>
      <c r="BR586" t="s">
        <v>103</v>
      </c>
      <c r="BS586" t="s">
        <v>10825</v>
      </c>
      <c r="BT586" t="str">
        <f>HYPERLINK("https%3A%2F%2Fwww.webofscience.com%2Fwos%2Fwoscc%2Ffull-record%2FWOS:000291972700001","View Full Record in Web of Science")</f>
        <v>View Full Record in Web of Science</v>
      </c>
    </row>
    <row r="587" spans="1:72" x14ac:dyDescent="0.15">
      <c r="A587" t="s">
        <v>72</v>
      </c>
      <c r="B587" t="s">
        <v>10826</v>
      </c>
      <c r="C587" t="s">
        <v>74</v>
      </c>
      <c r="D587" t="s">
        <v>74</v>
      </c>
      <c r="E587" t="s">
        <v>74</v>
      </c>
      <c r="F587" t="s">
        <v>10827</v>
      </c>
      <c r="G587" t="s">
        <v>74</v>
      </c>
      <c r="H587" t="s">
        <v>74</v>
      </c>
      <c r="I587" t="s">
        <v>10828</v>
      </c>
      <c r="J587" t="s">
        <v>10829</v>
      </c>
      <c r="K587" t="s">
        <v>74</v>
      </c>
      <c r="L587" t="s">
        <v>74</v>
      </c>
      <c r="M587" t="s">
        <v>78</v>
      </c>
      <c r="N587" t="s">
        <v>278</v>
      </c>
      <c r="O587" t="s">
        <v>74</v>
      </c>
      <c r="P587" t="s">
        <v>74</v>
      </c>
      <c r="Q587" t="s">
        <v>74</v>
      </c>
      <c r="R587" t="s">
        <v>74</v>
      </c>
      <c r="S587" t="s">
        <v>74</v>
      </c>
      <c r="T587" t="s">
        <v>74</v>
      </c>
      <c r="U587" t="s">
        <v>10830</v>
      </c>
      <c r="V587" t="s">
        <v>10831</v>
      </c>
      <c r="W587" t="s">
        <v>10832</v>
      </c>
      <c r="X587" t="s">
        <v>10833</v>
      </c>
      <c r="Y587" t="s">
        <v>10834</v>
      </c>
      <c r="Z587" t="s">
        <v>10835</v>
      </c>
      <c r="AA587" t="s">
        <v>10836</v>
      </c>
      <c r="AB587" t="s">
        <v>10837</v>
      </c>
      <c r="AC587" t="s">
        <v>10838</v>
      </c>
      <c r="AD587" t="s">
        <v>10839</v>
      </c>
      <c r="AE587" t="s">
        <v>10840</v>
      </c>
      <c r="AF587" t="s">
        <v>74</v>
      </c>
      <c r="AG587">
        <v>225</v>
      </c>
      <c r="AH587">
        <v>89</v>
      </c>
      <c r="AI587">
        <v>94</v>
      </c>
      <c r="AJ587">
        <v>1</v>
      </c>
      <c r="AK587">
        <v>46</v>
      </c>
      <c r="AL587" t="s">
        <v>4329</v>
      </c>
      <c r="AM587" t="s">
        <v>4330</v>
      </c>
      <c r="AN587" t="s">
        <v>4331</v>
      </c>
      <c r="AO587" t="s">
        <v>10841</v>
      </c>
      <c r="AP587" t="s">
        <v>10842</v>
      </c>
      <c r="AQ587" t="s">
        <v>74</v>
      </c>
      <c r="AR587" t="s">
        <v>10843</v>
      </c>
      <c r="AS587" t="s">
        <v>10844</v>
      </c>
      <c r="AT587" t="s">
        <v>9900</v>
      </c>
      <c r="AU587">
        <v>2011</v>
      </c>
      <c r="AV587">
        <v>8</v>
      </c>
      <c r="AW587">
        <v>5</v>
      </c>
      <c r="AX587" t="s">
        <v>74</v>
      </c>
      <c r="AY587" t="s">
        <v>74</v>
      </c>
      <c r="AZ587" t="s">
        <v>74</v>
      </c>
      <c r="BA587" t="s">
        <v>74</v>
      </c>
      <c r="BB587">
        <v>740</v>
      </c>
      <c r="BC587">
        <v>791</v>
      </c>
      <c r="BD587" t="s">
        <v>74</v>
      </c>
      <c r="BE587" t="s">
        <v>10845</v>
      </c>
      <c r="BF587" t="str">
        <f>HYPERLINK("http://dx.doi.org/10.1002/cbdv.200900344","http://dx.doi.org/10.1002/cbdv.200900344")</f>
        <v>http://dx.doi.org/10.1002/cbdv.200900344</v>
      </c>
      <c r="BG587" t="s">
        <v>74</v>
      </c>
      <c r="BH587" t="s">
        <v>74</v>
      </c>
      <c r="BI587">
        <v>52</v>
      </c>
      <c r="BJ587" t="s">
        <v>10846</v>
      </c>
      <c r="BK587" t="s">
        <v>100</v>
      </c>
      <c r="BL587" t="s">
        <v>3927</v>
      </c>
      <c r="BM587" t="s">
        <v>10847</v>
      </c>
      <c r="BN587">
        <v>21560228</v>
      </c>
      <c r="BO587" t="s">
        <v>74</v>
      </c>
      <c r="BP587" t="s">
        <v>74</v>
      </c>
      <c r="BQ587" t="s">
        <v>74</v>
      </c>
      <c r="BR587" t="s">
        <v>103</v>
      </c>
      <c r="BS587" t="s">
        <v>10848</v>
      </c>
      <c r="BT587" t="str">
        <f>HYPERLINK("https%3A%2F%2Fwww.webofscience.com%2Fwos%2Fwoscc%2Ffull-record%2FWOS:000290456600002","View Full Record in Web of Science")</f>
        <v>View Full Record in Web of Science</v>
      </c>
    </row>
    <row r="588" spans="1:72" x14ac:dyDescent="0.15">
      <c r="A588" t="s">
        <v>72</v>
      </c>
      <c r="B588" t="s">
        <v>10849</v>
      </c>
      <c r="C588" t="s">
        <v>74</v>
      </c>
      <c r="D588" t="s">
        <v>74</v>
      </c>
      <c r="E588" t="s">
        <v>74</v>
      </c>
      <c r="F588" t="s">
        <v>10850</v>
      </c>
      <c r="G588" t="s">
        <v>74</v>
      </c>
      <c r="H588" t="s">
        <v>74</v>
      </c>
      <c r="I588" t="s">
        <v>10851</v>
      </c>
      <c r="J588" t="s">
        <v>10852</v>
      </c>
      <c r="K588" t="s">
        <v>74</v>
      </c>
      <c r="L588" t="s">
        <v>74</v>
      </c>
      <c r="M588" t="s">
        <v>78</v>
      </c>
      <c r="N588" t="s">
        <v>79</v>
      </c>
      <c r="O588" t="s">
        <v>74</v>
      </c>
      <c r="P588" t="s">
        <v>74</v>
      </c>
      <c r="Q588" t="s">
        <v>74</v>
      </c>
      <c r="R588" t="s">
        <v>74</v>
      </c>
      <c r="S588" t="s">
        <v>74</v>
      </c>
      <c r="T588" t="s">
        <v>74</v>
      </c>
      <c r="U588" t="s">
        <v>10853</v>
      </c>
      <c r="V588" t="s">
        <v>10854</v>
      </c>
      <c r="W588" t="s">
        <v>10855</v>
      </c>
      <c r="X588" t="s">
        <v>10856</v>
      </c>
      <c r="Y588" t="s">
        <v>10857</v>
      </c>
      <c r="Z588" t="s">
        <v>10858</v>
      </c>
      <c r="AA588" t="s">
        <v>10859</v>
      </c>
      <c r="AB588" t="s">
        <v>10860</v>
      </c>
      <c r="AC588" t="s">
        <v>10861</v>
      </c>
      <c r="AD588" t="s">
        <v>10862</v>
      </c>
      <c r="AE588" t="s">
        <v>74</v>
      </c>
      <c r="AF588" t="s">
        <v>74</v>
      </c>
      <c r="AG588">
        <v>53</v>
      </c>
      <c r="AH588">
        <v>151</v>
      </c>
      <c r="AI588">
        <v>177</v>
      </c>
      <c r="AJ588">
        <v>2</v>
      </c>
      <c r="AK588">
        <v>105</v>
      </c>
      <c r="AL588" t="s">
        <v>1441</v>
      </c>
      <c r="AM588" t="s">
        <v>1442</v>
      </c>
      <c r="AN588" t="s">
        <v>1443</v>
      </c>
      <c r="AO588" t="s">
        <v>10863</v>
      </c>
      <c r="AP588" t="s">
        <v>10864</v>
      </c>
      <c r="AQ588" t="s">
        <v>74</v>
      </c>
      <c r="AR588" t="s">
        <v>10852</v>
      </c>
      <c r="AS588" t="s">
        <v>10865</v>
      </c>
      <c r="AT588" t="s">
        <v>9900</v>
      </c>
      <c r="AU588">
        <v>2011</v>
      </c>
      <c r="AV588">
        <v>106</v>
      </c>
      <c r="AW588">
        <v>1</v>
      </c>
      <c r="AX588" t="s">
        <v>74</v>
      </c>
      <c r="AY588" t="s">
        <v>74</v>
      </c>
      <c r="AZ588" t="s">
        <v>864</v>
      </c>
      <c r="BA588" t="s">
        <v>74</v>
      </c>
      <c r="BB588">
        <v>93</v>
      </c>
      <c r="BC588">
        <v>127</v>
      </c>
      <c r="BD588" t="s">
        <v>74</v>
      </c>
      <c r="BE588" t="s">
        <v>10866</v>
      </c>
      <c r="BF588" t="str">
        <f>HYPERLINK("http://dx.doi.org/10.1007/s10584-010-0002-8","http://dx.doi.org/10.1007/s10584-010-0002-8")</f>
        <v>http://dx.doi.org/10.1007/s10584-010-0002-8</v>
      </c>
      <c r="BG588" t="s">
        <v>74</v>
      </c>
      <c r="BH588" t="s">
        <v>74</v>
      </c>
      <c r="BI588">
        <v>35</v>
      </c>
      <c r="BJ588" t="s">
        <v>4453</v>
      </c>
      <c r="BK588" t="s">
        <v>100</v>
      </c>
      <c r="BL588" t="s">
        <v>4454</v>
      </c>
      <c r="BM588" t="s">
        <v>10867</v>
      </c>
      <c r="BN588" t="s">
        <v>74</v>
      </c>
      <c r="BO588" t="s">
        <v>1025</v>
      </c>
      <c r="BP588" t="s">
        <v>74</v>
      </c>
      <c r="BQ588" t="s">
        <v>74</v>
      </c>
      <c r="BR588" t="s">
        <v>103</v>
      </c>
      <c r="BS588" t="s">
        <v>10868</v>
      </c>
      <c r="BT588" t="str">
        <f>HYPERLINK("https%3A%2F%2Fwww.webofscience.com%2Fwos%2Fwoscc%2Ffull-record%2FWOS:000289298900006","View Full Record in Web of Science")</f>
        <v>View Full Record in Web of Science</v>
      </c>
    </row>
    <row r="589" spans="1:72" x14ac:dyDescent="0.15">
      <c r="A589" t="s">
        <v>72</v>
      </c>
      <c r="B589" t="s">
        <v>10869</v>
      </c>
      <c r="C589" t="s">
        <v>74</v>
      </c>
      <c r="D589" t="s">
        <v>74</v>
      </c>
      <c r="E589" t="s">
        <v>74</v>
      </c>
      <c r="F589" t="s">
        <v>10870</v>
      </c>
      <c r="G589" t="s">
        <v>74</v>
      </c>
      <c r="H589" t="s">
        <v>74</v>
      </c>
      <c r="I589" t="s">
        <v>10871</v>
      </c>
      <c r="J589" t="s">
        <v>2207</v>
      </c>
      <c r="K589" t="s">
        <v>74</v>
      </c>
      <c r="L589" t="s">
        <v>74</v>
      </c>
      <c r="M589" t="s">
        <v>78</v>
      </c>
      <c r="N589" t="s">
        <v>79</v>
      </c>
      <c r="O589" t="s">
        <v>74</v>
      </c>
      <c r="P589" t="s">
        <v>74</v>
      </c>
      <c r="Q589" t="s">
        <v>74</v>
      </c>
      <c r="R589" t="s">
        <v>74</v>
      </c>
      <c r="S589" t="s">
        <v>74</v>
      </c>
      <c r="T589" t="s">
        <v>10872</v>
      </c>
      <c r="U589" t="s">
        <v>10873</v>
      </c>
      <c r="V589" t="s">
        <v>10874</v>
      </c>
      <c r="W589" t="s">
        <v>10875</v>
      </c>
      <c r="X589" t="s">
        <v>10876</v>
      </c>
      <c r="Y589" t="s">
        <v>10877</v>
      </c>
      <c r="Z589" t="s">
        <v>10878</v>
      </c>
      <c r="AA589" t="s">
        <v>10879</v>
      </c>
      <c r="AB589" t="s">
        <v>10880</v>
      </c>
      <c r="AC589" t="s">
        <v>10881</v>
      </c>
      <c r="AD589" t="s">
        <v>10882</v>
      </c>
      <c r="AE589" t="s">
        <v>10883</v>
      </c>
      <c r="AF589" t="s">
        <v>74</v>
      </c>
      <c r="AG589">
        <v>69</v>
      </c>
      <c r="AH589">
        <v>93</v>
      </c>
      <c r="AI589">
        <v>99</v>
      </c>
      <c r="AJ589">
        <v>1</v>
      </c>
      <c r="AK589">
        <v>61</v>
      </c>
      <c r="AL589" t="s">
        <v>926</v>
      </c>
      <c r="AM589" t="s">
        <v>508</v>
      </c>
      <c r="AN589" t="s">
        <v>927</v>
      </c>
      <c r="AO589" t="s">
        <v>2219</v>
      </c>
      <c r="AP589" t="s">
        <v>74</v>
      </c>
      <c r="AQ589" t="s">
        <v>74</v>
      </c>
      <c r="AR589" t="s">
        <v>2221</v>
      </c>
      <c r="AS589" t="s">
        <v>2222</v>
      </c>
      <c r="AT589" t="s">
        <v>9900</v>
      </c>
      <c r="AU589">
        <v>2011</v>
      </c>
      <c r="AV589">
        <v>58</v>
      </c>
      <c r="AW589">
        <v>5</v>
      </c>
      <c r="AX589" t="s">
        <v>74</v>
      </c>
      <c r="AY589" t="s">
        <v>74</v>
      </c>
      <c r="AZ589" t="s">
        <v>74</v>
      </c>
      <c r="BA589" t="s">
        <v>74</v>
      </c>
      <c r="BB589">
        <v>524</v>
      </c>
      <c r="BC589">
        <v>534</v>
      </c>
      <c r="BD589" t="s">
        <v>74</v>
      </c>
      <c r="BE589" t="s">
        <v>10884</v>
      </c>
      <c r="BF589" t="str">
        <f>HYPERLINK("http://dx.doi.org/10.1016/j.dsr.2011.02.010","http://dx.doi.org/10.1016/j.dsr.2011.02.010")</f>
        <v>http://dx.doi.org/10.1016/j.dsr.2011.02.010</v>
      </c>
      <c r="BG589" t="s">
        <v>74</v>
      </c>
      <c r="BH589" t="s">
        <v>74</v>
      </c>
      <c r="BI589">
        <v>11</v>
      </c>
      <c r="BJ589" t="s">
        <v>271</v>
      </c>
      <c r="BK589" t="s">
        <v>100</v>
      </c>
      <c r="BL589" t="s">
        <v>271</v>
      </c>
      <c r="BM589" t="s">
        <v>10885</v>
      </c>
      <c r="BN589" t="s">
        <v>74</v>
      </c>
      <c r="BO589" t="s">
        <v>74</v>
      </c>
      <c r="BP589" t="s">
        <v>74</v>
      </c>
      <c r="BQ589" t="s">
        <v>74</v>
      </c>
      <c r="BR589" t="s">
        <v>103</v>
      </c>
      <c r="BS589" t="s">
        <v>10886</v>
      </c>
      <c r="BT589" t="str">
        <f>HYPERLINK("https%3A%2F%2Fwww.webofscience.com%2Fwos%2Fwoscc%2Ffull-record%2FWOS:000291135100003","View Full Record in Web of Science")</f>
        <v>View Full Record in Web of Science</v>
      </c>
    </row>
    <row r="590" spans="1:72" x14ac:dyDescent="0.15">
      <c r="A590" t="s">
        <v>72</v>
      </c>
      <c r="B590" t="s">
        <v>10887</v>
      </c>
      <c r="C590" t="s">
        <v>74</v>
      </c>
      <c r="D590" t="s">
        <v>74</v>
      </c>
      <c r="E590" t="s">
        <v>74</v>
      </c>
      <c r="F590" t="s">
        <v>10888</v>
      </c>
      <c r="G590" t="s">
        <v>74</v>
      </c>
      <c r="H590" t="s">
        <v>74</v>
      </c>
      <c r="I590" t="s">
        <v>10889</v>
      </c>
      <c r="J590" t="s">
        <v>2207</v>
      </c>
      <c r="K590" t="s">
        <v>74</v>
      </c>
      <c r="L590" t="s">
        <v>74</v>
      </c>
      <c r="M590" t="s">
        <v>78</v>
      </c>
      <c r="N590" t="s">
        <v>79</v>
      </c>
      <c r="O590" t="s">
        <v>74</v>
      </c>
      <c r="P590" t="s">
        <v>74</v>
      </c>
      <c r="Q590" t="s">
        <v>74</v>
      </c>
      <c r="R590" t="s">
        <v>74</v>
      </c>
      <c r="S590" t="s">
        <v>74</v>
      </c>
      <c r="T590" t="s">
        <v>10890</v>
      </c>
      <c r="U590" t="s">
        <v>10891</v>
      </c>
      <c r="V590" t="s">
        <v>10892</v>
      </c>
      <c r="W590" t="s">
        <v>10893</v>
      </c>
      <c r="X590" t="s">
        <v>10894</v>
      </c>
      <c r="Y590" t="s">
        <v>10895</v>
      </c>
      <c r="Z590" t="s">
        <v>10896</v>
      </c>
      <c r="AA590" t="s">
        <v>10897</v>
      </c>
      <c r="AB590" t="s">
        <v>10898</v>
      </c>
      <c r="AC590" t="s">
        <v>10899</v>
      </c>
      <c r="AD590" t="s">
        <v>10900</v>
      </c>
      <c r="AE590" t="s">
        <v>10901</v>
      </c>
      <c r="AF590" t="s">
        <v>74</v>
      </c>
      <c r="AG590">
        <v>56</v>
      </c>
      <c r="AH590">
        <v>52</v>
      </c>
      <c r="AI590">
        <v>59</v>
      </c>
      <c r="AJ590">
        <v>3</v>
      </c>
      <c r="AK590">
        <v>55</v>
      </c>
      <c r="AL590" t="s">
        <v>926</v>
      </c>
      <c r="AM590" t="s">
        <v>508</v>
      </c>
      <c r="AN590" t="s">
        <v>927</v>
      </c>
      <c r="AO590" t="s">
        <v>2219</v>
      </c>
      <c r="AP590" t="s">
        <v>2220</v>
      </c>
      <c r="AQ590" t="s">
        <v>74</v>
      </c>
      <c r="AR590" t="s">
        <v>2221</v>
      </c>
      <c r="AS590" t="s">
        <v>2222</v>
      </c>
      <c r="AT590" t="s">
        <v>9900</v>
      </c>
      <c r="AU590">
        <v>2011</v>
      </c>
      <c r="AV590">
        <v>58</v>
      </c>
      <c r="AW590">
        <v>5</v>
      </c>
      <c r="AX590" t="s">
        <v>74</v>
      </c>
      <c r="AY590" t="s">
        <v>74</v>
      </c>
      <c r="AZ590" t="s">
        <v>74</v>
      </c>
      <c r="BA590" t="s">
        <v>74</v>
      </c>
      <c r="BB590">
        <v>546</v>
      </c>
      <c r="BC590">
        <v>556</v>
      </c>
      <c r="BD590" t="s">
        <v>74</v>
      </c>
      <c r="BE590" t="s">
        <v>10902</v>
      </c>
      <c r="BF590" t="str">
        <f>HYPERLINK("http://dx.doi.org/10.1016/j.dsr.2011.02.007","http://dx.doi.org/10.1016/j.dsr.2011.02.007")</f>
        <v>http://dx.doi.org/10.1016/j.dsr.2011.02.007</v>
      </c>
      <c r="BG590" t="s">
        <v>74</v>
      </c>
      <c r="BH590" t="s">
        <v>74</v>
      </c>
      <c r="BI590">
        <v>11</v>
      </c>
      <c r="BJ590" t="s">
        <v>271</v>
      </c>
      <c r="BK590" t="s">
        <v>100</v>
      </c>
      <c r="BL590" t="s">
        <v>271</v>
      </c>
      <c r="BM590" t="s">
        <v>10885</v>
      </c>
      <c r="BN590" t="s">
        <v>74</v>
      </c>
      <c r="BO590" t="s">
        <v>74</v>
      </c>
      <c r="BP590" t="s">
        <v>74</v>
      </c>
      <c r="BQ590" t="s">
        <v>74</v>
      </c>
      <c r="BR590" t="s">
        <v>103</v>
      </c>
      <c r="BS590" t="s">
        <v>10903</v>
      </c>
      <c r="BT590" t="str">
        <f>HYPERLINK("https%3A%2F%2Fwww.webofscience.com%2Fwos%2Fwoscc%2Ffull-record%2FWOS:000291135100005","View Full Record in Web of Science")</f>
        <v>View Full Record in Web of Science</v>
      </c>
    </row>
    <row r="591" spans="1:72" x14ac:dyDescent="0.15">
      <c r="A591" t="s">
        <v>72</v>
      </c>
      <c r="B591" t="s">
        <v>10904</v>
      </c>
      <c r="C591" t="s">
        <v>74</v>
      </c>
      <c r="D591" t="s">
        <v>74</v>
      </c>
      <c r="E591" t="s">
        <v>74</v>
      </c>
      <c r="F591" t="s">
        <v>10905</v>
      </c>
      <c r="G591" t="s">
        <v>74</v>
      </c>
      <c r="H591" t="s">
        <v>74</v>
      </c>
      <c r="I591" t="s">
        <v>10906</v>
      </c>
      <c r="J591" t="s">
        <v>4460</v>
      </c>
      <c r="K591" t="s">
        <v>74</v>
      </c>
      <c r="L591" t="s">
        <v>74</v>
      </c>
      <c r="M591" t="s">
        <v>78</v>
      </c>
      <c r="N591" t="s">
        <v>2002</v>
      </c>
      <c r="O591" t="s">
        <v>74</v>
      </c>
      <c r="P591" t="s">
        <v>74</v>
      </c>
      <c r="Q591" t="s">
        <v>74</v>
      </c>
      <c r="R591" t="s">
        <v>74</v>
      </c>
      <c r="S591" t="s">
        <v>74</v>
      </c>
      <c r="T591" t="s">
        <v>74</v>
      </c>
      <c r="U591" t="s">
        <v>74</v>
      </c>
      <c r="V591" t="s">
        <v>74</v>
      </c>
      <c r="W591" t="s">
        <v>10907</v>
      </c>
      <c r="X591" t="s">
        <v>10908</v>
      </c>
      <c r="Y591" t="s">
        <v>10909</v>
      </c>
      <c r="Z591" t="s">
        <v>10910</v>
      </c>
      <c r="AA591" t="s">
        <v>10049</v>
      </c>
      <c r="AB591" t="s">
        <v>74</v>
      </c>
      <c r="AC591" t="s">
        <v>74</v>
      </c>
      <c r="AD591" t="s">
        <v>74</v>
      </c>
      <c r="AE591" t="s">
        <v>74</v>
      </c>
      <c r="AF591" t="s">
        <v>74</v>
      </c>
      <c r="AG591">
        <v>16</v>
      </c>
      <c r="AH591">
        <v>4</v>
      </c>
      <c r="AI591">
        <v>4</v>
      </c>
      <c r="AJ591">
        <v>0</v>
      </c>
      <c r="AK591">
        <v>8</v>
      </c>
      <c r="AL591" t="s">
        <v>926</v>
      </c>
      <c r="AM591" t="s">
        <v>508</v>
      </c>
      <c r="AN591" t="s">
        <v>927</v>
      </c>
      <c r="AO591" t="s">
        <v>4472</v>
      </c>
      <c r="AP591" t="s">
        <v>4473</v>
      </c>
      <c r="AQ591" t="s">
        <v>74</v>
      </c>
      <c r="AR591" t="s">
        <v>4474</v>
      </c>
      <c r="AS591" t="s">
        <v>4475</v>
      </c>
      <c r="AT591" t="s">
        <v>9900</v>
      </c>
      <c r="AU591">
        <v>2011</v>
      </c>
      <c r="AV591">
        <v>58</v>
      </c>
      <c r="AW591" t="s">
        <v>9973</v>
      </c>
      <c r="AX591" t="s">
        <v>74</v>
      </c>
      <c r="AY591" t="s">
        <v>74</v>
      </c>
      <c r="AZ591" t="s">
        <v>74</v>
      </c>
      <c r="BA591" t="s">
        <v>74</v>
      </c>
      <c r="BB591">
        <v>993</v>
      </c>
      <c r="BC591">
        <v>998</v>
      </c>
      <c r="BD591" t="s">
        <v>74</v>
      </c>
      <c r="BE591" t="s">
        <v>10911</v>
      </c>
      <c r="BF591" t="str">
        <f>HYPERLINK("http://dx.doi.org/10.1016/j.dsr2.2011.01.001","http://dx.doi.org/10.1016/j.dsr2.2011.01.001")</f>
        <v>http://dx.doi.org/10.1016/j.dsr2.2011.01.001</v>
      </c>
      <c r="BG591" t="s">
        <v>74</v>
      </c>
      <c r="BH591" t="s">
        <v>74</v>
      </c>
      <c r="BI591">
        <v>6</v>
      </c>
      <c r="BJ591" t="s">
        <v>271</v>
      </c>
      <c r="BK591" t="s">
        <v>100</v>
      </c>
      <c r="BL591" t="s">
        <v>271</v>
      </c>
      <c r="BM591" t="s">
        <v>9975</v>
      </c>
      <c r="BN591" t="s">
        <v>74</v>
      </c>
      <c r="BO591" t="s">
        <v>74</v>
      </c>
      <c r="BP591" t="s">
        <v>74</v>
      </c>
      <c r="BQ591" t="s">
        <v>74</v>
      </c>
      <c r="BR591" t="s">
        <v>103</v>
      </c>
      <c r="BS591" t="s">
        <v>10912</v>
      </c>
      <c r="BT591" t="str">
        <f>HYPERLINK("https%3A%2F%2Fwww.webofscience.com%2Fwos%2Fwoscc%2Ffull-record%2FWOS:000291505600001","View Full Record in Web of Science")</f>
        <v>View Full Record in Web of Science</v>
      </c>
    </row>
    <row r="592" spans="1:72" x14ac:dyDescent="0.15">
      <c r="A592" t="s">
        <v>72</v>
      </c>
      <c r="B592" t="s">
        <v>10913</v>
      </c>
      <c r="C592" t="s">
        <v>74</v>
      </c>
      <c r="D592" t="s">
        <v>74</v>
      </c>
      <c r="E592" t="s">
        <v>74</v>
      </c>
      <c r="F592" t="s">
        <v>10914</v>
      </c>
      <c r="G592" t="s">
        <v>74</v>
      </c>
      <c r="H592" t="s">
        <v>74</v>
      </c>
      <c r="I592" t="s">
        <v>10915</v>
      </c>
      <c r="J592" t="s">
        <v>4460</v>
      </c>
      <c r="K592" t="s">
        <v>74</v>
      </c>
      <c r="L592" t="s">
        <v>74</v>
      </c>
      <c r="M592" t="s">
        <v>78</v>
      </c>
      <c r="N592" t="s">
        <v>79</v>
      </c>
      <c r="O592" t="s">
        <v>74</v>
      </c>
      <c r="P592" t="s">
        <v>74</v>
      </c>
      <c r="Q592" t="s">
        <v>74</v>
      </c>
      <c r="R592" t="s">
        <v>74</v>
      </c>
      <c r="S592" t="s">
        <v>74</v>
      </c>
      <c r="T592" t="s">
        <v>10916</v>
      </c>
      <c r="U592" t="s">
        <v>10917</v>
      </c>
      <c r="V592" t="s">
        <v>10918</v>
      </c>
      <c r="W592" t="s">
        <v>10919</v>
      </c>
      <c r="X592" t="s">
        <v>10920</v>
      </c>
      <c r="Y592" t="s">
        <v>10921</v>
      </c>
      <c r="Z592" t="s">
        <v>10922</v>
      </c>
      <c r="AA592" t="s">
        <v>10923</v>
      </c>
      <c r="AB592" t="s">
        <v>10924</v>
      </c>
      <c r="AC592" t="s">
        <v>10925</v>
      </c>
      <c r="AD592" t="s">
        <v>10926</v>
      </c>
      <c r="AE592" t="s">
        <v>10927</v>
      </c>
      <c r="AF592" t="s">
        <v>74</v>
      </c>
      <c r="AG592">
        <v>61</v>
      </c>
      <c r="AH592">
        <v>23</v>
      </c>
      <c r="AI592">
        <v>24</v>
      </c>
      <c r="AJ592">
        <v>0</v>
      </c>
      <c r="AK592">
        <v>35</v>
      </c>
      <c r="AL592" t="s">
        <v>926</v>
      </c>
      <c r="AM592" t="s">
        <v>508</v>
      </c>
      <c r="AN592" t="s">
        <v>927</v>
      </c>
      <c r="AO592" t="s">
        <v>4472</v>
      </c>
      <c r="AP592" t="s">
        <v>4473</v>
      </c>
      <c r="AQ592" t="s">
        <v>74</v>
      </c>
      <c r="AR592" t="s">
        <v>4474</v>
      </c>
      <c r="AS592" t="s">
        <v>4475</v>
      </c>
      <c r="AT592" t="s">
        <v>9900</v>
      </c>
      <c r="AU592">
        <v>2011</v>
      </c>
      <c r="AV592">
        <v>58</v>
      </c>
      <c r="AW592" t="s">
        <v>9973</v>
      </c>
      <c r="AX592" t="s">
        <v>74</v>
      </c>
      <c r="AY592" t="s">
        <v>74</v>
      </c>
      <c r="AZ592" t="s">
        <v>74</v>
      </c>
      <c r="BA592" t="s">
        <v>74</v>
      </c>
      <c r="BB592">
        <v>999</v>
      </c>
      <c r="BC592">
        <v>1018</v>
      </c>
      <c r="BD592" t="s">
        <v>74</v>
      </c>
      <c r="BE592" t="s">
        <v>10928</v>
      </c>
      <c r="BF592" t="str">
        <f>HYPERLINK("http://dx.doi.org/10.1016/j.dsr2.2010.10.026","http://dx.doi.org/10.1016/j.dsr2.2010.10.026")</f>
        <v>http://dx.doi.org/10.1016/j.dsr2.2010.10.026</v>
      </c>
      <c r="BG592" t="s">
        <v>74</v>
      </c>
      <c r="BH592" t="s">
        <v>74</v>
      </c>
      <c r="BI592">
        <v>20</v>
      </c>
      <c r="BJ592" t="s">
        <v>271</v>
      </c>
      <c r="BK592" t="s">
        <v>100</v>
      </c>
      <c r="BL592" t="s">
        <v>271</v>
      </c>
      <c r="BM592" t="s">
        <v>9975</v>
      </c>
      <c r="BN592" t="s">
        <v>74</v>
      </c>
      <c r="BO592" t="s">
        <v>74</v>
      </c>
      <c r="BP592" t="s">
        <v>74</v>
      </c>
      <c r="BQ592" t="s">
        <v>74</v>
      </c>
      <c r="BR592" t="s">
        <v>103</v>
      </c>
      <c r="BS592" t="s">
        <v>10929</v>
      </c>
      <c r="BT592" t="str">
        <f>HYPERLINK("https%3A%2F%2Fwww.webofscience.com%2Fwos%2Fwoscc%2Ffull-record%2FWOS:000291505600002","View Full Record in Web of Science")</f>
        <v>View Full Record in Web of Science</v>
      </c>
    </row>
    <row r="593" spans="1:72" x14ac:dyDescent="0.15">
      <c r="A593" t="s">
        <v>72</v>
      </c>
      <c r="B593" t="s">
        <v>10930</v>
      </c>
      <c r="C593" t="s">
        <v>74</v>
      </c>
      <c r="D593" t="s">
        <v>74</v>
      </c>
      <c r="E593" t="s">
        <v>74</v>
      </c>
      <c r="F593" t="s">
        <v>10931</v>
      </c>
      <c r="G593" t="s">
        <v>74</v>
      </c>
      <c r="H593" t="s">
        <v>74</v>
      </c>
      <c r="I593" t="s">
        <v>10932</v>
      </c>
      <c r="J593" t="s">
        <v>4460</v>
      </c>
      <c r="K593" t="s">
        <v>74</v>
      </c>
      <c r="L593" t="s">
        <v>74</v>
      </c>
      <c r="M593" t="s">
        <v>78</v>
      </c>
      <c r="N593" t="s">
        <v>79</v>
      </c>
      <c r="O593" t="s">
        <v>74</v>
      </c>
      <c r="P593" t="s">
        <v>74</v>
      </c>
      <c r="Q593" t="s">
        <v>74</v>
      </c>
      <c r="R593" t="s">
        <v>74</v>
      </c>
      <c r="S593" t="s">
        <v>74</v>
      </c>
      <c r="T593" t="s">
        <v>10933</v>
      </c>
      <c r="U593" t="s">
        <v>10934</v>
      </c>
      <c r="V593" t="s">
        <v>10935</v>
      </c>
      <c r="W593" t="s">
        <v>10936</v>
      </c>
      <c r="X593" t="s">
        <v>10937</v>
      </c>
      <c r="Y593" t="s">
        <v>10938</v>
      </c>
      <c r="Z593" t="s">
        <v>10939</v>
      </c>
      <c r="AA593" t="s">
        <v>10940</v>
      </c>
      <c r="AB593" t="s">
        <v>10941</v>
      </c>
      <c r="AC593" t="s">
        <v>10942</v>
      </c>
      <c r="AD593" t="s">
        <v>10943</v>
      </c>
      <c r="AE593" t="s">
        <v>10944</v>
      </c>
      <c r="AF593" t="s">
        <v>74</v>
      </c>
      <c r="AG593">
        <v>44</v>
      </c>
      <c r="AH593">
        <v>47</v>
      </c>
      <c r="AI593">
        <v>55</v>
      </c>
      <c r="AJ593">
        <v>0</v>
      </c>
      <c r="AK593">
        <v>27</v>
      </c>
      <c r="AL593" t="s">
        <v>926</v>
      </c>
      <c r="AM593" t="s">
        <v>508</v>
      </c>
      <c r="AN593" t="s">
        <v>927</v>
      </c>
      <c r="AO593" t="s">
        <v>4472</v>
      </c>
      <c r="AP593" t="s">
        <v>4473</v>
      </c>
      <c r="AQ593" t="s">
        <v>74</v>
      </c>
      <c r="AR593" t="s">
        <v>4474</v>
      </c>
      <c r="AS593" t="s">
        <v>4475</v>
      </c>
      <c r="AT593" t="s">
        <v>9900</v>
      </c>
      <c r="AU593">
        <v>2011</v>
      </c>
      <c r="AV593">
        <v>58</v>
      </c>
      <c r="AW593" t="s">
        <v>9973</v>
      </c>
      <c r="AX593" t="s">
        <v>74</v>
      </c>
      <c r="AY593" t="s">
        <v>74</v>
      </c>
      <c r="AZ593" t="s">
        <v>74</v>
      </c>
      <c r="BA593" t="s">
        <v>74</v>
      </c>
      <c r="BB593">
        <v>1039</v>
      </c>
      <c r="BC593">
        <v>1051</v>
      </c>
      <c r="BD593" t="s">
        <v>74</v>
      </c>
      <c r="BE593" t="s">
        <v>10945</v>
      </c>
      <c r="BF593" t="str">
        <f>HYPERLINK("http://dx.doi.org/10.1016/j.dsr2.2010.10.038","http://dx.doi.org/10.1016/j.dsr2.2010.10.038")</f>
        <v>http://dx.doi.org/10.1016/j.dsr2.2010.10.038</v>
      </c>
      <c r="BG593" t="s">
        <v>74</v>
      </c>
      <c r="BH593" t="s">
        <v>74</v>
      </c>
      <c r="BI593">
        <v>13</v>
      </c>
      <c r="BJ593" t="s">
        <v>271</v>
      </c>
      <c r="BK593" t="s">
        <v>100</v>
      </c>
      <c r="BL593" t="s">
        <v>271</v>
      </c>
      <c r="BM593" t="s">
        <v>9975</v>
      </c>
      <c r="BN593" t="s">
        <v>74</v>
      </c>
      <c r="BO593" t="s">
        <v>74</v>
      </c>
      <c r="BP593" t="s">
        <v>74</v>
      </c>
      <c r="BQ593" t="s">
        <v>74</v>
      </c>
      <c r="BR593" t="s">
        <v>103</v>
      </c>
      <c r="BS593" t="s">
        <v>10946</v>
      </c>
      <c r="BT593" t="str">
        <f>HYPERLINK("https%3A%2F%2Fwww.webofscience.com%2Fwos%2Fwoscc%2Ffull-record%2FWOS:000291505600004","View Full Record in Web of Science")</f>
        <v>View Full Record in Web of Science</v>
      </c>
    </row>
    <row r="594" spans="1:72" x14ac:dyDescent="0.15">
      <c r="A594" t="s">
        <v>72</v>
      </c>
      <c r="B594" t="s">
        <v>10947</v>
      </c>
      <c r="C594" t="s">
        <v>74</v>
      </c>
      <c r="D594" t="s">
        <v>74</v>
      </c>
      <c r="E594" t="s">
        <v>74</v>
      </c>
      <c r="F594" t="s">
        <v>10948</v>
      </c>
      <c r="G594" t="s">
        <v>74</v>
      </c>
      <c r="H594" t="s">
        <v>74</v>
      </c>
      <c r="I594" t="s">
        <v>10949</v>
      </c>
      <c r="J594" t="s">
        <v>4460</v>
      </c>
      <c r="K594" t="s">
        <v>74</v>
      </c>
      <c r="L594" t="s">
        <v>74</v>
      </c>
      <c r="M594" t="s">
        <v>78</v>
      </c>
      <c r="N594" t="s">
        <v>79</v>
      </c>
      <c r="O594" t="s">
        <v>74</v>
      </c>
      <c r="P594" t="s">
        <v>74</v>
      </c>
      <c r="Q594" t="s">
        <v>74</v>
      </c>
      <c r="R594" t="s">
        <v>74</v>
      </c>
      <c r="S594" t="s">
        <v>74</v>
      </c>
      <c r="T594" t="s">
        <v>10950</v>
      </c>
      <c r="U594" t="s">
        <v>10951</v>
      </c>
      <c r="V594" t="s">
        <v>10952</v>
      </c>
      <c r="W594" t="s">
        <v>10953</v>
      </c>
      <c r="X594" t="s">
        <v>10954</v>
      </c>
      <c r="Y594" t="s">
        <v>10955</v>
      </c>
      <c r="Z594" t="s">
        <v>10956</v>
      </c>
      <c r="AA594" t="s">
        <v>10957</v>
      </c>
      <c r="AB594" t="s">
        <v>10958</v>
      </c>
      <c r="AC594" t="s">
        <v>10959</v>
      </c>
      <c r="AD594" t="s">
        <v>10960</v>
      </c>
      <c r="AE594" t="s">
        <v>10961</v>
      </c>
      <c r="AF594" t="s">
        <v>74</v>
      </c>
      <c r="AG594">
        <v>54</v>
      </c>
      <c r="AH594">
        <v>22</v>
      </c>
      <c r="AI594">
        <v>23</v>
      </c>
      <c r="AJ594">
        <v>0</v>
      </c>
      <c r="AK594">
        <v>32</v>
      </c>
      <c r="AL594" t="s">
        <v>926</v>
      </c>
      <c r="AM594" t="s">
        <v>508</v>
      </c>
      <c r="AN594" t="s">
        <v>927</v>
      </c>
      <c r="AO594" t="s">
        <v>4472</v>
      </c>
      <c r="AP594" t="s">
        <v>4473</v>
      </c>
      <c r="AQ594" t="s">
        <v>74</v>
      </c>
      <c r="AR594" t="s">
        <v>4474</v>
      </c>
      <c r="AS594" t="s">
        <v>4475</v>
      </c>
      <c r="AT594" t="s">
        <v>9900</v>
      </c>
      <c r="AU594">
        <v>2011</v>
      </c>
      <c r="AV594">
        <v>58</v>
      </c>
      <c r="AW594" t="s">
        <v>9973</v>
      </c>
      <c r="AX594" t="s">
        <v>74</v>
      </c>
      <c r="AY594" t="s">
        <v>74</v>
      </c>
      <c r="AZ594" t="s">
        <v>74</v>
      </c>
      <c r="BA594" t="s">
        <v>74</v>
      </c>
      <c r="BB594">
        <v>1062</v>
      </c>
      <c r="BC594">
        <v>1074</v>
      </c>
      <c r="BD594" t="s">
        <v>74</v>
      </c>
      <c r="BE594" t="s">
        <v>10962</v>
      </c>
      <c r="BF594" t="str">
        <f>HYPERLINK("http://dx.doi.org/10.1016/j.dsr2.2010.10.029","http://dx.doi.org/10.1016/j.dsr2.2010.10.029")</f>
        <v>http://dx.doi.org/10.1016/j.dsr2.2010.10.029</v>
      </c>
      <c r="BG594" t="s">
        <v>74</v>
      </c>
      <c r="BH594" t="s">
        <v>74</v>
      </c>
      <c r="BI594">
        <v>13</v>
      </c>
      <c r="BJ594" t="s">
        <v>271</v>
      </c>
      <c r="BK594" t="s">
        <v>100</v>
      </c>
      <c r="BL594" t="s">
        <v>271</v>
      </c>
      <c r="BM594" t="s">
        <v>9975</v>
      </c>
      <c r="BN594" t="s">
        <v>74</v>
      </c>
      <c r="BO594" t="s">
        <v>74</v>
      </c>
      <c r="BP594" t="s">
        <v>74</v>
      </c>
      <c r="BQ594" t="s">
        <v>74</v>
      </c>
      <c r="BR594" t="s">
        <v>103</v>
      </c>
      <c r="BS594" t="s">
        <v>10963</v>
      </c>
      <c r="BT594" t="str">
        <f>HYPERLINK("https%3A%2F%2Fwww.webofscience.com%2Fwos%2Fwoscc%2Ffull-record%2FWOS:000291505600006","View Full Record in Web of Science")</f>
        <v>View Full Record in Web of Science</v>
      </c>
    </row>
    <row r="595" spans="1:72" x14ac:dyDescent="0.15">
      <c r="A595" t="s">
        <v>72</v>
      </c>
      <c r="B595" t="s">
        <v>10964</v>
      </c>
      <c r="C595" t="s">
        <v>74</v>
      </c>
      <c r="D595" t="s">
        <v>74</v>
      </c>
      <c r="E595" t="s">
        <v>74</v>
      </c>
      <c r="F595" t="s">
        <v>10965</v>
      </c>
      <c r="G595" t="s">
        <v>74</v>
      </c>
      <c r="H595" t="s">
        <v>74</v>
      </c>
      <c r="I595" t="s">
        <v>10966</v>
      </c>
      <c r="J595" t="s">
        <v>4460</v>
      </c>
      <c r="K595" t="s">
        <v>74</v>
      </c>
      <c r="L595" t="s">
        <v>74</v>
      </c>
      <c r="M595" t="s">
        <v>78</v>
      </c>
      <c r="N595" t="s">
        <v>79</v>
      </c>
      <c r="O595" t="s">
        <v>74</v>
      </c>
      <c r="P595" t="s">
        <v>74</v>
      </c>
      <c r="Q595" t="s">
        <v>74</v>
      </c>
      <c r="R595" t="s">
        <v>74</v>
      </c>
      <c r="S595" t="s">
        <v>74</v>
      </c>
      <c r="T595" t="s">
        <v>10967</v>
      </c>
      <c r="U595" t="s">
        <v>10968</v>
      </c>
      <c r="V595" t="s">
        <v>10969</v>
      </c>
      <c r="W595" t="s">
        <v>10970</v>
      </c>
      <c r="X595" t="s">
        <v>10971</v>
      </c>
      <c r="Y595" t="s">
        <v>10972</v>
      </c>
      <c r="Z595" t="s">
        <v>10973</v>
      </c>
      <c r="AA595" t="s">
        <v>10974</v>
      </c>
      <c r="AB595" t="s">
        <v>10975</v>
      </c>
      <c r="AC595" t="s">
        <v>10976</v>
      </c>
      <c r="AD595" t="s">
        <v>10977</v>
      </c>
      <c r="AE595" t="s">
        <v>10978</v>
      </c>
      <c r="AF595" t="s">
        <v>74</v>
      </c>
      <c r="AG595">
        <v>91</v>
      </c>
      <c r="AH595">
        <v>62</v>
      </c>
      <c r="AI595">
        <v>68</v>
      </c>
      <c r="AJ595">
        <v>2</v>
      </c>
      <c r="AK595">
        <v>102</v>
      </c>
      <c r="AL595" t="s">
        <v>926</v>
      </c>
      <c r="AM595" t="s">
        <v>508</v>
      </c>
      <c r="AN595" t="s">
        <v>927</v>
      </c>
      <c r="AO595" t="s">
        <v>4472</v>
      </c>
      <c r="AP595" t="s">
        <v>4473</v>
      </c>
      <c r="AQ595" t="s">
        <v>74</v>
      </c>
      <c r="AR595" t="s">
        <v>4474</v>
      </c>
      <c r="AS595" t="s">
        <v>4475</v>
      </c>
      <c r="AT595" t="s">
        <v>9900</v>
      </c>
      <c r="AU595">
        <v>2011</v>
      </c>
      <c r="AV595">
        <v>58</v>
      </c>
      <c r="AW595" t="s">
        <v>9973</v>
      </c>
      <c r="AX595" t="s">
        <v>74</v>
      </c>
      <c r="AY595" t="s">
        <v>74</v>
      </c>
      <c r="AZ595" t="s">
        <v>74</v>
      </c>
      <c r="BA595" t="s">
        <v>74</v>
      </c>
      <c r="BB595">
        <v>1075</v>
      </c>
      <c r="BC595">
        <v>1091</v>
      </c>
      <c r="BD595" t="s">
        <v>74</v>
      </c>
      <c r="BE595" t="s">
        <v>10979</v>
      </c>
      <c r="BF595" t="str">
        <f>HYPERLINK("http://dx.doi.org/10.1016/j.dsr2.2010.10.030","http://dx.doi.org/10.1016/j.dsr2.2010.10.030")</f>
        <v>http://dx.doi.org/10.1016/j.dsr2.2010.10.030</v>
      </c>
      <c r="BG595" t="s">
        <v>74</v>
      </c>
      <c r="BH595" t="s">
        <v>74</v>
      </c>
      <c r="BI595">
        <v>17</v>
      </c>
      <c r="BJ595" t="s">
        <v>271</v>
      </c>
      <c r="BK595" t="s">
        <v>100</v>
      </c>
      <c r="BL595" t="s">
        <v>271</v>
      </c>
      <c r="BM595" t="s">
        <v>9975</v>
      </c>
      <c r="BN595" t="s">
        <v>74</v>
      </c>
      <c r="BO595" t="s">
        <v>702</v>
      </c>
      <c r="BP595" t="s">
        <v>74</v>
      </c>
      <c r="BQ595" t="s">
        <v>74</v>
      </c>
      <c r="BR595" t="s">
        <v>103</v>
      </c>
      <c r="BS595" t="s">
        <v>10980</v>
      </c>
      <c r="BT595" t="str">
        <f>HYPERLINK("https%3A%2F%2Fwww.webofscience.com%2Fwos%2Fwoscc%2Ffull-record%2FWOS:000291505600007","View Full Record in Web of Science")</f>
        <v>View Full Record in Web of Science</v>
      </c>
    </row>
    <row r="596" spans="1:72" x14ac:dyDescent="0.15">
      <c r="A596" t="s">
        <v>72</v>
      </c>
      <c r="B596" t="s">
        <v>10981</v>
      </c>
      <c r="C596" t="s">
        <v>74</v>
      </c>
      <c r="D596" t="s">
        <v>74</v>
      </c>
      <c r="E596" t="s">
        <v>74</v>
      </c>
      <c r="F596" t="s">
        <v>10982</v>
      </c>
      <c r="G596" t="s">
        <v>74</v>
      </c>
      <c r="H596" t="s">
        <v>74</v>
      </c>
      <c r="I596" t="s">
        <v>10983</v>
      </c>
      <c r="J596" t="s">
        <v>4460</v>
      </c>
      <c r="K596" t="s">
        <v>74</v>
      </c>
      <c r="L596" t="s">
        <v>74</v>
      </c>
      <c r="M596" t="s">
        <v>78</v>
      </c>
      <c r="N596" t="s">
        <v>79</v>
      </c>
      <c r="O596" t="s">
        <v>74</v>
      </c>
      <c r="P596" t="s">
        <v>74</v>
      </c>
      <c r="Q596" t="s">
        <v>74</v>
      </c>
      <c r="R596" t="s">
        <v>74</v>
      </c>
      <c r="S596" t="s">
        <v>74</v>
      </c>
      <c r="T596" t="s">
        <v>10984</v>
      </c>
      <c r="U596" t="s">
        <v>10985</v>
      </c>
      <c r="V596" t="s">
        <v>10986</v>
      </c>
      <c r="W596" t="s">
        <v>10987</v>
      </c>
      <c r="X596" t="s">
        <v>10988</v>
      </c>
      <c r="Y596" t="s">
        <v>10989</v>
      </c>
      <c r="Z596" t="s">
        <v>10990</v>
      </c>
      <c r="AA596" t="s">
        <v>10991</v>
      </c>
      <c r="AB596" t="s">
        <v>10992</v>
      </c>
      <c r="AC596" t="s">
        <v>10993</v>
      </c>
      <c r="AD596" t="s">
        <v>10994</v>
      </c>
      <c r="AE596" t="s">
        <v>10995</v>
      </c>
      <c r="AF596" t="s">
        <v>74</v>
      </c>
      <c r="AG596">
        <v>53</v>
      </c>
      <c r="AH596">
        <v>24</v>
      </c>
      <c r="AI596">
        <v>25</v>
      </c>
      <c r="AJ596">
        <v>1</v>
      </c>
      <c r="AK596">
        <v>25</v>
      </c>
      <c r="AL596" t="s">
        <v>926</v>
      </c>
      <c r="AM596" t="s">
        <v>508</v>
      </c>
      <c r="AN596" t="s">
        <v>927</v>
      </c>
      <c r="AO596" t="s">
        <v>4472</v>
      </c>
      <c r="AP596" t="s">
        <v>74</v>
      </c>
      <c r="AQ596" t="s">
        <v>74</v>
      </c>
      <c r="AR596" t="s">
        <v>4474</v>
      </c>
      <c r="AS596" t="s">
        <v>4475</v>
      </c>
      <c r="AT596" t="s">
        <v>9900</v>
      </c>
      <c r="AU596">
        <v>2011</v>
      </c>
      <c r="AV596">
        <v>58</v>
      </c>
      <c r="AW596" t="s">
        <v>9973</v>
      </c>
      <c r="AX596" t="s">
        <v>74</v>
      </c>
      <c r="AY596" t="s">
        <v>74</v>
      </c>
      <c r="AZ596" t="s">
        <v>74</v>
      </c>
      <c r="BA596" t="s">
        <v>74</v>
      </c>
      <c r="BB596">
        <v>1092</v>
      </c>
      <c r="BC596">
        <v>1111</v>
      </c>
      <c r="BD596" t="s">
        <v>74</v>
      </c>
      <c r="BE596" t="s">
        <v>10996</v>
      </c>
      <c r="BF596" t="str">
        <f>HYPERLINK("http://dx.doi.org/10.1016/j.dsr2.2010.10.031","http://dx.doi.org/10.1016/j.dsr2.2010.10.031")</f>
        <v>http://dx.doi.org/10.1016/j.dsr2.2010.10.031</v>
      </c>
      <c r="BG596" t="s">
        <v>74</v>
      </c>
      <c r="BH596" t="s">
        <v>74</v>
      </c>
      <c r="BI596">
        <v>20</v>
      </c>
      <c r="BJ596" t="s">
        <v>271</v>
      </c>
      <c r="BK596" t="s">
        <v>100</v>
      </c>
      <c r="BL596" t="s">
        <v>271</v>
      </c>
      <c r="BM596" t="s">
        <v>9975</v>
      </c>
      <c r="BN596" t="s">
        <v>74</v>
      </c>
      <c r="BO596" t="s">
        <v>74</v>
      </c>
      <c r="BP596" t="s">
        <v>74</v>
      </c>
      <c r="BQ596" t="s">
        <v>74</v>
      </c>
      <c r="BR596" t="s">
        <v>103</v>
      </c>
      <c r="BS596" t="s">
        <v>10997</v>
      </c>
      <c r="BT596" t="str">
        <f>HYPERLINK("https%3A%2F%2Fwww.webofscience.com%2Fwos%2Fwoscc%2Ffull-record%2FWOS:000291505600008","View Full Record in Web of Science")</f>
        <v>View Full Record in Web of Science</v>
      </c>
    </row>
    <row r="597" spans="1:72" x14ac:dyDescent="0.15">
      <c r="A597" t="s">
        <v>72</v>
      </c>
      <c r="B597" t="s">
        <v>10998</v>
      </c>
      <c r="C597" t="s">
        <v>74</v>
      </c>
      <c r="D597" t="s">
        <v>74</v>
      </c>
      <c r="E597" t="s">
        <v>74</v>
      </c>
      <c r="F597" t="s">
        <v>10999</v>
      </c>
      <c r="G597" t="s">
        <v>74</v>
      </c>
      <c r="H597" t="s">
        <v>74</v>
      </c>
      <c r="I597" t="s">
        <v>11000</v>
      </c>
      <c r="J597" t="s">
        <v>4460</v>
      </c>
      <c r="K597" t="s">
        <v>74</v>
      </c>
      <c r="L597" t="s">
        <v>74</v>
      </c>
      <c r="M597" t="s">
        <v>78</v>
      </c>
      <c r="N597" t="s">
        <v>79</v>
      </c>
      <c r="O597" t="s">
        <v>74</v>
      </c>
      <c r="P597" t="s">
        <v>74</v>
      </c>
      <c r="Q597" t="s">
        <v>74</v>
      </c>
      <c r="R597" t="s">
        <v>74</v>
      </c>
      <c r="S597" t="s">
        <v>74</v>
      </c>
      <c r="T597" t="s">
        <v>11001</v>
      </c>
      <c r="U597" t="s">
        <v>11002</v>
      </c>
      <c r="V597" t="s">
        <v>11003</v>
      </c>
      <c r="W597" t="s">
        <v>11004</v>
      </c>
      <c r="X597" t="s">
        <v>11005</v>
      </c>
      <c r="Y597" t="s">
        <v>11006</v>
      </c>
      <c r="Z597" t="s">
        <v>11007</v>
      </c>
      <c r="AA597" t="s">
        <v>11008</v>
      </c>
      <c r="AB597" t="s">
        <v>11009</v>
      </c>
      <c r="AC597" t="s">
        <v>11010</v>
      </c>
      <c r="AD597" t="s">
        <v>11011</v>
      </c>
      <c r="AE597" t="s">
        <v>11012</v>
      </c>
      <c r="AF597" t="s">
        <v>74</v>
      </c>
      <c r="AG597">
        <v>38</v>
      </c>
      <c r="AH597">
        <v>37</v>
      </c>
      <c r="AI597">
        <v>38</v>
      </c>
      <c r="AJ597">
        <v>0</v>
      </c>
      <c r="AK597">
        <v>26</v>
      </c>
      <c r="AL597" t="s">
        <v>926</v>
      </c>
      <c r="AM597" t="s">
        <v>508</v>
      </c>
      <c r="AN597" t="s">
        <v>927</v>
      </c>
      <c r="AO597" t="s">
        <v>4472</v>
      </c>
      <c r="AP597" t="s">
        <v>4473</v>
      </c>
      <c r="AQ597" t="s">
        <v>74</v>
      </c>
      <c r="AR597" t="s">
        <v>4474</v>
      </c>
      <c r="AS597" t="s">
        <v>4475</v>
      </c>
      <c r="AT597" t="s">
        <v>9900</v>
      </c>
      <c r="AU597">
        <v>2011</v>
      </c>
      <c r="AV597">
        <v>58</v>
      </c>
      <c r="AW597" t="s">
        <v>9973</v>
      </c>
      <c r="AX597" t="s">
        <v>74</v>
      </c>
      <c r="AY597" t="s">
        <v>74</v>
      </c>
      <c r="AZ597" t="s">
        <v>74</v>
      </c>
      <c r="BA597" t="s">
        <v>74</v>
      </c>
      <c r="BB597">
        <v>1125</v>
      </c>
      <c r="BC597">
        <v>1136</v>
      </c>
      <c r="BD597" t="s">
        <v>74</v>
      </c>
      <c r="BE597" t="s">
        <v>11013</v>
      </c>
      <c r="BF597" t="str">
        <f>HYPERLINK("http://dx.doi.org/10.1016/j.dsr2.2010.12.001","http://dx.doi.org/10.1016/j.dsr2.2010.12.001")</f>
        <v>http://dx.doi.org/10.1016/j.dsr2.2010.12.001</v>
      </c>
      <c r="BG597" t="s">
        <v>74</v>
      </c>
      <c r="BH597" t="s">
        <v>74</v>
      </c>
      <c r="BI597">
        <v>12</v>
      </c>
      <c r="BJ597" t="s">
        <v>271</v>
      </c>
      <c r="BK597" t="s">
        <v>100</v>
      </c>
      <c r="BL597" t="s">
        <v>271</v>
      </c>
      <c r="BM597" t="s">
        <v>9975</v>
      </c>
      <c r="BN597" t="s">
        <v>74</v>
      </c>
      <c r="BO597" t="s">
        <v>74</v>
      </c>
      <c r="BP597" t="s">
        <v>74</v>
      </c>
      <c r="BQ597" t="s">
        <v>74</v>
      </c>
      <c r="BR597" t="s">
        <v>103</v>
      </c>
      <c r="BS597" t="s">
        <v>11014</v>
      </c>
      <c r="BT597" t="str">
        <f>HYPERLINK("https%3A%2F%2Fwww.webofscience.com%2Fwos%2Fwoscc%2Ffull-record%2FWOS:000291505600010","View Full Record in Web of Science")</f>
        <v>View Full Record in Web of Science</v>
      </c>
    </row>
    <row r="598" spans="1:72" x14ac:dyDescent="0.15">
      <c r="A598" t="s">
        <v>72</v>
      </c>
      <c r="B598" t="s">
        <v>11015</v>
      </c>
      <c r="C598" t="s">
        <v>74</v>
      </c>
      <c r="D598" t="s">
        <v>74</v>
      </c>
      <c r="E598" t="s">
        <v>74</v>
      </c>
      <c r="F598" t="s">
        <v>11016</v>
      </c>
      <c r="G598" t="s">
        <v>74</v>
      </c>
      <c r="H598" t="s">
        <v>74</v>
      </c>
      <c r="I598" t="s">
        <v>11017</v>
      </c>
      <c r="J598" t="s">
        <v>4460</v>
      </c>
      <c r="K598" t="s">
        <v>74</v>
      </c>
      <c r="L598" t="s">
        <v>74</v>
      </c>
      <c r="M598" t="s">
        <v>78</v>
      </c>
      <c r="N598" t="s">
        <v>79</v>
      </c>
      <c r="O598" t="s">
        <v>74</v>
      </c>
      <c r="P598" t="s">
        <v>74</v>
      </c>
      <c r="Q598" t="s">
        <v>74</v>
      </c>
      <c r="R598" t="s">
        <v>74</v>
      </c>
      <c r="S598" t="s">
        <v>74</v>
      </c>
      <c r="T598" t="s">
        <v>11018</v>
      </c>
      <c r="U598" t="s">
        <v>11019</v>
      </c>
      <c r="V598" t="s">
        <v>11020</v>
      </c>
      <c r="W598" t="s">
        <v>11021</v>
      </c>
      <c r="X598" t="s">
        <v>8260</v>
      </c>
      <c r="Y598" t="s">
        <v>11022</v>
      </c>
      <c r="Z598" t="s">
        <v>11023</v>
      </c>
      <c r="AA598" t="s">
        <v>11024</v>
      </c>
      <c r="AB598" t="s">
        <v>11025</v>
      </c>
      <c r="AC598" t="s">
        <v>11026</v>
      </c>
      <c r="AD598" t="s">
        <v>11027</v>
      </c>
      <c r="AE598" t="s">
        <v>11028</v>
      </c>
      <c r="AF598" t="s">
        <v>74</v>
      </c>
      <c r="AG598">
        <v>45</v>
      </c>
      <c r="AH598">
        <v>11</v>
      </c>
      <c r="AI598">
        <v>13</v>
      </c>
      <c r="AJ598">
        <v>1</v>
      </c>
      <c r="AK598">
        <v>9</v>
      </c>
      <c r="AL598" t="s">
        <v>926</v>
      </c>
      <c r="AM598" t="s">
        <v>508</v>
      </c>
      <c r="AN598" t="s">
        <v>927</v>
      </c>
      <c r="AO598" t="s">
        <v>4472</v>
      </c>
      <c r="AP598" t="s">
        <v>4473</v>
      </c>
      <c r="AQ598" t="s">
        <v>74</v>
      </c>
      <c r="AR598" t="s">
        <v>4474</v>
      </c>
      <c r="AS598" t="s">
        <v>4475</v>
      </c>
      <c r="AT598" t="s">
        <v>9900</v>
      </c>
      <c r="AU598">
        <v>2011</v>
      </c>
      <c r="AV598">
        <v>58</v>
      </c>
      <c r="AW598" t="s">
        <v>9973</v>
      </c>
      <c r="AX598" t="s">
        <v>74</v>
      </c>
      <c r="AY598" t="s">
        <v>74</v>
      </c>
      <c r="AZ598" t="s">
        <v>74</v>
      </c>
      <c r="BA598" t="s">
        <v>74</v>
      </c>
      <c r="BB598">
        <v>1158</v>
      </c>
      <c r="BC598">
        <v>1171</v>
      </c>
      <c r="BD598" t="s">
        <v>74</v>
      </c>
      <c r="BE598" t="s">
        <v>11029</v>
      </c>
      <c r="BF598" t="str">
        <f>HYPERLINK("http://dx.doi.org/10.1016/j.dsr2.2010.12.004","http://dx.doi.org/10.1016/j.dsr2.2010.12.004")</f>
        <v>http://dx.doi.org/10.1016/j.dsr2.2010.12.004</v>
      </c>
      <c r="BG598" t="s">
        <v>74</v>
      </c>
      <c r="BH598" t="s">
        <v>74</v>
      </c>
      <c r="BI598">
        <v>14</v>
      </c>
      <c r="BJ598" t="s">
        <v>271</v>
      </c>
      <c r="BK598" t="s">
        <v>100</v>
      </c>
      <c r="BL598" t="s">
        <v>271</v>
      </c>
      <c r="BM598" t="s">
        <v>9975</v>
      </c>
      <c r="BN598" t="s">
        <v>74</v>
      </c>
      <c r="BO598" t="s">
        <v>74</v>
      </c>
      <c r="BP598" t="s">
        <v>74</v>
      </c>
      <c r="BQ598" t="s">
        <v>74</v>
      </c>
      <c r="BR598" t="s">
        <v>103</v>
      </c>
      <c r="BS598" t="s">
        <v>11030</v>
      </c>
      <c r="BT598" t="str">
        <f>HYPERLINK("https%3A%2F%2Fwww.webofscience.com%2Fwos%2Fwoscc%2Ffull-record%2FWOS:000291505600013","View Full Record in Web of Science")</f>
        <v>View Full Record in Web of Science</v>
      </c>
    </row>
    <row r="599" spans="1:72" x14ac:dyDescent="0.15">
      <c r="A599" t="s">
        <v>72</v>
      </c>
      <c r="B599" t="s">
        <v>11031</v>
      </c>
      <c r="C599" t="s">
        <v>74</v>
      </c>
      <c r="D599" t="s">
        <v>74</v>
      </c>
      <c r="E599" t="s">
        <v>74</v>
      </c>
      <c r="F599" t="s">
        <v>11032</v>
      </c>
      <c r="G599" t="s">
        <v>74</v>
      </c>
      <c r="H599" t="s">
        <v>74</v>
      </c>
      <c r="I599" t="s">
        <v>11033</v>
      </c>
      <c r="J599" t="s">
        <v>4460</v>
      </c>
      <c r="K599" t="s">
        <v>74</v>
      </c>
      <c r="L599" t="s">
        <v>74</v>
      </c>
      <c r="M599" t="s">
        <v>78</v>
      </c>
      <c r="N599" t="s">
        <v>79</v>
      </c>
      <c r="O599" t="s">
        <v>74</v>
      </c>
      <c r="P599" t="s">
        <v>74</v>
      </c>
      <c r="Q599" t="s">
        <v>74</v>
      </c>
      <c r="R599" t="s">
        <v>74</v>
      </c>
      <c r="S599" t="s">
        <v>74</v>
      </c>
      <c r="T599" t="s">
        <v>11034</v>
      </c>
      <c r="U599" t="s">
        <v>11035</v>
      </c>
      <c r="V599" t="s">
        <v>11036</v>
      </c>
      <c r="W599" t="s">
        <v>11037</v>
      </c>
      <c r="X599" t="s">
        <v>11038</v>
      </c>
      <c r="Y599" t="s">
        <v>11039</v>
      </c>
      <c r="Z599" t="s">
        <v>11040</v>
      </c>
      <c r="AA599" t="s">
        <v>11041</v>
      </c>
      <c r="AB599" t="s">
        <v>11042</v>
      </c>
      <c r="AC599" t="s">
        <v>11043</v>
      </c>
      <c r="AD599" t="s">
        <v>11044</v>
      </c>
      <c r="AE599" t="s">
        <v>11045</v>
      </c>
      <c r="AF599" t="s">
        <v>74</v>
      </c>
      <c r="AG599">
        <v>83</v>
      </c>
      <c r="AH599">
        <v>31</v>
      </c>
      <c r="AI599">
        <v>34</v>
      </c>
      <c r="AJ599">
        <v>2</v>
      </c>
      <c r="AK599">
        <v>24</v>
      </c>
      <c r="AL599" t="s">
        <v>926</v>
      </c>
      <c r="AM599" t="s">
        <v>508</v>
      </c>
      <c r="AN599" t="s">
        <v>927</v>
      </c>
      <c r="AO599" t="s">
        <v>4472</v>
      </c>
      <c r="AP599" t="s">
        <v>4473</v>
      </c>
      <c r="AQ599" t="s">
        <v>74</v>
      </c>
      <c r="AR599" t="s">
        <v>4474</v>
      </c>
      <c r="AS599" t="s">
        <v>4475</v>
      </c>
      <c r="AT599" t="s">
        <v>9900</v>
      </c>
      <c r="AU599">
        <v>2011</v>
      </c>
      <c r="AV599">
        <v>58</v>
      </c>
      <c r="AW599" t="s">
        <v>9973</v>
      </c>
      <c r="AX599" t="s">
        <v>74</v>
      </c>
      <c r="AY599" t="s">
        <v>74</v>
      </c>
      <c r="AZ599" t="s">
        <v>74</v>
      </c>
      <c r="BA599" t="s">
        <v>74</v>
      </c>
      <c r="BB599">
        <v>1172</v>
      </c>
      <c r="BC599">
        <v>1181</v>
      </c>
      <c r="BD599" t="s">
        <v>74</v>
      </c>
      <c r="BE599" t="s">
        <v>11046</v>
      </c>
      <c r="BF599" t="str">
        <f>HYPERLINK("http://dx.doi.org/10.1016/j.dsr2.2010.10.033","http://dx.doi.org/10.1016/j.dsr2.2010.10.033")</f>
        <v>http://dx.doi.org/10.1016/j.dsr2.2010.10.033</v>
      </c>
      <c r="BG599" t="s">
        <v>74</v>
      </c>
      <c r="BH599" t="s">
        <v>74</v>
      </c>
      <c r="BI599">
        <v>10</v>
      </c>
      <c r="BJ599" t="s">
        <v>271</v>
      </c>
      <c r="BK599" t="s">
        <v>100</v>
      </c>
      <c r="BL599" t="s">
        <v>271</v>
      </c>
      <c r="BM599" t="s">
        <v>9975</v>
      </c>
      <c r="BN599" t="s">
        <v>74</v>
      </c>
      <c r="BO599" t="s">
        <v>74</v>
      </c>
      <c r="BP599" t="s">
        <v>74</v>
      </c>
      <c r="BQ599" t="s">
        <v>74</v>
      </c>
      <c r="BR599" t="s">
        <v>103</v>
      </c>
      <c r="BS599" t="s">
        <v>11047</v>
      </c>
      <c r="BT599" t="str">
        <f>HYPERLINK("https%3A%2F%2Fwww.webofscience.com%2Fwos%2Fwoscc%2Ffull-record%2FWOS:000291505600014","View Full Record in Web of Science")</f>
        <v>View Full Record in Web of Science</v>
      </c>
    </row>
    <row r="600" spans="1:72" x14ac:dyDescent="0.15">
      <c r="A600" t="s">
        <v>72</v>
      </c>
      <c r="B600" t="s">
        <v>11048</v>
      </c>
      <c r="C600" t="s">
        <v>74</v>
      </c>
      <c r="D600" t="s">
        <v>74</v>
      </c>
      <c r="E600" t="s">
        <v>74</v>
      </c>
      <c r="F600" t="s">
        <v>11049</v>
      </c>
      <c r="G600" t="s">
        <v>74</v>
      </c>
      <c r="H600" t="s">
        <v>74</v>
      </c>
      <c r="I600" t="s">
        <v>11050</v>
      </c>
      <c r="J600" t="s">
        <v>4460</v>
      </c>
      <c r="K600" t="s">
        <v>74</v>
      </c>
      <c r="L600" t="s">
        <v>74</v>
      </c>
      <c r="M600" t="s">
        <v>78</v>
      </c>
      <c r="N600" t="s">
        <v>79</v>
      </c>
      <c r="O600" t="s">
        <v>74</v>
      </c>
      <c r="P600" t="s">
        <v>74</v>
      </c>
      <c r="Q600" t="s">
        <v>74</v>
      </c>
      <c r="R600" t="s">
        <v>74</v>
      </c>
      <c r="S600" t="s">
        <v>74</v>
      </c>
      <c r="T600" t="s">
        <v>11051</v>
      </c>
      <c r="U600" t="s">
        <v>11052</v>
      </c>
      <c r="V600" t="s">
        <v>11053</v>
      </c>
      <c r="W600" t="s">
        <v>11054</v>
      </c>
      <c r="X600" t="s">
        <v>11055</v>
      </c>
      <c r="Y600" t="s">
        <v>11056</v>
      </c>
      <c r="Z600" t="s">
        <v>329</v>
      </c>
      <c r="AA600" t="s">
        <v>11057</v>
      </c>
      <c r="AB600" t="s">
        <v>11058</v>
      </c>
      <c r="AC600" t="s">
        <v>11059</v>
      </c>
      <c r="AD600" t="s">
        <v>11060</v>
      </c>
      <c r="AE600" t="s">
        <v>11061</v>
      </c>
      <c r="AF600" t="s">
        <v>74</v>
      </c>
      <c r="AG600">
        <v>55</v>
      </c>
      <c r="AH600">
        <v>42</v>
      </c>
      <c r="AI600">
        <v>44</v>
      </c>
      <c r="AJ600">
        <v>2</v>
      </c>
      <c r="AK600">
        <v>26</v>
      </c>
      <c r="AL600" t="s">
        <v>926</v>
      </c>
      <c r="AM600" t="s">
        <v>508</v>
      </c>
      <c r="AN600" t="s">
        <v>927</v>
      </c>
      <c r="AO600" t="s">
        <v>4472</v>
      </c>
      <c r="AP600" t="s">
        <v>4473</v>
      </c>
      <c r="AQ600" t="s">
        <v>74</v>
      </c>
      <c r="AR600" t="s">
        <v>4474</v>
      </c>
      <c r="AS600" t="s">
        <v>4475</v>
      </c>
      <c r="AT600" t="s">
        <v>9900</v>
      </c>
      <c r="AU600">
        <v>2011</v>
      </c>
      <c r="AV600">
        <v>58</v>
      </c>
      <c r="AW600" t="s">
        <v>9973</v>
      </c>
      <c r="AX600" t="s">
        <v>74</v>
      </c>
      <c r="AY600" t="s">
        <v>74</v>
      </c>
      <c r="AZ600" t="s">
        <v>74</v>
      </c>
      <c r="BA600" t="s">
        <v>74</v>
      </c>
      <c r="BB600">
        <v>1222</v>
      </c>
      <c r="BC600">
        <v>1236</v>
      </c>
      <c r="BD600" t="s">
        <v>74</v>
      </c>
      <c r="BE600" t="s">
        <v>11062</v>
      </c>
      <c r="BF600" t="str">
        <f>HYPERLINK("http://dx.doi.org/10.1016/j.dsr2.2010.10.036","http://dx.doi.org/10.1016/j.dsr2.2010.10.036")</f>
        <v>http://dx.doi.org/10.1016/j.dsr2.2010.10.036</v>
      </c>
      <c r="BG600" t="s">
        <v>74</v>
      </c>
      <c r="BH600" t="s">
        <v>74</v>
      </c>
      <c r="BI600">
        <v>15</v>
      </c>
      <c r="BJ600" t="s">
        <v>271</v>
      </c>
      <c r="BK600" t="s">
        <v>100</v>
      </c>
      <c r="BL600" t="s">
        <v>271</v>
      </c>
      <c r="BM600" t="s">
        <v>9975</v>
      </c>
      <c r="BN600" t="s">
        <v>74</v>
      </c>
      <c r="BO600" t="s">
        <v>74</v>
      </c>
      <c r="BP600" t="s">
        <v>74</v>
      </c>
      <c r="BQ600" t="s">
        <v>74</v>
      </c>
      <c r="BR600" t="s">
        <v>103</v>
      </c>
      <c r="BS600" t="s">
        <v>11063</v>
      </c>
      <c r="BT600" t="str">
        <f>HYPERLINK("https%3A%2F%2Fwww.webofscience.com%2Fwos%2Fwoscc%2Ffull-record%2FWOS:000291505600018","View Full Record in Web of Science")</f>
        <v>View Full Record in Web of Science</v>
      </c>
    </row>
    <row r="601" spans="1:72" x14ac:dyDescent="0.15">
      <c r="A601" t="s">
        <v>72</v>
      </c>
      <c r="B601" t="s">
        <v>11064</v>
      </c>
      <c r="C601" t="s">
        <v>74</v>
      </c>
      <c r="D601" t="s">
        <v>74</v>
      </c>
      <c r="E601" t="s">
        <v>74</v>
      </c>
      <c r="F601" t="s">
        <v>11065</v>
      </c>
      <c r="G601" t="s">
        <v>74</v>
      </c>
      <c r="H601" t="s">
        <v>74</v>
      </c>
      <c r="I601" t="s">
        <v>11066</v>
      </c>
      <c r="J601" t="s">
        <v>4460</v>
      </c>
      <c r="K601" t="s">
        <v>74</v>
      </c>
      <c r="L601" t="s">
        <v>74</v>
      </c>
      <c r="M601" t="s">
        <v>78</v>
      </c>
      <c r="N601" t="s">
        <v>79</v>
      </c>
      <c r="O601" t="s">
        <v>74</v>
      </c>
      <c r="P601" t="s">
        <v>74</v>
      </c>
      <c r="Q601" t="s">
        <v>74</v>
      </c>
      <c r="R601" t="s">
        <v>74</v>
      </c>
      <c r="S601" t="s">
        <v>74</v>
      </c>
      <c r="T601" t="s">
        <v>11067</v>
      </c>
      <c r="U601" t="s">
        <v>11068</v>
      </c>
      <c r="V601" t="s">
        <v>11069</v>
      </c>
      <c r="W601" t="s">
        <v>11070</v>
      </c>
      <c r="X601" t="s">
        <v>11071</v>
      </c>
      <c r="Y601" t="s">
        <v>11072</v>
      </c>
      <c r="Z601" t="s">
        <v>11073</v>
      </c>
      <c r="AA601" t="s">
        <v>11074</v>
      </c>
      <c r="AB601" t="s">
        <v>11075</v>
      </c>
      <c r="AC601" t="s">
        <v>11076</v>
      </c>
      <c r="AD601" t="s">
        <v>11077</v>
      </c>
      <c r="AE601" t="s">
        <v>11078</v>
      </c>
      <c r="AF601" t="s">
        <v>74</v>
      </c>
      <c r="AG601">
        <v>65</v>
      </c>
      <c r="AH601">
        <v>30</v>
      </c>
      <c r="AI601">
        <v>31</v>
      </c>
      <c r="AJ601">
        <v>0</v>
      </c>
      <c r="AK601">
        <v>12</v>
      </c>
      <c r="AL601" t="s">
        <v>926</v>
      </c>
      <c r="AM601" t="s">
        <v>508</v>
      </c>
      <c r="AN601" t="s">
        <v>927</v>
      </c>
      <c r="AO601" t="s">
        <v>4472</v>
      </c>
      <c r="AP601" t="s">
        <v>4473</v>
      </c>
      <c r="AQ601" t="s">
        <v>74</v>
      </c>
      <c r="AR601" t="s">
        <v>4474</v>
      </c>
      <c r="AS601" t="s">
        <v>4475</v>
      </c>
      <c r="AT601" t="s">
        <v>9900</v>
      </c>
      <c r="AU601">
        <v>2011</v>
      </c>
      <c r="AV601">
        <v>58</v>
      </c>
      <c r="AW601" t="s">
        <v>9973</v>
      </c>
      <c r="AX601" t="s">
        <v>74</v>
      </c>
      <c r="AY601" t="s">
        <v>74</v>
      </c>
      <c r="AZ601" t="s">
        <v>74</v>
      </c>
      <c r="BA601" t="s">
        <v>74</v>
      </c>
      <c r="BB601">
        <v>1237</v>
      </c>
      <c r="BC601">
        <v>1249</v>
      </c>
      <c r="BD601" t="s">
        <v>74</v>
      </c>
      <c r="BE601" t="s">
        <v>11079</v>
      </c>
      <c r="BF601" t="str">
        <f>HYPERLINK("http://dx.doi.org/10.1016/j.dsr2.2010.10.039","http://dx.doi.org/10.1016/j.dsr2.2010.10.039")</f>
        <v>http://dx.doi.org/10.1016/j.dsr2.2010.10.039</v>
      </c>
      <c r="BG601" t="s">
        <v>74</v>
      </c>
      <c r="BH601" t="s">
        <v>74</v>
      </c>
      <c r="BI601">
        <v>13</v>
      </c>
      <c r="BJ601" t="s">
        <v>271</v>
      </c>
      <c r="BK601" t="s">
        <v>100</v>
      </c>
      <c r="BL601" t="s">
        <v>271</v>
      </c>
      <c r="BM601" t="s">
        <v>9975</v>
      </c>
      <c r="BN601" t="s">
        <v>74</v>
      </c>
      <c r="BO601" t="s">
        <v>702</v>
      </c>
      <c r="BP601" t="s">
        <v>74</v>
      </c>
      <c r="BQ601" t="s">
        <v>74</v>
      </c>
      <c r="BR601" t="s">
        <v>103</v>
      </c>
      <c r="BS601" t="s">
        <v>11080</v>
      </c>
      <c r="BT601" t="str">
        <f>HYPERLINK("https%3A%2F%2Fwww.webofscience.com%2Fwos%2Fwoscc%2Ffull-record%2FWOS:000291505600019","View Full Record in Web of Science")</f>
        <v>View Full Record in Web of Science</v>
      </c>
    </row>
    <row r="602" spans="1:72" x14ac:dyDescent="0.15">
      <c r="A602" t="s">
        <v>72</v>
      </c>
      <c r="B602" t="s">
        <v>11081</v>
      </c>
      <c r="C602" t="s">
        <v>74</v>
      </c>
      <c r="D602" t="s">
        <v>74</v>
      </c>
      <c r="E602" t="s">
        <v>74</v>
      </c>
      <c r="F602" t="s">
        <v>11082</v>
      </c>
      <c r="G602" t="s">
        <v>74</v>
      </c>
      <c r="H602" t="s">
        <v>74</v>
      </c>
      <c r="I602" t="s">
        <v>11083</v>
      </c>
      <c r="J602" t="s">
        <v>4460</v>
      </c>
      <c r="K602" t="s">
        <v>74</v>
      </c>
      <c r="L602" t="s">
        <v>74</v>
      </c>
      <c r="M602" t="s">
        <v>78</v>
      </c>
      <c r="N602" t="s">
        <v>79</v>
      </c>
      <c r="O602" t="s">
        <v>74</v>
      </c>
      <c r="P602" t="s">
        <v>74</v>
      </c>
      <c r="Q602" t="s">
        <v>74</v>
      </c>
      <c r="R602" t="s">
        <v>74</v>
      </c>
      <c r="S602" t="s">
        <v>74</v>
      </c>
      <c r="T602" t="s">
        <v>11084</v>
      </c>
      <c r="U602" t="s">
        <v>11085</v>
      </c>
      <c r="V602" t="s">
        <v>11086</v>
      </c>
      <c r="W602" t="s">
        <v>11087</v>
      </c>
      <c r="X602" t="s">
        <v>11088</v>
      </c>
      <c r="Y602" t="s">
        <v>11089</v>
      </c>
      <c r="Z602" t="s">
        <v>11090</v>
      </c>
      <c r="AA602" t="s">
        <v>74</v>
      </c>
      <c r="AB602" t="s">
        <v>74</v>
      </c>
      <c r="AC602" t="s">
        <v>11091</v>
      </c>
      <c r="AD602" t="s">
        <v>2575</v>
      </c>
      <c r="AE602" t="s">
        <v>11092</v>
      </c>
      <c r="AF602" t="s">
        <v>74</v>
      </c>
      <c r="AG602">
        <v>81</v>
      </c>
      <c r="AH602">
        <v>39</v>
      </c>
      <c r="AI602">
        <v>45</v>
      </c>
      <c r="AJ602">
        <v>1</v>
      </c>
      <c r="AK602">
        <v>100</v>
      </c>
      <c r="AL602" t="s">
        <v>926</v>
      </c>
      <c r="AM602" t="s">
        <v>508</v>
      </c>
      <c r="AN602" t="s">
        <v>927</v>
      </c>
      <c r="AO602" t="s">
        <v>4472</v>
      </c>
      <c r="AP602" t="s">
        <v>4473</v>
      </c>
      <c r="AQ602" t="s">
        <v>74</v>
      </c>
      <c r="AR602" t="s">
        <v>4474</v>
      </c>
      <c r="AS602" t="s">
        <v>4475</v>
      </c>
      <c r="AT602" t="s">
        <v>9900</v>
      </c>
      <c r="AU602">
        <v>2011</v>
      </c>
      <c r="AV602">
        <v>58</v>
      </c>
      <c r="AW602" t="s">
        <v>9973</v>
      </c>
      <c r="AX602" t="s">
        <v>74</v>
      </c>
      <c r="AY602" t="s">
        <v>74</v>
      </c>
      <c r="AZ602" t="s">
        <v>74</v>
      </c>
      <c r="BA602" t="s">
        <v>74</v>
      </c>
      <c r="BB602">
        <v>1261</v>
      </c>
      <c r="BC602">
        <v>1276</v>
      </c>
      <c r="BD602" t="s">
        <v>74</v>
      </c>
      <c r="BE602" t="s">
        <v>11093</v>
      </c>
      <c r="BF602" t="str">
        <f>HYPERLINK("http://dx.doi.org/10.1016/j.dsr2.2010.10.037","http://dx.doi.org/10.1016/j.dsr2.2010.10.037")</f>
        <v>http://dx.doi.org/10.1016/j.dsr2.2010.10.037</v>
      </c>
      <c r="BG602" t="s">
        <v>74</v>
      </c>
      <c r="BH602" t="s">
        <v>74</v>
      </c>
      <c r="BI602">
        <v>16</v>
      </c>
      <c r="BJ602" t="s">
        <v>271</v>
      </c>
      <c r="BK602" t="s">
        <v>100</v>
      </c>
      <c r="BL602" t="s">
        <v>271</v>
      </c>
      <c r="BM602" t="s">
        <v>9975</v>
      </c>
      <c r="BN602" t="s">
        <v>74</v>
      </c>
      <c r="BO602" t="s">
        <v>74</v>
      </c>
      <c r="BP602" t="s">
        <v>74</v>
      </c>
      <c r="BQ602" t="s">
        <v>74</v>
      </c>
      <c r="BR602" t="s">
        <v>103</v>
      </c>
      <c r="BS602" t="s">
        <v>11094</v>
      </c>
      <c r="BT602" t="str">
        <f>HYPERLINK("https%3A%2F%2Fwww.webofscience.com%2Fwos%2Fwoscc%2Ffull-record%2FWOS:000291505600021","View Full Record in Web of Science")</f>
        <v>View Full Record in Web of Science</v>
      </c>
    </row>
    <row r="603" spans="1:72" x14ac:dyDescent="0.15">
      <c r="A603" t="s">
        <v>72</v>
      </c>
      <c r="B603" t="s">
        <v>11095</v>
      </c>
      <c r="C603" t="s">
        <v>74</v>
      </c>
      <c r="D603" t="s">
        <v>74</v>
      </c>
      <c r="E603" t="s">
        <v>74</v>
      </c>
      <c r="F603" t="s">
        <v>11096</v>
      </c>
      <c r="G603" t="s">
        <v>74</v>
      </c>
      <c r="H603" t="s">
        <v>74</v>
      </c>
      <c r="I603" t="s">
        <v>11097</v>
      </c>
      <c r="J603" t="s">
        <v>2229</v>
      </c>
      <c r="K603" t="s">
        <v>74</v>
      </c>
      <c r="L603" t="s">
        <v>74</v>
      </c>
      <c r="M603" t="s">
        <v>78</v>
      </c>
      <c r="N603" t="s">
        <v>79</v>
      </c>
      <c r="O603" t="s">
        <v>74</v>
      </c>
      <c r="P603" t="s">
        <v>74</v>
      </c>
      <c r="Q603" t="s">
        <v>74</v>
      </c>
      <c r="R603" t="s">
        <v>74</v>
      </c>
      <c r="S603" t="s">
        <v>74</v>
      </c>
      <c r="T603" t="s">
        <v>11098</v>
      </c>
      <c r="U603" t="s">
        <v>11099</v>
      </c>
      <c r="V603" t="s">
        <v>11100</v>
      </c>
      <c r="W603" t="s">
        <v>11101</v>
      </c>
      <c r="X603" t="s">
        <v>11102</v>
      </c>
      <c r="Y603" t="s">
        <v>11103</v>
      </c>
      <c r="Z603" t="s">
        <v>11104</v>
      </c>
      <c r="AA603" t="s">
        <v>11105</v>
      </c>
      <c r="AB603" t="s">
        <v>11106</v>
      </c>
      <c r="AC603" t="s">
        <v>11107</v>
      </c>
      <c r="AD603" t="s">
        <v>11107</v>
      </c>
      <c r="AE603" t="s">
        <v>11108</v>
      </c>
      <c r="AF603" t="s">
        <v>74</v>
      </c>
      <c r="AG603">
        <v>54</v>
      </c>
      <c r="AH603">
        <v>109</v>
      </c>
      <c r="AI603">
        <v>122</v>
      </c>
      <c r="AJ603">
        <v>4</v>
      </c>
      <c r="AK603">
        <v>131</v>
      </c>
      <c r="AL603" t="s">
        <v>308</v>
      </c>
      <c r="AM603" t="s">
        <v>309</v>
      </c>
      <c r="AN603" t="s">
        <v>310</v>
      </c>
      <c r="AO603" t="s">
        <v>2242</v>
      </c>
      <c r="AP603" t="s">
        <v>2243</v>
      </c>
      <c r="AQ603" t="s">
        <v>74</v>
      </c>
      <c r="AR603" t="s">
        <v>2244</v>
      </c>
      <c r="AS603" t="s">
        <v>2245</v>
      </c>
      <c r="AT603" t="s">
        <v>9883</v>
      </c>
      <c r="AU603">
        <v>2011</v>
      </c>
      <c r="AV603">
        <v>305</v>
      </c>
      <c r="AW603" t="s">
        <v>2154</v>
      </c>
      <c r="AX603" t="s">
        <v>74</v>
      </c>
      <c r="AY603" t="s">
        <v>74</v>
      </c>
      <c r="AZ603" t="s">
        <v>74</v>
      </c>
      <c r="BA603" t="s">
        <v>74</v>
      </c>
      <c r="BB603">
        <v>83</v>
      </c>
      <c r="BC603">
        <v>91</v>
      </c>
      <c r="BD603" t="s">
        <v>74</v>
      </c>
      <c r="BE603" t="s">
        <v>11109</v>
      </c>
      <c r="BF603" t="str">
        <f>HYPERLINK("http://dx.doi.org/10.1016/j.epsl.2011.02.044","http://dx.doi.org/10.1016/j.epsl.2011.02.044")</f>
        <v>http://dx.doi.org/10.1016/j.epsl.2011.02.044</v>
      </c>
      <c r="BG603" t="s">
        <v>74</v>
      </c>
      <c r="BH603" t="s">
        <v>74</v>
      </c>
      <c r="BI603">
        <v>9</v>
      </c>
      <c r="BJ603" t="s">
        <v>488</v>
      </c>
      <c r="BK603" t="s">
        <v>100</v>
      </c>
      <c r="BL603" t="s">
        <v>488</v>
      </c>
      <c r="BM603" t="s">
        <v>11110</v>
      </c>
      <c r="BN603" t="s">
        <v>74</v>
      </c>
      <c r="BO603" t="s">
        <v>74</v>
      </c>
      <c r="BP603" t="s">
        <v>74</v>
      </c>
      <c r="BQ603" t="s">
        <v>74</v>
      </c>
      <c r="BR603" t="s">
        <v>103</v>
      </c>
      <c r="BS603" t="s">
        <v>11111</v>
      </c>
      <c r="BT603" t="str">
        <f>HYPERLINK("https%3A%2F%2Fwww.webofscience.com%2Fwos%2Fwoscc%2Ffull-record%2FWOS:000290192800009","View Full Record in Web of Science")</f>
        <v>View Full Record in Web of Science</v>
      </c>
    </row>
    <row r="604" spans="1:72" x14ac:dyDescent="0.15">
      <c r="A604" t="s">
        <v>72</v>
      </c>
      <c r="B604" t="s">
        <v>11112</v>
      </c>
      <c r="C604" t="s">
        <v>74</v>
      </c>
      <c r="D604" t="s">
        <v>74</v>
      </c>
      <c r="E604" t="s">
        <v>74</v>
      </c>
      <c r="F604" t="s">
        <v>11113</v>
      </c>
      <c r="G604" t="s">
        <v>74</v>
      </c>
      <c r="H604" t="s">
        <v>74</v>
      </c>
      <c r="I604" t="s">
        <v>11114</v>
      </c>
      <c r="J604" t="s">
        <v>11115</v>
      </c>
      <c r="K604" t="s">
        <v>74</v>
      </c>
      <c r="L604" t="s">
        <v>74</v>
      </c>
      <c r="M604" t="s">
        <v>78</v>
      </c>
      <c r="N604" t="s">
        <v>79</v>
      </c>
      <c r="O604" t="s">
        <v>74</v>
      </c>
      <c r="P604" t="s">
        <v>74</v>
      </c>
      <c r="Q604" t="s">
        <v>74</v>
      </c>
      <c r="R604" t="s">
        <v>74</v>
      </c>
      <c r="S604" t="s">
        <v>74</v>
      </c>
      <c r="T604" t="s">
        <v>11116</v>
      </c>
      <c r="U604" t="s">
        <v>11117</v>
      </c>
      <c r="V604" t="s">
        <v>11118</v>
      </c>
      <c r="W604" t="s">
        <v>11119</v>
      </c>
      <c r="X604" t="s">
        <v>11120</v>
      </c>
      <c r="Y604" t="s">
        <v>11121</v>
      </c>
      <c r="Z604" t="s">
        <v>11122</v>
      </c>
      <c r="AA604" t="s">
        <v>11123</v>
      </c>
      <c r="AB604" t="s">
        <v>11124</v>
      </c>
      <c r="AC604" t="s">
        <v>11125</v>
      </c>
      <c r="AD604" t="s">
        <v>11126</v>
      </c>
      <c r="AE604" t="s">
        <v>11127</v>
      </c>
      <c r="AF604" t="s">
        <v>74</v>
      </c>
      <c r="AG604">
        <v>68</v>
      </c>
      <c r="AH604">
        <v>37</v>
      </c>
      <c r="AI604">
        <v>38</v>
      </c>
      <c r="AJ604">
        <v>0</v>
      </c>
      <c r="AK604">
        <v>10</v>
      </c>
      <c r="AL604" t="s">
        <v>4399</v>
      </c>
      <c r="AM604" t="s">
        <v>4400</v>
      </c>
      <c r="AN604" t="s">
        <v>4401</v>
      </c>
      <c r="AO604" t="s">
        <v>11128</v>
      </c>
      <c r="AP604" t="s">
        <v>11129</v>
      </c>
      <c r="AQ604" t="s">
        <v>74</v>
      </c>
      <c r="AR604" t="s">
        <v>11130</v>
      </c>
      <c r="AS604" t="s">
        <v>11131</v>
      </c>
      <c r="AT604" t="s">
        <v>9900</v>
      </c>
      <c r="AU604">
        <v>2011</v>
      </c>
      <c r="AV604">
        <v>47</v>
      </c>
      <c r="AW604">
        <v>2</v>
      </c>
      <c r="AX604" t="s">
        <v>74</v>
      </c>
      <c r="AY604" t="s">
        <v>74</v>
      </c>
      <c r="AZ604" t="s">
        <v>74</v>
      </c>
      <c r="BA604" t="s">
        <v>74</v>
      </c>
      <c r="BB604">
        <v>103</v>
      </c>
      <c r="BC604">
        <v>123</v>
      </c>
      <c r="BD604" t="s">
        <v>74</v>
      </c>
      <c r="BE604" t="s">
        <v>11132</v>
      </c>
      <c r="BF604" t="str">
        <f>HYPERLINK("http://dx.doi.org/10.1016/j.ejop.2011.01.002","http://dx.doi.org/10.1016/j.ejop.2011.01.002")</f>
        <v>http://dx.doi.org/10.1016/j.ejop.2011.01.002</v>
      </c>
      <c r="BG604" t="s">
        <v>74</v>
      </c>
      <c r="BH604" t="s">
        <v>74</v>
      </c>
      <c r="BI604">
        <v>21</v>
      </c>
      <c r="BJ604" t="s">
        <v>892</v>
      </c>
      <c r="BK604" t="s">
        <v>100</v>
      </c>
      <c r="BL604" t="s">
        <v>892</v>
      </c>
      <c r="BM604" t="s">
        <v>11133</v>
      </c>
      <c r="BN604">
        <v>21459562</v>
      </c>
      <c r="BO604" t="s">
        <v>74</v>
      </c>
      <c r="BP604" t="s">
        <v>74</v>
      </c>
      <c r="BQ604" t="s">
        <v>74</v>
      </c>
      <c r="BR604" t="s">
        <v>103</v>
      </c>
      <c r="BS604" t="s">
        <v>11134</v>
      </c>
      <c r="BT604" t="str">
        <f>HYPERLINK("https%3A%2F%2Fwww.webofscience.com%2Fwos%2Fwoscc%2Ffull-record%2FWOS:000293438900005","View Full Record in Web of Science")</f>
        <v>View Full Record in Web of Science</v>
      </c>
    </row>
    <row r="605" spans="1:72" x14ac:dyDescent="0.15">
      <c r="A605" t="s">
        <v>72</v>
      </c>
      <c r="B605" t="s">
        <v>11135</v>
      </c>
      <c r="C605" t="s">
        <v>74</v>
      </c>
      <c r="D605" t="s">
        <v>74</v>
      </c>
      <c r="E605" t="s">
        <v>74</v>
      </c>
      <c r="F605" t="s">
        <v>11136</v>
      </c>
      <c r="G605" t="s">
        <v>74</v>
      </c>
      <c r="H605" t="s">
        <v>74</v>
      </c>
      <c r="I605" t="s">
        <v>11137</v>
      </c>
      <c r="J605" t="s">
        <v>11138</v>
      </c>
      <c r="K605" t="s">
        <v>74</v>
      </c>
      <c r="L605" t="s">
        <v>74</v>
      </c>
      <c r="M605" t="s">
        <v>78</v>
      </c>
      <c r="N605" t="s">
        <v>2002</v>
      </c>
      <c r="O605" t="s">
        <v>74</v>
      </c>
      <c r="P605" t="s">
        <v>74</v>
      </c>
      <c r="Q605" t="s">
        <v>74</v>
      </c>
      <c r="R605" t="s">
        <v>74</v>
      </c>
      <c r="S605" t="s">
        <v>74</v>
      </c>
      <c r="T605" t="s">
        <v>74</v>
      </c>
      <c r="U605" t="s">
        <v>11139</v>
      </c>
      <c r="V605" t="s">
        <v>74</v>
      </c>
      <c r="W605" t="s">
        <v>11140</v>
      </c>
      <c r="X605" t="s">
        <v>11141</v>
      </c>
      <c r="Y605" t="s">
        <v>11142</v>
      </c>
      <c r="Z605" t="s">
        <v>11143</v>
      </c>
      <c r="AA605" t="s">
        <v>6287</v>
      </c>
      <c r="AB605" t="s">
        <v>11144</v>
      </c>
      <c r="AC605" t="s">
        <v>74</v>
      </c>
      <c r="AD605" t="s">
        <v>74</v>
      </c>
      <c r="AE605" t="s">
        <v>74</v>
      </c>
      <c r="AF605" t="s">
        <v>74</v>
      </c>
      <c r="AG605">
        <v>4</v>
      </c>
      <c r="AH605">
        <v>6</v>
      </c>
      <c r="AI605">
        <v>7</v>
      </c>
      <c r="AJ605">
        <v>1</v>
      </c>
      <c r="AK605">
        <v>9</v>
      </c>
      <c r="AL605" t="s">
        <v>7324</v>
      </c>
      <c r="AM605" t="s">
        <v>121</v>
      </c>
      <c r="AN605" t="s">
        <v>7325</v>
      </c>
      <c r="AO605" t="s">
        <v>11145</v>
      </c>
      <c r="AP605" t="s">
        <v>74</v>
      </c>
      <c r="AQ605" t="s">
        <v>74</v>
      </c>
      <c r="AR605" t="s">
        <v>11146</v>
      </c>
      <c r="AS605" t="s">
        <v>11147</v>
      </c>
      <c r="AT605" t="s">
        <v>9900</v>
      </c>
      <c r="AU605">
        <v>2011</v>
      </c>
      <c r="AV605">
        <v>9</v>
      </c>
      <c r="AW605">
        <v>4</v>
      </c>
      <c r="AX605" t="s">
        <v>74</v>
      </c>
      <c r="AY605" t="s">
        <v>74</v>
      </c>
      <c r="AZ605" t="s">
        <v>74</v>
      </c>
      <c r="BA605" t="s">
        <v>74</v>
      </c>
      <c r="BB605">
        <v>246</v>
      </c>
      <c r="BC605">
        <v>247</v>
      </c>
      <c r="BD605" t="s">
        <v>74</v>
      </c>
      <c r="BE605" t="s">
        <v>11148</v>
      </c>
      <c r="BF605" t="str">
        <f>HYPERLINK("http://dx.doi.org/10.1890/1540-9295-9.4.246","http://dx.doi.org/10.1890/1540-9295-9.4.246")</f>
        <v>http://dx.doi.org/10.1890/1540-9295-9.4.246</v>
      </c>
      <c r="BG605" t="s">
        <v>74</v>
      </c>
      <c r="BH605" t="s">
        <v>74</v>
      </c>
      <c r="BI605">
        <v>2</v>
      </c>
      <c r="BJ605" t="s">
        <v>5962</v>
      </c>
      <c r="BK605" t="s">
        <v>100</v>
      </c>
      <c r="BL605" t="s">
        <v>5193</v>
      </c>
      <c r="BM605" t="s">
        <v>11149</v>
      </c>
      <c r="BN605" t="s">
        <v>74</v>
      </c>
      <c r="BO605" t="s">
        <v>74</v>
      </c>
      <c r="BP605" t="s">
        <v>74</v>
      </c>
      <c r="BQ605" t="s">
        <v>74</v>
      </c>
      <c r="BR605" t="s">
        <v>103</v>
      </c>
      <c r="BS605" t="s">
        <v>11150</v>
      </c>
      <c r="BT605" t="str">
        <f>HYPERLINK("https%3A%2F%2Fwww.webofscience.com%2Fwos%2Fwoscc%2Ffull-record%2FWOS:000291927800020","View Full Record in Web of Science")</f>
        <v>View Full Record in Web of Science</v>
      </c>
    </row>
    <row r="606" spans="1:72" x14ac:dyDescent="0.15">
      <c r="A606" t="s">
        <v>72</v>
      </c>
      <c r="B606" t="s">
        <v>11151</v>
      </c>
      <c r="C606" t="s">
        <v>74</v>
      </c>
      <c r="D606" t="s">
        <v>74</v>
      </c>
      <c r="E606" t="s">
        <v>74</v>
      </c>
      <c r="F606" t="s">
        <v>11152</v>
      </c>
      <c r="G606" t="s">
        <v>74</v>
      </c>
      <c r="H606" t="s">
        <v>74</v>
      </c>
      <c r="I606" t="s">
        <v>11153</v>
      </c>
      <c r="J606" t="s">
        <v>11154</v>
      </c>
      <c r="K606" t="s">
        <v>74</v>
      </c>
      <c r="L606" t="s">
        <v>74</v>
      </c>
      <c r="M606" t="s">
        <v>78</v>
      </c>
      <c r="N606" t="s">
        <v>79</v>
      </c>
      <c r="O606" t="s">
        <v>74</v>
      </c>
      <c r="P606" t="s">
        <v>74</v>
      </c>
      <c r="Q606" t="s">
        <v>74</v>
      </c>
      <c r="R606" t="s">
        <v>74</v>
      </c>
      <c r="S606" t="s">
        <v>74</v>
      </c>
      <c r="T606" t="s">
        <v>74</v>
      </c>
      <c r="U606" t="s">
        <v>11155</v>
      </c>
      <c r="V606" t="s">
        <v>11156</v>
      </c>
      <c r="W606" t="s">
        <v>11157</v>
      </c>
      <c r="X606" t="s">
        <v>11158</v>
      </c>
      <c r="Y606" t="s">
        <v>11159</v>
      </c>
      <c r="Z606" t="s">
        <v>11160</v>
      </c>
      <c r="AA606" t="s">
        <v>11161</v>
      </c>
      <c r="AB606" t="s">
        <v>11162</v>
      </c>
      <c r="AC606" t="s">
        <v>74</v>
      </c>
      <c r="AD606" t="s">
        <v>74</v>
      </c>
      <c r="AE606" t="s">
        <v>74</v>
      </c>
      <c r="AF606" t="s">
        <v>74</v>
      </c>
      <c r="AG606">
        <v>72</v>
      </c>
      <c r="AH606">
        <v>86</v>
      </c>
      <c r="AI606">
        <v>104</v>
      </c>
      <c r="AJ606">
        <v>2</v>
      </c>
      <c r="AK606">
        <v>29</v>
      </c>
      <c r="AL606" t="s">
        <v>1323</v>
      </c>
      <c r="AM606" t="s">
        <v>1324</v>
      </c>
      <c r="AN606" t="s">
        <v>1325</v>
      </c>
      <c r="AO606" t="s">
        <v>11163</v>
      </c>
      <c r="AP606" t="s">
        <v>11164</v>
      </c>
      <c r="AQ606" t="s">
        <v>74</v>
      </c>
      <c r="AR606" t="s">
        <v>11154</v>
      </c>
      <c r="AS606" t="s">
        <v>11165</v>
      </c>
      <c r="AT606" t="s">
        <v>9900</v>
      </c>
      <c r="AU606">
        <v>2011</v>
      </c>
      <c r="AV606">
        <v>9</v>
      </c>
      <c r="AW606">
        <v>3</v>
      </c>
      <c r="AX606" t="s">
        <v>74</v>
      </c>
      <c r="AY606" t="s">
        <v>74</v>
      </c>
      <c r="AZ606" t="s">
        <v>74</v>
      </c>
      <c r="BA606" t="s">
        <v>74</v>
      </c>
      <c r="BB606">
        <v>280</v>
      </c>
      <c r="BC606">
        <v>293</v>
      </c>
      <c r="BD606" t="s">
        <v>74</v>
      </c>
      <c r="BE606" t="s">
        <v>11166</v>
      </c>
      <c r="BF606" t="str">
        <f>HYPERLINK("http://dx.doi.org/10.1111/j.1472-4669.2011.00279.x","http://dx.doi.org/10.1111/j.1472-4669.2011.00279.x")</f>
        <v>http://dx.doi.org/10.1111/j.1472-4669.2011.00279.x</v>
      </c>
      <c r="BG606" t="s">
        <v>74</v>
      </c>
      <c r="BH606" t="s">
        <v>74</v>
      </c>
      <c r="BI606">
        <v>14</v>
      </c>
      <c r="BJ606" t="s">
        <v>11167</v>
      </c>
      <c r="BK606" t="s">
        <v>100</v>
      </c>
      <c r="BL606" t="s">
        <v>11168</v>
      </c>
      <c r="BM606" t="s">
        <v>11169</v>
      </c>
      <c r="BN606">
        <v>21504538</v>
      </c>
      <c r="BO606" t="s">
        <v>74</v>
      </c>
      <c r="BP606" t="s">
        <v>74</v>
      </c>
      <c r="BQ606" t="s">
        <v>74</v>
      </c>
      <c r="BR606" t="s">
        <v>103</v>
      </c>
      <c r="BS606" t="s">
        <v>11170</v>
      </c>
      <c r="BT606" t="str">
        <f>HYPERLINK("https%3A%2F%2Fwww.webofscience.com%2Fwos%2Fwoscc%2Ffull-record%2FWOS:000289730400006","View Full Record in Web of Science")</f>
        <v>View Full Record in Web of Science</v>
      </c>
    </row>
    <row r="607" spans="1:72" x14ac:dyDescent="0.15">
      <c r="A607" t="s">
        <v>72</v>
      </c>
      <c r="B607" t="s">
        <v>11171</v>
      </c>
      <c r="C607" t="s">
        <v>74</v>
      </c>
      <c r="D607" t="s">
        <v>74</v>
      </c>
      <c r="E607" t="s">
        <v>74</v>
      </c>
      <c r="F607" t="s">
        <v>11172</v>
      </c>
      <c r="G607" t="s">
        <v>74</v>
      </c>
      <c r="H607" t="s">
        <v>74</v>
      </c>
      <c r="I607" t="s">
        <v>11173</v>
      </c>
      <c r="J607" t="s">
        <v>6187</v>
      </c>
      <c r="K607" t="s">
        <v>74</v>
      </c>
      <c r="L607" t="s">
        <v>74</v>
      </c>
      <c r="M607" t="s">
        <v>78</v>
      </c>
      <c r="N607" t="s">
        <v>79</v>
      </c>
      <c r="O607" t="s">
        <v>74</v>
      </c>
      <c r="P607" t="s">
        <v>74</v>
      </c>
      <c r="Q607" t="s">
        <v>74</v>
      </c>
      <c r="R607" t="s">
        <v>74</v>
      </c>
      <c r="S607" t="s">
        <v>74</v>
      </c>
      <c r="T607" t="s">
        <v>74</v>
      </c>
      <c r="U607" t="s">
        <v>11174</v>
      </c>
      <c r="V607" t="s">
        <v>11175</v>
      </c>
      <c r="W607" t="s">
        <v>11176</v>
      </c>
      <c r="X607" t="s">
        <v>11177</v>
      </c>
      <c r="Y607" t="s">
        <v>11178</v>
      </c>
      <c r="Z607" t="s">
        <v>11179</v>
      </c>
      <c r="AA607" t="s">
        <v>11180</v>
      </c>
      <c r="AB607" t="s">
        <v>11181</v>
      </c>
      <c r="AC607" t="s">
        <v>11182</v>
      </c>
      <c r="AD607" t="s">
        <v>11183</v>
      </c>
      <c r="AE607" t="s">
        <v>11184</v>
      </c>
      <c r="AF607" t="s">
        <v>74</v>
      </c>
      <c r="AG607">
        <v>79</v>
      </c>
      <c r="AH607">
        <v>82</v>
      </c>
      <c r="AI607">
        <v>87</v>
      </c>
      <c r="AJ607">
        <v>0</v>
      </c>
      <c r="AK607">
        <v>19</v>
      </c>
      <c r="AL607" t="s">
        <v>1712</v>
      </c>
      <c r="AM607" t="s">
        <v>1036</v>
      </c>
      <c r="AN607" t="s">
        <v>1713</v>
      </c>
      <c r="AO607" t="s">
        <v>6197</v>
      </c>
      <c r="AP607" t="s">
        <v>74</v>
      </c>
      <c r="AQ607" t="s">
        <v>74</v>
      </c>
      <c r="AR607" t="s">
        <v>6199</v>
      </c>
      <c r="AS607" t="s">
        <v>6200</v>
      </c>
      <c r="AT607" t="s">
        <v>10385</v>
      </c>
      <c r="AU607">
        <v>2011</v>
      </c>
      <c r="AV607">
        <v>123</v>
      </c>
      <c r="AW607" t="s">
        <v>10386</v>
      </c>
      <c r="AX607" t="s">
        <v>74</v>
      </c>
      <c r="AY607" t="s">
        <v>74</v>
      </c>
      <c r="AZ607" t="s">
        <v>74</v>
      </c>
      <c r="BA607" t="s">
        <v>74</v>
      </c>
      <c r="BB607">
        <v>997</v>
      </c>
      <c r="BC607">
        <v>1015</v>
      </c>
      <c r="BD607" t="s">
        <v>74</v>
      </c>
      <c r="BE607" t="s">
        <v>11185</v>
      </c>
      <c r="BF607" t="str">
        <f>HYPERLINK("http://dx.doi.org/10.1130/B30282.1","http://dx.doi.org/10.1130/B30282.1")</f>
        <v>http://dx.doi.org/10.1130/B30282.1</v>
      </c>
      <c r="BG607" t="s">
        <v>74</v>
      </c>
      <c r="BH607" t="s">
        <v>74</v>
      </c>
      <c r="BI607">
        <v>19</v>
      </c>
      <c r="BJ607" t="s">
        <v>130</v>
      </c>
      <c r="BK607" t="s">
        <v>100</v>
      </c>
      <c r="BL607" t="s">
        <v>131</v>
      </c>
      <c r="BM607" t="s">
        <v>11186</v>
      </c>
      <c r="BN607" t="s">
        <v>74</v>
      </c>
      <c r="BO607" t="s">
        <v>74</v>
      </c>
      <c r="BP607" t="s">
        <v>74</v>
      </c>
      <c r="BQ607" t="s">
        <v>74</v>
      </c>
      <c r="BR607" t="s">
        <v>103</v>
      </c>
      <c r="BS607" t="s">
        <v>11187</v>
      </c>
      <c r="BT607" t="str">
        <f>HYPERLINK("https%3A%2F%2Fwww.webofscience.com%2Fwos%2Fwoscc%2Ffull-record%2FWOS:000288792500013","View Full Record in Web of Science")</f>
        <v>View Full Record in Web of Science</v>
      </c>
    </row>
    <row r="608" spans="1:72" x14ac:dyDescent="0.15">
      <c r="A608" t="s">
        <v>72</v>
      </c>
      <c r="B608" t="s">
        <v>11188</v>
      </c>
      <c r="C608" t="s">
        <v>74</v>
      </c>
      <c r="D608" t="s">
        <v>74</v>
      </c>
      <c r="E608" t="s">
        <v>74</v>
      </c>
      <c r="F608" t="s">
        <v>11189</v>
      </c>
      <c r="G608" t="s">
        <v>74</v>
      </c>
      <c r="H608" t="s">
        <v>74</v>
      </c>
      <c r="I608" t="s">
        <v>11190</v>
      </c>
      <c r="J608" t="s">
        <v>5300</v>
      </c>
      <c r="K608" t="s">
        <v>74</v>
      </c>
      <c r="L608" t="s">
        <v>74</v>
      </c>
      <c r="M608" t="s">
        <v>78</v>
      </c>
      <c r="N608" t="s">
        <v>79</v>
      </c>
      <c r="O608" t="s">
        <v>74</v>
      </c>
      <c r="P608" t="s">
        <v>74</v>
      </c>
      <c r="Q608" t="s">
        <v>74</v>
      </c>
      <c r="R608" t="s">
        <v>74</v>
      </c>
      <c r="S608" t="s">
        <v>74</v>
      </c>
      <c r="T608" t="s">
        <v>74</v>
      </c>
      <c r="U608" t="s">
        <v>11191</v>
      </c>
      <c r="V608" t="s">
        <v>11192</v>
      </c>
      <c r="W608" t="s">
        <v>11193</v>
      </c>
      <c r="X608" t="s">
        <v>11194</v>
      </c>
      <c r="Y608" t="s">
        <v>11195</v>
      </c>
      <c r="Z608" t="s">
        <v>11196</v>
      </c>
      <c r="AA608" t="s">
        <v>11197</v>
      </c>
      <c r="AB608" t="s">
        <v>11198</v>
      </c>
      <c r="AC608" t="s">
        <v>11199</v>
      </c>
      <c r="AD608" t="s">
        <v>11199</v>
      </c>
      <c r="AE608" t="s">
        <v>11200</v>
      </c>
      <c r="AF608" t="s">
        <v>74</v>
      </c>
      <c r="AG608">
        <v>36</v>
      </c>
      <c r="AH608">
        <v>56</v>
      </c>
      <c r="AI608">
        <v>60</v>
      </c>
      <c r="AJ608">
        <v>1</v>
      </c>
      <c r="AK608">
        <v>26</v>
      </c>
      <c r="AL608" t="s">
        <v>1712</v>
      </c>
      <c r="AM608" t="s">
        <v>1036</v>
      </c>
      <c r="AN608" t="s">
        <v>1713</v>
      </c>
      <c r="AO608" t="s">
        <v>5311</v>
      </c>
      <c r="AP608" t="s">
        <v>5328</v>
      </c>
      <c r="AQ608" t="s">
        <v>74</v>
      </c>
      <c r="AR608" t="s">
        <v>5300</v>
      </c>
      <c r="AS608" t="s">
        <v>131</v>
      </c>
      <c r="AT608" t="s">
        <v>9900</v>
      </c>
      <c r="AU608">
        <v>2011</v>
      </c>
      <c r="AV608">
        <v>39</v>
      </c>
      <c r="AW608">
        <v>5</v>
      </c>
      <c r="AX608" t="s">
        <v>74</v>
      </c>
      <c r="AY608" t="s">
        <v>74</v>
      </c>
      <c r="AZ608" t="s">
        <v>74</v>
      </c>
      <c r="BA608" t="s">
        <v>74</v>
      </c>
      <c r="BB608">
        <v>455</v>
      </c>
      <c r="BC608">
        <v>458</v>
      </c>
      <c r="BD608" t="s">
        <v>74</v>
      </c>
      <c r="BE608" t="s">
        <v>11201</v>
      </c>
      <c r="BF608" t="str">
        <f>HYPERLINK("http://dx.doi.org/10.1130/G31827.1","http://dx.doi.org/10.1130/G31827.1")</f>
        <v>http://dx.doi.org/10.1130/G31827.1</v>
      </c>
      <c r="BG608" t="s">
        <v>74</v>
      </c>
      <c r="BH608" t="s">
        <v>74</v>
      </c>
      <c r="BI608">
        <v>4</v>
      </c>
      <c r="BJ608" t="s">
        <v>131</v>
      </c>
      <c r="BK608" t="s">
        <v>100</v>
      </c>
      <c r="BL608" t="s">
        <v>131</v>
      </c>
      <c r="BM608" t="s">
        <v>11202</v>
      </c>
      <c r="BN608" t="s">
        <v>74</v>
      </c>
      <c r="BO608" t="s">
        <v>74</v>
      </c>
      <c r="BP608" t="s">
        <v>74</v>
      </c>
      <c r="BQ608" t="s">
        <v>74</v>
      </c>
      <c r="BR608" t="s">
        <v>103</v>
      </c>
      <c r="BS608" t="s">
        <v>11203</v>
      </c>
      <c r="BT608" t="str">
        <f>HYPERLINK("https%3A%2F%2Fwww.webofscience.com%2Fwos%2Fwoscc%2Ffull-record%2FWOS:000289416500016","View Full Record in Web of Science")</f>
        <v>View Full Record in Web of Science</v>
      </c>
    </row>
    <row r="609" spans="1:72" x14ac:dyDescent="0.15">
      <c r="A609" t="s">
        <v>72</v>
      </c>
      <c r="B609" t="s">
        <v>11204</v>
      </c>
      <c r="C609" t="s">
        <v>74</v>
      </c>
      <c r="D609" t="s">
        <v>74</v>
      </c>
      <c r="E609" t="s">
        <v>74</v>
      </c>
      <c r="F609" t="s">
        <v>11205</v>
      </c>
      <c r="G609" t="s">
        <v>74</v>
      </c>
      <c r="H609" t="s">
        <v>74</v>
      </c>
      <c r="I609" t="s">
        <v>11206</v>
      </c>
      <c r="J609" t="s">
        <v>5300</v>
      </c>
      <c r="K609" t="s">
        <v>74</v>
      </c>
      <c r="L609" t="s">
        <v>74</v>
      </c>
      <c r="M609" t="s">
        <v>78</v>
      </c>
      <c r="N609" t="s">
        <v>79</v>
      </c>
      <c r="O609" t="s">
        <v>74</v>
      </c>
      <c r="P609" t="s">
        <v>74</v>
      </c>
      <c r="Q609" t="s">
        <v>74</v>
      </c>
      <c r="R609" t="s">
        <v>74</v>
      </c>
      <c r="S609" t="s">
        <v>74</v>
      </c>
      <c r="T609" t="s">
        <v>74</v>
      </c>
      <c r="U609" t="s">
        <v>11207</v>
      </c>
      <c r="V609" t="s">
        <v>74</v>
      </c>
      <c r="W609" t="s">
        <v>11208</v>
      </c>
      <c r="X609" t="s">
        <v>11209</v>
      </c>
      <c r="Y609" t="s">
        <v>11210</v>
      </c>
      <c r="Z609" t="s">
        <v>74</v>
      </c>
      <c r="AA609" t="s">
        <v>11211</v>
      </c>
      <c r="AB609" t="s">
        <v>11212</v>
      </c>
      <c r="AC609" t="s">
        <v>11213</v>
      </c>
      <c r="AD609" t="s">
        <v>2067</v>
      </c>
      <c r="AE609" t="s">
        <v>74</v>
      </c>
      <c r="AF609" t="s">
        <v>74</v>
      </c>
      <c r="AG609">
        <v>10</v>
      </c>
      <c r="AH609">
        <v>8</v>
      </c>
      <c r="AI609">
        <v>8</v>
      </c>
      <c r="AJ609">
        <v>0</v>
      </c>
      <c r="AK609">
        <v>9</v>
      </c>
      <c r="AL609" t="s">
        <v>1712</v>
      </c>
      <c r="AM609" t="s">
        <v>1036</v>
      </c>
      <c r="AN609" t="s">
        <v>1713</v>
      </c>
      <c r="AO609" t="s">
        <v>5311</v>
      </c>
      <c r="AP609" t="s">
        <v>74</v>
      </c>
      <c r="AQ609" t="s">
        <v>74</v>
      </c>
      <c r="AR609" t="s">
        <v>5300</v>
      </c>
      <c r="AS609" t="s">
        <v>131</v>
      </c>
      <c r="AT609" t="s">
        <v>9900</v>
      </c>
      <c r="AU609">
        <v>2011</v>
      </c>
      <c r="AV609">
        <v>39</v>
      </c>
      <c r="AW609">
        <v>5</v>
      </c>
      <c r="AX609" t="s">
        <v>74</v>
      </c>
      <c r="AY609" t="s">
        <v>74</v>
      </c>
      <c r="AZ609" t="s">
        <v>74</v>
      </c>
      <c r="BA609" t="s">
        <v>74</v>
      </c>
      <c r="BB609" t="s">
        <v>11214</v>
      </c>
      <c r="BC609" t="s">
        <v>11214</v>
      </c>
      <c r="BD609" t="s">
        <v>74</v>
      </c>
      <c r="BE609" t="s">
        <v>11215</v>
      </c>
      <c r="BF609" t="str">
        <f>HYPERLINK("http://dx.doi.org/10.1130/G32140Y.1","http://dx.doi.org/10.1130/G32140Y.1")</f>
        <v>http://dx.doi.org/10.1130/G32140Y.1</v>
      </c>
      <c r="BG609" t="s">
        <v>74</v>
      </c>
      <c r="BH609" t="s">
        <v>74</v>
      </c>
      <c r="BI609">
        <v>1</v>
      </c>
      <c r="BJ609" t="s">
        <v>131</v>
      </c>
      <c r="BK609" t="s">
        <v>100</v>
      </c>
      <c r="BL609" t="s">
        <v>131</v>
      </c>
      <c r="BM609" t="s">
        <v>11202</v>
      </c>
      <c r="BN609" t="s">
        <v>74</v>
      </c>
      <c r="BO609" t="s">
        <v>594</v>
      </c>
      <c r="BP609" t="s">
        <v>74</v>
      </c>
      <c r="BQ609" t="s">
        <v>74</v>
      </c>
      <c r="BR609" t="s">
        <v>103</v>
      </c>
      <c r="BS609" t="s">
        <v>11216</v>
      </c>
      <c r="BT609" t="str">
        <f>HYPERLINK("https%3A%2F%2Fwww.webofscience.com%2Fwos%2Fwoscc%2Ffull-record%2FWOS:000289416500004","View Full Record in Web of Science")</f>
        <v>View Full Record in Web of Science</v>
      </c>
    </row>
    <row r="610" spans="1:72" x14ac:dyDescent="0.15">
      <c r="A610" t="s">
        <v>72</v>
      </c>
      <c r="B610" t="s">
        <v>11217</v>
      </c>
      <c r="C610" t="s">
        <v>74</v>
      </c>
      <c r="D610" t="s">
        <v>74</v>
      </c>
      <c r="E610" t="s">
        <v>74</v>
      </c>
      <c r="F610" t="s">
        <v>11218</v>
      </c>
      <c r="G610" t="s">
        <v>74</v>
      </c>
      <c r="H610" t="s">
        <v>74</v>
      </c>
      <c r="I610" t="s">
        <v>11219</v>
      </c>
      <c r="J610" t="s">
        <v>5300</v>
      </c>
      <c r="K610" t="s">
        <v>74</v>
      </c>
      <c r="L610" t="s">
        <v>74</v>
      </c>
      <c r="M610" t="s">
        <v>78</v>
      </c>
      <c r="N610" t="s">
        <v>79</v>
      </c>
      <c r="O610" t="s">
        <v>74</v>
      </c>
      <c r="P610" t="s">
        <v>74</v>
      </c>
      <c r="Q610" t="s">
        <v>74</v>
      </c>
      <c r="R610" t="s">
        <v>74</v>
      </c>
      <c r="S610" t="s">
        <v>74</v>
      </c>
      <c r="T610" t="s">
        <v>74</v>
      </c>
      <c r="U610" t="s">
        <v>11220</v>
      </c>
      <c r="V610" t="s">
        <v>74</v>
      </c>
      <c r="W610" t="s">
        <v>11221</v>
      </c>
      <c r="X610" t="s">
        <v>11222</v>
      </c>
      <c r="Y610" t="s">
        <v>11223</v>
      </c>
      <c r="Z610" t="s">
        <v>74</v>
      </c>
      <c r="AA610" t="s">
        <v>74</v>
      </c>
      <c r="AB610" t="s">
        <v>74</v>
      </c>
      <c r="AC610" t="s">
        <v>11224</v>
      </c>
      <c r="AD610" t="s">
        <v>2005</v>
      </c>
      <c r="AE610" t="s">
        <v>74</v>
      </c>
      <c r="AF610" t="s">
        <v>74</v>
      </c>
      <c r="AG610">
        <v>18</v>
      </c>
      <c r="AH610">
        <v>14</v>
      </c>
      <c r="AI610">
        <v>14</v>
      </c>
      <c r="AJ610">
        <v>0</v>
      </c>
      <c r="AK610">
        <v>7</v>
      </c>
      <c r="AL610" t="s">
        <v>1712</v>
      </c>
      <c r="AM610" t="s">
        <v>1036</v>
      </c>
      <c r="AN610" t="s">
        <v>1713</v>
      </c>
      <c r="AO610" t="s">
        <v>5311</v>
      </c>
      <c r="AP610" t="s">
        <v>5328</v>
      </c>
      <c r="AQ610" t="s">
        <v>74</v>
      </c>
      <c r="AR610" t="s">
        <v>5300</v>
      </c>
      <c r="AS610" t="s">
        <v>131</v>
      </c>
      <c r="AT610" t="s">
        <v>9900</v>
      </c>
      <c r="AU610">
        <v>2011</v>
      </c>
      <c r="AV610">
        <v>39</v>
      </c>
      <c r="AW610">
        <v>5</v>
      </c>
      <c r="AX610" t="s">
        <v>74</v>
      </c>
      <c r="AY610" t="s">
        <v>74</v>
      </c>
      <c r="AZ610" t="s">
        <v>74</v>
      </c>
      <c r="BA610" t="s">
        <v>74</v>
      </c>
      <c r="BB610" t="s">
        <v>11225</v>
      </c>
      <c r="BC610" t="s">
        <v>11225</v>
      </c>
      <c r="BD610" t="s">
        <v>74</v>
      </c>
      <c r="BE610" t="s">
        <v>11226</v>
      </c>
      <c r="BF610" t="str">
        <f>HYPERLINK("http://dx.doi.org/10.1130/G31533C.1","http://dx.doi.org/10.1130/G31533C.1")</f>
        <v>http://dx.doi.org/10.1130/G31533C.1</v>
      </c>
      <c r="BG610" t="s">
        <v>74</v>
      </c>
      <c r="BH610" t="s">
        <v>74</v>
      </c>
      <c r="BI610">
        <v>1</v>
      </c>
      <c r="BJ610" t="s">
        <v>131</v>
      </c>
      <c r="BK610" t="s">
        <v>100</v>
      </c>
      <c r="BL610" t="s">
        <v>131</v>
      </c>
      <c r="BM610" t="s">
        <v>11202</v>
      </c>
      <c r="BN610" t="s">
        <v>74</v>
      </c>
      <c r="BO610" t="s">
        <v>152</v>
      </c>
      <c r="BP610" t="s">
        <v>74</v>
      </c>
      <c r="BQ610" t="s">
        <v>74</v>
      </c>
      <c r="BR610" t="s">
        <v>103</v>
      </c>
      <c r="BS610" t="s">
        <v>11227</v>
      </c>
      <c r="BT610" t="str">
        <f>HYPERLINK("https%3A%2F%2Fwww.webofscience.com%2Fwos%2Fwoscc%2Ffull-record%2FWOS:000289416500003","View Full Record in Web of Science")</f>
        <v>View Full Record in Web of Science</v>
      </c>
    </row>
    <row r="611" spans="1:72" x14ac:dyDescent="0.15">
      <c r="A611" t="s">
        <v>72</v>
      </c>
      <c r="B611" t="s">
        <v>11228</v>
      </c>
      <c r="C611" t="s">
        <v>74</v>
      </c>
      <c r="D611" t="s">
        <v>74</v>
      </c>
      <c r="E611" t="s">
        <v>74</v>
      </c>
      <c r="F611" t="s">
        <v>11229</v>
      </c>
      <c r="G611" t="s">
        <v>74</v>
      </c>
      <c r="H611" t="s">
        <v>74</v>
      </c>
      <c r="I611" t="s">
        <v>11230</v>
      </c>
      <c r="J611" t="s">
        <v>4274</v>
      </c>
      <c r="K611" t="s">
        <v>74</v>
      </c>
      <c r="L611" t="s">
        <v>74</v>
      </c>
      <c r="M611" t="s">
        <v>78</v>
      </c>
      <c r="N611" t="s">
        <v>79</v>
      </c>
      <c r="O611" t="s">
        <v>74</v>
      </c>
      <c r="P611" t="s">
        <v>74</v>
      </c>
      <c r="Q611" t="s">
        <v>74</v>
      </c>
      <c r="R611" t="s">
        <v>74</v>
      </c>
      <c r="S611" t="s">
        <v>74</v>
      </c>
      <c r="T611" t="s">
        <v>11231</v>
      </c>
      <c r="U611" t="s">
        <v>11232</v>
      </c>
      <c r="V611" t="s">
        <v>11233</v>
      </c>
      <c r="W611" t="s">
        <v>11234</v>
      </c>
      <c r="X611" t="s">
        <v>11235</v>
      </c>
      <c r="Y611" t="s">
        <v>11236</v>
      </c>
      <c r="Z611" t="s">
        <v>11237</v>
      </c>
      <c r="AA611" t="s">
        <v>11238</v>
      </c>
      <c r="AB611" t="s">
        <v>11239</v>
      </c>
      <c r="AC611" t="s">
        <v>74</v>
      </c>
      <c r="AD611" t="s">
        <v>74</v>
      </c>
      <c r="AE611" t="s">
        <v>74</v>
      </c>
      <c r="AF611" t="s">
        <v>74</v>
      </c>
      <c r="AG611">
        <v>100</v>
      </c>
      <c r="AH611">
        <v>4</v>
      </c>
      <c r="AI611">
        <v>7</v>
      </c>
      <c r="AJ611">
        <v>2</v>
      </c>
      <c r="AK611">
        <v>32</v>
      </c>
      <c r="AL611" t="s">
        <v>308</v>
      </c>
      <c r="AM611" t="s">
        <v>309</v>
      </c>
      <c r="AN611" t="s">
        <v>310</v>
      </c>
      <c r="AO611" t="s">
        <v>4283</v>
      </c>
      <c r="AP611" t="s">
        <v>4284</v>
      </c>
      <c r="AQ611" t="s">
        <v>74</v>
      </c>
      <c r="AR611" t="s">
        <v>4285</v>
      </c>
      <c r="AS611" t="s">
        <v>4286</v>
      </c>
      <c r="AT611" t="s">
        <v>9900</v>
      </c>
      <c r="AU611">
        <v>2011</v>
      </c>
      <c r="AV611">
        <v>77</v>
      </c>
      <c r="AW611" t="s">
        <v>2154</v>
      </c>
      <c r="AX611" t="s">
        <v>74</v>
      </c>
      <c r="AY611" t="s">
        <v>74</v>
      </c>
      <c r="AZ611" t="s">
        <v>74</v>
      </c>
      <c r="BA611" t="s">
        <v>74</v>
      </c>
      <c r="BB611">
        <v>34</v>
      </c>
      <c r="BC611">
        <v>48</v>
      </c>
      <c r="BD611" t="s">
        <v>74</v>
      </c>
      <c r="BE611" t="s">
        <v>11240</v>
      </c>
      <c r="BF611" t="str">
        <f>HYPERLINK("http://dx.doi.org/10.1016/j.gloplacha.2011.02.008","http://dx.doi.org/10.1016/j.gloplacha.2011.02.008")</f>
        <v>http://dx.doi.org/10.1016/j.gloplacha.2011.02.008</v>
      </c>
      <c r="BG611" t="s">
        <v>74</v>
      </c>
      <c r="BH611" t="s">
        <v>74</v>
      </c>
      <c r="BI611">
        <v>15</v>
      </c>
      <c r="BJ611" t="s">
        <v>1496</v>
      </c>
      <c r="BK611" t="s">
        <v>100</v>
      </c>
      <c r="BL611" t="s">
        <v>1497</v>
      </c>
      <c r="BM611" t="s">
        <v>11241</v>
      </c>
      <c r="BN611" t="s">
        <v>74</v>
      </c>
      <c r="BO611" t="s">
        <v>74</v>
      </c>
      <c r="BP611" t="s">
        <v>74</v>
      </c>
      <c r="BQ611" t="s">
        <v>74</v>
      </c>
      <c r="BR611" t="s">
        <v>103</v>
      </c>
      <c r="BS611" t="s">
        <v>11242</v>
      </c>
      <c r="BT611" t="str">
        <f>HYPERLINK("https%3A%2F%2Fwww.webofscience.com%2Fwos%2Fwoscc%2Ffull-record%2FWOS:000292360100005","View Full Record in Web of Science")</f>
        <v>View Full Record in Web of Science</v>
      </c>
    </row>
    <row r="612" spans="1:72" x14ac:dyDescent="0.15">
      <c r="A612" t="s">
        <v>72</v>
      </c>
      <c r="B612" t="s">
        <v>11243</v>
      </c>
      <c r="C612" t="s">
        <v>74</v>
      </c>
      <c r="D612" t="s">
        <v>74</v>
      </c>
      <c r="E612" t="s">
        <v>74</v>
      </c>
      <c r="F612" t="s">
        <v>11244</v>
      </c>
      <c r="G612" t="s">
        <v>74</v>
      </c>
      <c r="H612" t="s">
        <v>74</v>
      </c>
      <c r="I612" t="s">
        <v>11245</v>
      </c>
      <c r="J612" t="s">
        <v>11246</v>
      </c>
      <c r="K612" t="s">
        <v>74</v>
      </c>
      <c r="L612" t="s">
        <v>74</v>
      </c>
      <c r="M612" t="s">
        <v>78</v>
      </c>
      <c r="N612" t="s">
        <v>79</v>
      </c>
      <c r="O612" t="s">
        <v>74</v>
      </c>
      <c r="P612" t="s">
        <v>74</v>
      </c>
      <c r="Q612" t="s">
        <v>74</v>
      </c>
      <c r="R612" t="s">
        <v>74</v>
      </c>
      <c r="S612" t="s">
        <v>74</v>
      </c>
      <c r="T612" t="s">
        <v>11247</v>
      </c>
      <c r="U612" t="s">
        <v>11248</v>
      </c>
      <c r="V612" t="s">
        <v>11249</v>
      </c>
      <c r="W612" t="s">
        <v>11250</v>
      </c>
      <c r="X612" t="s">
        <v>11251</v>
      </c>
      <c r="Y612" t="s">
        <v>1316</v>
      </c>
      <c r="Z612" t="s">
        <v>1317</v>
      </c>
      <c r="AA612" t="s">
        <v>11252</v>
      </c>
      <c r="AB612" t="s">
        <v>11253</v>
      </c>
      <c r="AC612" t="s">
        <v>11254</v>
      </c>
      <c r="AD612" t="s">
        <v>11255</v>
      </c>
      <c r="AE612" t="s">
        <v>11256</v>
      </c>
      <c r="AF612" t="s">
        <v>74</v>
      </c>
      <c r="AG612">
        <v>67</v>
      </c>
      <c r="AH612">
        <v>156</v>
      </c>
      <c r="AI612">
        <v>168</v>
      </c>
      <c r="AJ612">
        <v>9</v>
      </c>
      <c r="AK612">
        <v>98</v>
      </c>
      <c r="AL612" t="s">
        <v>11257</v>
      </c>
      <c r="AM612" t="s">
        <v>1490</v>
      </c>
      <c r="AN612" t="s">
        <v>11258</v>
      </c>
      <c r="AO612" t="s">
        <v>11259</v>
      </c>
      <c r="AP612" t="s">
        <v>11260</v>
      </c>
      <c r="AQ612" t="s">
        <v>74</v>
      </c>
      <c r="AR612" t="s">
        <v>11261</v>
      </c>
      <c r="AS612" t="s">
        <v>11262</v>
      </c>
      <c r="AT612" t="s">
        <v>9900</v>
      </c>
      <c r="AU612">
        <v>2011</v>
      </c>
      <c r="AV612">
        <v>5</v>
      </c>
      <c r="AW612">
        <v>5</v>
      </c>
      <c r="AX612" t="s">
        <v>74</v>
      </c>
      <c r="AY612" t="s">
        <v>74</v>
      </c>
      <c r="AZ612" t="s">
        <v>74</v>
      </c>
      <c r="BA612" t="s">
        <v>74</v>
      </c>
      <c r="BB612">
        <v>879</v>
      </c>
      <c r="BC612">
        <v>895</v>
      </c>
      <c r="BD612" t="s">
        <v>74</v>
      </c>
      <c r="BE612" t="s">
        <v>11263</v>
      </c>
      <c r="BF612" t="str">
        <f>HYPERLINK("http://dx.doi.org/10.1038/ismej.2010.185","http://dx.doi.org/10.1038/ismej.2010.185")</f>
        <v>http://dx.doi.org/10.1038/ismej.2010.185</v>
      </c>
      <c r="BG612" t="s">
        <v>74</v>
      </c>
      <c r="BH612" t="s">
        <v>74</v>
      </c>
      <c r="BI612">
        <v>17</v>
      </c>
      <c r="BJ612" t="s">
        <v>11264</v>
      </c>
      <c r="BK612" t="s">
        <v>100</v>
      </c>
      <c r="BL612" t="s">
        <v>11265</v>
      </c>
      <c r="BM612" t="s">
        <v>11266</v>
      </c>
      <c r="BN612">
        <v>21124488</v>
      </c>
      <c r="BO612" t="s">
        <v>3194</v>
      </c>
      <c r="BP612" t="s">
        <v>74</v>
      </c>
      <c r="BQ612" t="s">
        <v>74</v>
      </c>
      <c r="BR612" t="s">
        <v>103</v>
      </c>
      <c r="BS612" t="s">
        <v>11267</v>
      </c>
      <c r="BT612" t="str">
        <f>HYPERLINK("https%3A%2F%2Fwww.webofscience.com%2Fwos%2Fwoscc%2Ffull-record%2FWOS:000290022500011","View Full Record in Web of Science")</f>
        <v>View Full Record in Web of Science</v>
      </c>
    </row>
    <row r="613" spans="1:72" x14ac:dyDescent="0.15">
      <c r="A613" t="s">
        <v>72</v>
      </c>
      <c r="B613" t="s">
        <v>11268</v>
      </c>
      <c r="C613" t="s">
        <v>74</v>
      </c>
      <c r="D613" t="s">
        <v>74</v>
      </c>
      <c r="E613" t="s">
        <v>74</v>
      </c>
      <c r="F613" t="s">
        <v>11269</v>
      </c>
      <c r="G613" t="s">
        <v>74</v>
      </c>
      <c r="H613" t="s">
        <v>74</v>
      </c>
      <c r="I613" t="s">
        <v>11270</v>
      </c>
      <c r="J613" t="s">
        <v>913</v>
      </c>
      <c r="K613" t="s">
        <v>74</v>
      </c>
      <c r="L613" t="s">
        <v>74</v>
      </c>
      <c r="M613" t="s">
        <v>78</v>
      </c>
      <c r="N613" t="s">
        <v>79</v>
      </c>
      <c r="O613" t="s">
        <v>74</v>
      </c>
      <c r="P613" t="s">
        <v>74</v>
      </c>
      <c r="Q613" t="s">
        <v>74</v>
      </c>
      <c r="R613" t="s">
        <v>74</v>
      </c>
      <c r="S613" t="s">
        <v>74</v>
      </c>
      <c r="T613" t="s">
        <v>11271</v>
      </c>
      <c r="U613" t="s">
        <v>11272</v>
      </c>
      <c r="V613" t="s">
        <v>11273</v>
      </c>
      <c r="W613" t="s">
        <v>11274</v>
      </c>
      <c r="X613" t="s">
        <v>11275</v>
      </c>
      <c r="Y613" t="s">
        <v>11276</v>
      </c>
      <c r="Z613" t="s">
        <v>11277</v>
      </c>
      <c r="AA613" t="s">
        <v>11278</v>
      </c>
      <c r="AB613" t="s">
        <v>11279</v>
      </c>
      <c r="AC613" t="s">
        <v>11280</v>
      </c>
      <c r="AD613" t="s">
        <v>11281</v>
      </c>
      <c r="AE613" t="s">
        <v>11282</v>
      </c>
      <c r="AF613" t="s">
        <v>74</v>
      </c>
      <c r="AG613">
        <v>51</v>
      </c>
      <c r="AH613">
        <v>10</v>
      </c>
      <c r="AI613">
        <v>11</v>
      </c>
      <c r="AJ613">
        <v>0</v>
      </c>
      <c r="AK613">
        <v>3</v>
      </c>
      <c r="AL613" t="s">
        <v>926</v>
      </c>
      <c r="AM613" t="s">
        <v>508</v>
      </c>
      <c r="AN613" t="s">
        <v>927</v>
      </c>
      <c r="AO613" t="s">
        <v>928</v>
      </c>
      <c r="AP613" t="s">
        <v>74</v>
      </c>
      <c r="AQ613" t="s">
        <v>74</v>
      </c>
      <c r="AR613" t="s">
        <v>929</v>
      </c>
      <c r="AS613" t="s">
        <v>930</v>
      </c>
      <c r="AT613" t="s">
        <v>9900</v>
      </c>
      <c r="AU613">
        <v>2011</v>
      </c>
      <c r="AV613">
        <v>73</v>
      </c>
      <c r="AW613" t="s">
        <v>5648</v>
      </c>
      <c r="AX613" t="s">
        <v>74</v>
      </c>
      <c r="AY613" t="s">
        <v>74</v>
      </c>
      <c r="AZ613" t="s">
        <v>74</v>
      </c>
      <c r="BA613" t="s">
        <v>74</v>
      </c>
      <c r="BB613">
        <v>785</v>
      </c>
      <c r="BC613">
        <v>795</v>
      </c>
      <c r="BD613" t="s">
        <v>74</v>
      </c>
      <c r="BE613" t="s">
        <v>11283</v>
      </c>
      <c r="BF613" t="str">
        <f>HYPERLINK("http://dx.doi.org/10.1016/j.jastp.2011.01.014","http://dx.doi.org/10.1016/j.jastp.2011.01.014")</f>
        <v>http://dx.doi.org/10.1016/j.jastp.2011.01.014</v>
      </c>
      <c r="BG613" t="s">
        <v>74</v>
      </c>
      <c r="BH613" t="s">
        <v>74</v>
      </c>
      <c r="BI613">
        <v>11</v>
      </c>
      <c r="BJ613" t="s">
        <v>932</v>
      </c>
      <c r="BK613" t="s">
        <v>100</v>
      </c>
      <c r="BL613" t="s">
        <v>932</v>
      </c>
      <c r="BM613" t="s">
        <v>11284</v>
      </c>
      <c r="BN613" t="s">
        <v>74</v>
      </c>
      <c r="BO613" t="s">
        <v>74</v>
      </c>
      <c r="BP613" t="s">
        <v>74</v>
      </c>
      <c r="BQ613" t="s">
        <v>74</v>
      </c>
      <c r="BR613" t="s">
        <v>103</v>
      </c>
      <c r="BS613" t="s">
        <v>11285</v>
      </c>
      <c r="BT613" t="str">
        <f>HYPERLINK("https%3A%2F%2Fwww.webofscience.com%2Fwos%2Fwoscc%2Ffull-record%2FWOS:000289919900008","View Full Record in Web of Science")</f>
        <v>View Full Record in Web of Science</v>
      </c>
    </row>
    <row r="614" spans="1:72" x14ac:dyDescent="0.15">
      <c r="A614" t="s">
        <v>72</v>
      </c>
      <c r="B614" t="s">
        <v>11286</v>
      </c>
      <c r="C614" t="s">
        <v>74</v>
      </c>
      <c r="D614" t="s">
        <v>74</v>
      </c>
      <c r="E614" t="s">
        <v>74</v>
      </c>
      <c r="F614" t="s">
        <v>11287</v>
      </c>
      <c r="G614" t="s">
        <v>74</v>
      </c>
      <c r="H614" t="s">
        <v>74</v>
      </c>
      <c r="I614" t="s">
        <v>11288</v>
      </c>
      <c r="J614" t="s">
        <v>5590</v>
      </c>
      <c r="K614" t="s">
        <v>74</v>
      </c>
      <c r="L614" t="s">
        <v>74</v>
      </c>
      <c r="M614" t="s">
        <v>78</v>
      </c>
      <c r="N614" t="s">
        <v>79</v>
      </c>
      <c r="O614" t="s">
        <v>74</v>
      </c>
      <c r="P614" t="s">
        <v>74</v>
      </c>
      <c r="Q614" t="s">
        <v>74</v>
      </c>
      <c r="R614" t="s">
        <v>74</v>
      </c>
      <c r="S614" t="s">
        <v>74</v>
      </c>
      <c r="T614" t="s">
        <v>11289</v>
      </c>
      <c r="U614" t="s">
        <v>11290</v>
      </c>
      <c r="V614" t="s">
        <v>11291</v>
      </c>
      <c r="W614" t="s">
        <v>11292</v>
      </c>
      <c r="X614" t="s">
        <v>11293</v>
      </c>
      <c r="Y614" t="s">
        <v>11294</v>
      </c>
      <c r="Z614" t="s">
        <v>11295</v>
      </c>
      <c r="AA614" t="s">
        <v>74</v>
      </c>
      <c r="AB614" t="s">
        <v>11296</v>
      </c>
      <c r="AC614" t="s">
        <v>11297</v>
      </c>
      <c r="AD614" t="s">
        <v>11297</v>
      </c>
      <c r="AE614" t="s">
        <v>11298</v>
      </c>
      <c r="AF614" t="s">
        <v>74</v>
      </c>
      <c r="AG614">
        <v>47</v>
      </c>
      <c r="AH614">
        <v>14</v>
      </c>
      <c r="AI614">
        <v>16</v>
      </c>
      <c r="AJ614">
        <v>0</v>
      </c>
      <c r="AK614">
        <v>7</v>
      </c>
      <c r="AL614" t="s">
        <v>2968</v>
      </c>
      <c r="AM614" t="s">
        <v>508</v>
      </c>
      <c r="AN614" t="s">
        <v>2969</v>
      </c>
      <c r="AO614" t="s">
        <v>5601</v>
      </c>
      <c r="AP614" t="s">
        <v>8713</v>
      </c>
      <c r="AQ614" t="s">
        <v>74</v>
      </c>
      <c r="AR614" t="s">
        <v>5602</v>
      </c>
      <c r="AS614" t="s">
        <v>5603</v>
      </c>
      <c r="AT614" t="s">
        <v>9900</v>
      </c>
      <c r="AU614">
        <v>2011</v>
      </c>
      <c r="AV614">
        <v>33</v>
      </c>
      <c r="AW614">
        <v>5</v>
      </c>
      <c r="AX614" t="s">
        <v>74</v>
      </c>
      <c r="AY614" t="s">
        <v>74</v>
      </c>
      <c r="AZ614" t="s">
        <v>74</v>
      </c>
      <c r="BA614" t="s">
        <v>74</v>
      </c>
      <c r="BB614">
        <v>703</v>
      </c>
      <c r="BC614">
        <v>714</v>
      </c>
      <c r="BD614" t="s">
        <v>74</v>
      </c>
      <c r="BE614" t="s">
        <v>11299</v>
      </c>
      <c r="BF614" t="str">
        <f>HYPERLINK("http://dx.doi.org/10.1093/plankt/fbq144","http://dx.doi.org/10.1093/plankt/fbq144")</f>
        <v>http://dx.doi.org/10.1093/plankt/fbq144</v>
      </c>
      <c r="BG614" t="s">
        <v>74</v>
      </c>
      <c r="BH614" t="s">
        <v>74</v>
      </c>
      <c r="BI614">
        <v>12</v>
      </c>
      <c r="BJ614" t="s">
        <v>5605</v>
      </c>
      <c r="BK614" t="s">
        <v>100</v>
      </c>
      <c r="BL614" t="s">
        <v>5605</v>
      </c>
      <c r="BM614" t="s">
        <v>11300</v>
      </c>
      <c r="BN614" t="s">
        <v>74</v>
      </c>
      <c r="BO614" t="s">
        <v>152</v>
      </c>
      <c r="BP614" t="s">
        <v>74</v>
      </c>
      <c r="BQ614" t="s">
        <v>74</v>
      </c>
      <c r="BR614" t="s">
        <v>103</v>
      </c>
      <c r="BS614" t="s">
        <v>11301</v>
      </c>
      <c r="BT614" t="str">
        <f>HYPERLINK("https%3A%2F%2Fwww.webofscience.com%2Fwos%2Fwoscc%2Ffull-record%2FWOS:000289198500003","View Full Record in Web of Science")</f>
        <v>View Full Record in Web of Science</v>
      </c>
    </row>
    <row r="615" spans="1:72" x14ac:dyDescent="0.15">
      <c r="A615" t="s">
        <v>72</v>
      </c>
      <c r="B615" t="s">
        <v>11302</v>
      </c>
      <c r="C615" t="s">
        <v>74</v>
      </c>
      <c r="D615" t="s">
        <v>74</v>
      </c>
      <c r="E615" t="s">
        <v>74</v>
      </c>
      <c r="F615" t="s">
        <v>11303</v>
      </c>
      <c r="G615" t="s">
        <v>74</v>
      </c>
      <c r="H615" t="s">
        <v>74</v>
      </c>
      <c r="I615" t="s">
        <v>11304</v>
      </c>
      <c r="J615" t="s">
        <v>4233</v>
      </c>
      <c r="K615" t="s">
        <v>74</v>
      </c>
      <c r="L615" t="s">
        <v>74</v>
      </c>
      <c r="M615" t="s">
        <v>78</v>
      </c>
      <c r="N615" t="s">
        <v>79</v>
      </c>
      <c r="O615" t="s">
        <v>74</v>
      </c>
      <c r="P615" t="s">
        <v>74</v>
      </c>
      <c r="Q615" t="s">
        <v>74</v>
      </c>
      <c r="R615" t="s">
        <v>74</v>
      </c>
      <c r="S615" t="s">
        <v>74</v>
      </c>
      <c r="T615" t="s">
        <v>11305</v>
      </c>
      <c r="U615" t="s">
        <v>11306</v>
      </c>
      <c r="V615" t="s">
        <v>11307</v>
      </c>
      <c r="W615" t="s">
        <v>11308</v>
      </c>
      <c r="X615" t="s">
        <v>11309</v>
      </c>
      <c r="Y615" t="s">
        <v>11310</v>
      </c>
      <c r="Z615" t="s">
        <v>11311</v>
      </c>
      <c r="AA615" t="s">
        <v>11312</v>
      </c>
      <c r="AB615" t="s">
        <v>11313</v>
      </c>
      <c r="AC615" t="s">
        <v>11314</v>
      </c>
      <c r="AD615" t="s">
        <v>11315</v>
      </c>
      <c r="AE615" t="s">
        <v>11316</v>
      </c>
      <c r="AF615" t="s">
        <v>74</v>
      </c>
      <c r="AG615">
        <v>61</v>
      </c>
      <c r="AH615">
        <v>35</v>
      </c>
      <c r="AI615">
        <v>37</v>
      </c>
      <c r="AJ615">
        <v>0</v>
      </c>
      <c r="AK615">
        <v>21</v>
      </c>
      <c r="AL615" t="s">
        <v>4179</v>
      </c>
      <c r="AM615" t="s">
        <v>1324</v>
      </c>
      <c r="AN615" t="s">
        <v>1325</v>
      </c>
      <c r="AO615" t="s">
        <v>4243</v>
      </c>
      <c r="AP615" t="s">
        <v>4244</v>
      </c>
      <c r="AQ615" t="s">
        <v>74</v>
      </c>
      <c r="AR615" t="s">
        <v>4245</v>
      </c>
      <c r="AS615" t="s">
        <v>4246</v>
      </c>
      <c r="AT615" t="s">
        <v>9900</v>
      </c>
      <c r="AU615">
        <v>2011</v>
      </c>
      <c r="AV615">
        <v>26</v>
      </c>
      <c r="AW615">
        <v>4</v>
      </c>
      <c r="AX615" t="s">
        <v>74</v>
      </c>
      <c r="AY615" t="s">
        <v>74</v>
      </c>
      <c r="AZ615" t="s">
        <v>74</v>
      </c>
      <c r="BA615" t="s">
        <v>74</v>
      </c>
      <c r="BB615">
        <v>389</v>
      </c>
      <c r="BC615">
        <v>401</v>
      </c>
      <c r="BD615" t="s">
        <v>74</v>
      </c>
      <c r="BE615" t="s">
        <v>11317</v>
      </c>
      <c r="BF615" t="str">
        <f>HYPERLINK("http://dx.doi.org/10.1002/jqs.1463","http://dx.doi.org/10.1002/jqs.1463")</f>
        <v>http://dx.doi.org/10.1002/jqs.1463</v>
      </c>
      <c r="BG615" t="s">
        <v>74</v>
      </c>
      <c r="BH615" t="s">
        <v>74</v>
      </c>
      <c r="BI615">
        <v>13</v>
      </c>
      <c r="BJ615" t="s">
        <v>1496</v>
      </c>
      <c r="BK615" t="s">
        <v>100</v>
      </c>
      <c r="BL615" t="s">
        <v>1497</v>
      </c>
      <c r="BM615" t="s">
        <v>11318</v>
      </c>
      <c r="BN615" t="s">
        <v>74</v>
      </c>
      <c r="BO615" t="s">
        <v>74</v>
      </c>
      <c r="BP615" t="s">
        <v>74</v>
      </c>
      <c r="BQ615" t="s">
        <v>74</v>
      </c>
      <c r="BR615" t="s">
        <v>103</v>
      </c>
      <c r="BS615" t="s">
        <v>11319</v>
      </c>
      <c r="BT615" t="str">
        <f>HYPERLINK("https%3A%2F%2Fwww.webofscience.com%2Fwos%2Fwoscc%2Ffull-record%2FWOS:000291595200004","View Full Record in Web of Science")</f>
        <v>View Full Record in Web of Science</v>
      </c>
    </row>
    <row r="616" spans="1:72" x14ac:dyDescent="0.15">
      <c r="A616" t="s">
        <v>72</v>
      </c>
      <c r="B616" t="s">
        <v>11320</v>
      </c>
      <c r="C616" t="s">
        <v>74</v>
      </c>
      <c r="D616" t="s">
        <v>74</v>
      </c>
      <c r="E616" t="s">
        <v>74</v>
      </c>
      <c r="F616" t="s">
        <v>11321</v>
      </c>
      <c r="G616" t="s">
        <v>74</v>
      </c>
      <c r="H616" t="s">
        <v>74</v>
      </c>
      <c r="I616" t="s">
        <v>11322</v>
      </c>
      <c r="J616" t="s">
        <v>5663</v>
      </c>
      <c r="K616" t="s">
        <v>74</v>
      </c>
      <c r="L616" t="s">
        <v>74</v>
      </c>
      <c r="M616" t="s">
        <v>78</v>
      </c>
      <c r="N616" t="s">
        <v>79</v>
      </c>
      <c r="O616" t="s">
        <v>74</v>
      </c>
      <c r="P616" t="s">
        <v>74</v>
      </c>
      <c r="Q616" t="s">
        <v>74</v>
      </c>
      <c r="R616" t="s">
        <v>74</v>
      </c>
      <c r="S616" t="s">
        <v>74</v>
      </c>
      <c r="T616" t="s">
        <v>74</v>
      </c>
      <c r="U616" t="s">
        <v>11323</v>
      </c>
      <c r="V616" t="s">
        <v>11324</v>
      </c>
      <c r="W616" t="s">
        <v>11325</v>
      </c>
      <c r="X616" t="s">
        <v>11326</v>
      </c>
      <c r="Y616" t="s">
        <v>11327</v>
      </c>
      <c r="Z616" t="s">
        <v>11328</v>
      </c>
      <c r="AA616" t="s">
        <v>74</v>
      </c>
      <c r="AB616" t="s">
        <v>74</v>
      </c>
      <c r="AC616" t="s">
        <v>11329</v>
      </c>
      <c r="AD616" t="s">
        <v>11329</v>
      </c>
      <c r="AE616" t="s">
        <v>11330</v>
      </c>
      <c r="AF616" t="s">
        <v>74</v>
      </c>
      <c r="AG616">
        <v>27</v>
      </c>
      <c r="AH616">
        <v>31</v>
      </c>
      <c r="AI616">
        <v>34</v>
      </c>
      <c r="AJ616">
        <v>0</v>
      </c>
      <c r="AK616">
        <v>16</v>
      </c>
      <c r="AL616" t="s">
        <v>5672</v>
      </c>
      <c r="AM616" t="s">
        <v>5673</v>
      </c>
      <c r="AN616" t="s">
        <v>5674</v>
      </c>
      <c r="AO616" t="s">
        <v>5675</v>
      </c>
      <c r="AP616" t="s">
        <v>5695</v>
      </c>
      <c r="AQ616" t="s">
        <v>74</v>
      </c>
      <c r="AR616" t="s">
        <v>5676</v>
      </c>
      <c r="AS616" t="s">
        <v>5677</v>
      </c>
      <c r="AT616" t="s">
        <v>9900</v>
      </c>
      <c r="AU616">
        <v>2011</v>
      </c>
      <c r="AV616">
        <v>56</v>
      </c>
      <c r="AW616">
        <v>3</v>
      </c>
      <c r="AX616" t="s">
        <v>74</v>
      </c>
      <c r="AY616" t="s">
        <v>74</v>
      </c>
      <c r="AZ616" t="s">
        <v>74</v>
      </c>
      <c r="BA616" t="s">
        <v>74</v>
      </c>
      <c r="BB616">
        <v>765</v>
      </c>
      <c r="BC616">
        <v>774</v>
      </c>
      <c r="BD616" t="s">
        <v>74</v>
      </c>
      <c r="BE616" t="s">
        <v>11331</v>
      </c>
      <c r="BF616" t="str">
        <f>HYPERLINK("http://dx.doi.org/10.4319/lo.2011.56.3.0765","http://dx.doi.org/10.4319/lo.2011.56.3.0765")</f>
        <v>http://dx.doi.org/10.4319/lo.2011.56.3.0765</v>
      </c>
      <c r="BG616" t="s">
        <v>74</v>
      </c>
      <c r="BH616" t="s">
        <v>74</v>
      </c>
      <c r="BI616">
        <v>10</v>
      </c>
      <c r="BJ616" t="s">
        <v>5679</v>
      </c>
      <c r="BK616" t="s">
        <v>100</v>
      </c>
      <c r="BL616" t="s">
        <v>5605</v>
      </c>
      <c r="BM616" t="s">
        <v>10454</v>
      </c>
      <c r="BN616" t="s">
        <v>74</v>
      </c>
      <c r="BO616" t="s">
        <v>1039</v>
      </c>
      <c r="BP616" t="s">
        <v>74</v>
      </c>
      <c r="BQ616" t="s">
        <v>74</v>
      </c>
      <c r="BR616" t="s">
        <v>103</v>
      </c>
      <c r="BS616" t="s">
        <v>11332</v>
      </c>
      <c r="BT616" t="str">
        <f>HYPERLINK("https%3A%2F%2Fwww.webofscience.com%2Fwos%2Fwoscc%2Ffull-record%2FWOS:000290678100001","View Full Record in Web of Science")</f>
        <v>View Full Record in Web of Science</v>
      </c>
    </row>
    <row r="617" spans="1:72" x14ac:dyDescent="0.15">
      <c r="A617" t="s">
        <v>72</v>
      </c>
      <c r="B617" t="s">
        <v>11333</v>
      </c>
      <c r="C617" t="s">
        <v>74</v>
      </c>
      <c r="D617" t="s">
        <v>74</v>
      </c>
      <c r="E617" t="s">
        <v>74</v>
      </c>
      <c r="F617" t="s">
        <v>11334</v>
      </c>
      <c r="G617" t="s">
        <v>74</v>
      </c>
      <c r="H617" t="s">
        <v>74</v>
      </c>
      <c r="I617" t="s">
        <v>11335</v>
      </c>
      <c r="J617" t="s">
        <v>2542</v>
      </c>
      <c r="K617" t="s">
        <v>74</v>
      </c>
      <c r="L617" t="s">
        <v>74</v>
      </c>
      <c r="M617" t="s">
        <v>78</v>
      </c>
      <c r="N617" t="s">
        <v>79</v>
      </c>
      <c r="O617" t="s">
        <v>74</v>
      </c>
      <c r="P617" t="s">
        <v>74</v>
      </c>
      <c r="Q617" t="s">
        <v>74</v>
      </c>
      <c r="R617" t="s">
        <v>74</v>
      </c>
      <c r="S617" t="s">
        <v>74</v>
      </c>
      <c r="T617" t="s">
        <v>11336</v>
      </c>
      <c r="U617" t="s">
        <v>11337</v>
      </c>
      <c r="V617" t="s">
        <v>11338</v>
      </c>
      <c r="W617" t="s">
        <v>11339</v>
      </c>
      <c r="X617" t="s">
        <v>11340</v>
      </c>
      <c r="Y617" t="s">
        <v>11341</v>
      </c>
      <c r="Z617" t="s">
        <v>11342</v>
      </c>
      <c r="AA617" t="s">
        <v>11343</v>
      </c>
      <c r="AB617" t="s">
        <v>11344</v>
      </c>
      <c r="AC617" t="s">
        <v>11345</v>
      </c>
      <c r="AD617" t="s">
        <v>11346</v>
      </c>
      <c r="AE617" t="s">
        <v>11347</v>
      </c>
      <c r="AF617" t="s">
        <v>74</v>
      </c>
      <c r="AG617">
        <v>136</v>
      </c>
      <c r="AH617">
        <v>52</v>
      </c>
      <c r="AI617">
        <v>60</v>
      </c>
      <c r="AJ617">
        <v>1</v>
      </c>
      <c r="AK617">
        <v>20</v>
      </c>
      <c r="AL617" t="s">
        <v>1323</v>
      </c>
      <c r="AM617" t="s">
        <v>1324</v>
      </c>
      <c r="AN617" t="s">
        <v>1325</v>
      </c>
      <c r="AO617" t="s">
        <v>2553</v>
      </c>
      <c r="AP617" t="s">
        <v>2554</v>
      </c>
      <c r="AQ617" t="s">
        <v>74</v>
      </c>
      <c r="AR617" t="s">
        <v>2555</v>
      </c>
      <c r="AS617" t="s">
        <v>2556</v>
      </c>
      <c r="AT617" t="s">
        <v>9900</v>
      </c>
      <c r="AU617">
        <v>2011</v>
      </c>
      <c r="AV617">
        <v>20</v>
      </c>
      <c r="AW617">
        <v>9</v>
      </c>
      <c r="AX617" t="s">
        <v>74</v>
      </c>
      <c r="AY617" t="s">
        <v>74</v>
      </c>
      <c r="AZ617" t="s">
        <v>74</v>
      </c>
      <c r="BA617" t="s">
        <v>74</v>
      </c>
      <c r="BB617">
        <v>1936</v>
      </c>
      <c r="BC617">
        <v>1951</v>
      </c>
      <c r="BD617" t="s">
        <v>74</v>
      </c>
      <c r="BE617" t="s">
        <v>11348</v>
      </c>
      <c r="BF617" t="str">
        <f>HYPERLINK("http://dx.doi.org/10.1111/j.1365-294X.2011.05065.x","http://dx.doi.org/10.1111/j.1365-294X.2011.05065.x")</f>
        <v>http://dx.doi.org/10.1111/j.1365-294X.2011.05065.x</v>
      </c>
      <c r="BG617" t="s">
        <v>74</v>
      </c>
      <c r="BH617" t="s">
        <v>74</v>
      </c>
      <c r="BI617">
        <v>16</v>
      </c>
      <c r="BJ617" t="s">
        <v>2558</v>
      </c>
      <c r="BK617" t="s">
        <v>100</v>
      </c>
      <c r="BL617" t="s">
        <v>2559</v>
      </c>
      <c r="BM617" t="s">
        <v>11349</v>
      </c>
      <c r="BN617">
        <v>21418364</v>
      </c>
      <c r="BO617" t="s">
        <v>74</v>
      </c>
      <c r="BP617" t="s">
        <v>74</v>
      </c>
      <c r="BQ617" t="s">
        <v>74</v>
      </c>
      <c r="BR617" t="s">
        <v>103</v>
      </c>
      <c r="BS617" t="s">
        <v>11350</v>
      </c>
      <c r="BT617" t="str">
        <f>HYPERLINK("https%3A%2F%2Fwww.webofscience.com%2Fwos%2Fwoscc%2Ffull-record%2FWOS:000289522400014","View Full Record in Web of Science")</f>
        <v>View Full Record in Web of Science</v>
      </c>
    </row>
    <row r="618" spans="1:72" x14ac:dyDescent="0.15">
      <c r="A618" t="s">
        <v>72</v>
      </c>
      <c r="B618" t="s">
        <v>11351</v>
      </c>
      <c r="C618" t="s">
        <v>74</v>
      </c>
      <c r="D618" t="s">
        <v>74</v>
      </c>
      <c r="E618" t="s">
        <v>74</v>
      </c>
      <c r="F618" t="s">
        <v>11352</v>
      </c>
      <c r="G618" t="s">
        <v>74</v>
      </c>
      <c r="H618" t="s">
        <v>74</v>
      </c>
      <c r="I618" t="s">
        <v>11353</v>
      </c>
      <c r="J618" t="s">
        <v>11354</v>
      </c>
      <c r="K618" t="s">
        <v>74</v>
      </c>
      <c r="L618" t="s">
        <v>74</v>
      </c>
      <c r="M618" t="s">
        <v>78</v>
      </c>
      <c r="N618" t="s">
        <v>79</v>
      </c>
      <c r="O618" t="s">
        <v>74</v>
      </c>
      <c r="P618" t="s">
        <v>74</v>
      </c>
      <c r="Q618" t="s">
        <v>74</v>
      </c>
      <c r="R618" t="s">
        <v>74</v>
      </c>
      <c r="S618" t="s">
        <v>74</v>
      </c>
      <c r="T618" t="s">
        <v>74</v>
      </c>
      <c r="U618" t="s">
        <v>11355</v>
      </c>
      <c r="V618" t="s">
        <v>11356</v>
      </c>
      <c r="W618" t="s">
        <v>11357</v>
      </c>
      <c r="X618" t="s">
        <v>11358</v>
      </c>
      <c r="Y618" t="s">
        <v>11359</v>
      </c>
      <c r="Z618" t="s">
        <v>11360</v>
      </c>
      <c r="AA618" t="s">
        <v>11361</v>
      </c>
      <c r="AB618" t="s">
        <v>11362</v>
      </c>
      <c r="AC618" t="s">
        <v>11363</v>
      </c>
      <c r="AD618" t="s">
        <v>11364</v>
      </c>
      <c r="AE618" t="s">
        <v>11365</v>
      </c>
      <c r="AF618" t="s">
        <v>74</v>
      </c>
      <c r="AG618">
        <v>59</v>
      </c>
      <c r="AH618">
        <v>77</v>
      </c>
      <c r="AI618">
        <v>82</v>
      </c>
      <c r="AJ618">
        <v>4</v>
      </c>
      <c r="AK618">
        <v>54</v>
      </c>
      <c r="AL618" t="s">
        <v>2577</v>
      </c>
      <c r="AM618" t="s">
        <v>1490</v>
      </c>
      <c r="AN618" t="s">
        <v>6989</v>
      </c>
      <c r="AO618" t="s">
        <v>11366</v>
      </c>
      <c r="AP618" t="s">
        <v>74</v>
      </c>
      <c r="AQ618" t="s">
        <v>74</v>
      </c>
      <c r="AR618" t="s">
        <v>11367</v>
      </c>
      <c r="AS618" t="s">
        <v>11368</v>
      </c>
      <c r="AT618" t="s">
        <v>9900</v>
      </c>
      <c r="AU618">
        <v>2011</v>
      </c>
      <c r="AV618">
        <v>2</v>
      </c>
      <c r="AW618" t="s">
        <v>74</v>
      </c>
      <c r="AX618" t="s">
        <v>74</v>
      </c>
      <c r="AY618" t="s">
        <v>74</v>
      </c>
      <c r="AZ618" t="s">
        <v>74</v>
      </c>
      <c r="BA618" t="s">
        <v>74</v>
      </c>
      <c r="BB618" t="s">
        <v>74</v>
      </c>
      <c r="BC618" t="s">
        <v>74</v>
      </c>
      <c r="BD618">
        <v>332</v>
      </c>
      <c r="BE618" t="s">
        <v>11369</v>
      </c>
      <c r="BF618" t="str">
        <f>HYPERLINK("http://dx.doi.org/10.1038/ncomms1330","http://dx.doi.org/10.1038/ncomms1330")</f>
        <v>http://dx.doi.org/10.1038/ncomms1330</v>
      </c>
      <c r="BG618" t="s">
        <v>74</v>
      </c>
      <c r="BH618" t="s">
        <v>74</v>
      </c>
      <c r="BI618">
        <v>7</v>
      </c>
      <c r="BJ618" t="s">
        <v>177</v>
      </c>
      <c r="BK618" t="s">
        <v>100</v>
      </c>
      <c r="BL618" t="s">
        <v>178</v>
      </c>
      <c r="BM618" t="s">
        <v>11370</v>
      </c>
      <c r="BN618">
        <v>21629265</v>
      </c>
      <c r="BO618" t="s">
        <v>10358</v>
      </c>
      <c r="BP618" t="s">
        <v>74</v>
      </c>
      <c r="BQ618" t="s">
        <v>74</v>
      </c>
      <c r="BR618" t="s">
        <v>103</v>
      </c>
      <c r="BS618" t="s">
        <v>11371</v>
      </c>
      <c r="BT618" t="str">
        <f>HYPERLINK("https%3A%2F%2Fwww.webofscience.com%2Fwos%2Fwoscc%2Ffull-record%2FWOS:000294802600037","View Full Record in Web of Science")</f>
        <v>View Full Record in Web of Science</v>
      </c>
    </row>
    <row r="619" spans="1:72" x14ac:dyDescent="0.15">
      <c r="A619" t="s">
        <v>72</v>
      </c>
      <c r="B619" t="s">
        <v>11372</v>
      </c>
      <c r="C619" t="s">
        <v>74</v>
      </c>
      <c r="D619" t="s">
        <v>74</v>
      </c>
      <c r="E619" t="s">
        <v>74</v>
      </c>
      <c r="F619" t="s">
        <v>11373</v>
      </c>
      <c r="G619" t="s">
        <v>74</v>
      </c>
      <c r="H619" t="s">
        <v>74</v>
      </c>
      <c r="I619" t="s">
        <v>11374</v>
      </c>
      <c r="J619" t="s">
        <v>2565</v>
      </c>
      <c r="K619" t="s">
        <v>74</v>
      </c>
      <c r="L619" t="s">
        <v>74</v>
      </c>
      <c r="M619" t="s">
        <v>78</v>
      </c>
      <c r="N619" t="s">
        <v>79</v>
      </c>
      <c r="O619" t="s">
        <v>74</v>
      </c>
      <c r="P619" t="s">
        <v>74</v>
      </c>
      <c r="Q619" t="s">
        <v>74</v>
      </c>
      <c r="R619" t="s">
        <v>74</v>
      </c>
      <c r="S619" t="s">
        <v>74</v>
      </c>
      <c r="T619" t="s">
        <v>74</v>
      </c>
      <c r="U619" t="s">
        <v>11375</v>
      </c>
      <c r="V619" t="s">
        <v>11376</v>
      </c>
      <c r="W619" t="s">
        <v>11377</v>
      </c>
      <c r="X619" t="s">
        <v>11378</v>
      </c>
      <c r="Y619" t="s">
        <v>11379</v>
      </c>
      <c r="Z619" t="s">
        <v>11380</v>
      </c>
      <c r="AA619" t="s">
        <v>11381</v>
      </c>
      <c r="AB619" t="s">
        <v>11382</v>
      </c>
      <c r="AC619" t="s">
        <v>11383</v>
      </c>
      <c r="AD619" t="s">
        <v>11384</v>
      </c>
      <c r="AE619" t="s">
        <v>11385</v>
      </c>
      <c r="AF619" t="s">
        <v>74</v>
      </c>
      <c r="AG619">
        <v>31</v>
      </c>
      <c r="AH619">
        <v>173</v>
      </c>
      <c r="AI619">
        <v>191</v>
      </c>
      <c r="AJ619">
        <v>2</v>
      </c>
      <c r="AK619">
        <v>69</v>
      </c>
      <c r="AL619" t="s">
        <v>2577</v>
      </c>
      <c r="AM619" t="s">
        <v>91</v>
      </c>
      <c r="AN619" t="s">
        <v>2578</v>
      </c>
      <c r="AO619" t="s">
        <v>2579</v>
      </c>
      <c r="AP619" t="s">
        <v>2580</v>
      </c>
      <c r="AQ619" t="s">
        <v>74</v>
      </c>
      <c r="AR619" t="s">
        <v>2581</v>
      </c>
      <c r="AS619" t="s">
        <v>2582</v>
      </c>
      <c r="AT619" t="s">
        <v>9900</v>
      </c>
      <c r="AU619">
        <v>2011</v>
      </c>
      <c r="AV619">
        <v>4</v>
      </c>
      <c r="AW619">
        <v>5</v>
      </c>
      <c r="AX619" t="s">
        <v>74</v>
      </c>
      <c r="AY619" t="s">
        <v>74</v>
      </c>
      <c r="AZ619" t="s">
        <v>74</v>
      </c>
      <c r="BA619" t="s">
        <v>74</v>
      </c>
      <c r="BB619">
        <v>328</v>
      </c>
      <c r="BC619">
        <v>332</v>
      </c>
      <c r="BD619" t="s">
        <v>74</v>
      </c>
      <c r="BE619" t="s">
        <v>11386</v>
      </c>
      <c r="BF619" t="str">
        <f>HYPERLINK("http://dx.doi.org/10.1038/NGEO1118","http://dx.doi.org/10.1038/NGEO1118")</f>
        <v>http://dx.doi.org/10.1038/NGEO1118</v>
      </c>
      <c r="BG619" t="s">
        <v>74</v>
      </c>
      <c r="BH619" t="s">
        <v>74</v>
      </c>
      <c r="BI619">
        <v>5</v>
      </c>
      <c r="BJ619" t="s">
        <v>130</v>
      </c>
      <c r="BK619" t="s">
        <v>100</v>
      </c>
      <c r="BL619" t="s">
        <v>131</v>
      </c>
      <c r="BM619" t="s">
        <v>11387</v>
      </c>
      <c r="BN619" t="s">
        <v>74</v>
      </c>
      <c r="BO619" t="s">
        <v>74</v>
      </c>
      <c r="BP619" t="s">
        <v>74</v>
      </c>
      <c r="BQ619" t="s">
        <v>74</v>
      </c>
      <c r="BR619" t="s">
        <v>103</v>
      </c>
      <c r="BS619" t="s">
        <v>11388</v>
      </c>
      <c r="BT619" t="str">
        <f>HYPERLINK("https%3A%2F%2Fwww.webofscience.com%2Fwos%2Fwoscc%2Ffull-record%2FWOS:000290016000019","View Full Record in Web of Science")</f>
        <v>View Full Record in Web of Science</v>
      </c>
    </row>
    <row r="620" spans="1:72" x14ac:dyDescent="0.15">
      <c r="A620" t="s">
        <v>72</v>
      </c>
      <c r="B620" t="s">
        <v>11389</v>
      </c>
      <c r="C620" t="s">
        <v>74</v>
      </c>
      <c r="D620" t="s">
        <v>74</v>
      </c>
      <c r="E620" t="s">
        <v>74</v>
      </c>
      <c r="F620" t="s">
        <v>11390</v>
      </c>
      <c r="G620" t="s">
        <v>74</v>
      </c>
      <c r="H620" t="s">
        <v>74</v>
      </c>
      <c r="I620" t="s">
        <v>11391</v>
      </c>
      <c r="J620" t="s">
        <v>5863</v>
      </c>
      <c r="K620" t="s">
        <v>74</v>
      </c>
      <c r="L620" t="s">
        <v>74</v>
      </c>
      <c r="M620" t="s">
        <v>78</v>
      </c>
      <c r="N620" t="s">
        <v>79</v>
      </c>
      <c r="O620" t="s">
        <v>74</v>
      </c>
      <c r="P620" t="s">
        <v>74</v>
      </c>
      <c r="Q620" t="s">
        <v>74</v>
      </c>
      <c r="R620" t="s">
        <v>74</v>
      </c>
      <c r="S620" t="s">
        <v>74</v>
      </c>
      <c r="T620" t="s">
        <v>11392</v>
      </c>
      <c r="U620" t="s">
        <v>11393</v>
      </c>
      <c r="V620" t="s">
        <v>11394</v>
      </c>
      <c r="W620" t="s">
        <v>11395</v>
      </c>
      <c r="X620" t="s">
        <v>11396</v>
      </c>
      <c r="Y620" t="s">
        <v>11397</v>
      </c>
      <c r="Z620" t="s">
        <v>11398</v>
      </c>
      <c r="AA620" t="s">
        <v>11399</v>
      </c>
      <c r="AB620" t="s">
        <v>11400</v>
      </c>
      <c r="AC620" t="s">
        <v>11401</v>
      </c>
      <c r="AD620" t="s">
        <v>11402</v>
      </c>
      <c r="AE620" t="s">
        <v>11403</v>
      </c>
      <c r="AF620" t="s">
        <v>74</v>
      </c>
      <c r="AG620">
        <v>65</v>
      </c>
      <c r="AH620">
        <v>4</v>
      </c>
      <c r="AI620">
        <v>4</v>
      </c>
      <c r="AJ620">
        <v>0</v>
      </c>
      <c r="AK620">
        <v>11</v>
      </c>
      <c r="AL620" t="s">
        <v>1571</v>
      </c>
      <c r="AM620" t="s">
        <v>1572</v>
      </c>
      <c r="AN620" t="s">
        <v>1573</v>
      </c>
      <c r="AO620" t="s">
        <v>5875</v>
      </c>
      <c r="AP620" t="s">
        <v>5876</v>
      </c>
      <c r="AQ620" t="s">
        <v>74</v>
      </c>
      <c r="AR620" t="s">
        <v>5877</v>
      </c>
      <c r="AS620" t="s">
        <v>5878</v>
      </c>
      <c r="AT620" t="s">
        <v>9900</v>
      </c>
      <c r="AU620">
        <v>2011</v>
      </c>
      <c r="AV620">
        <v>61</v>
      </c>
      <c r="AW620">
        <v>5</v>
      </c>
      <c r="AX620" t="s">
        <v>74</v>
      </c>
      <c r="AY620" t="s">
        <v>74</v>
      </c>
      <c r="AZ620" t="s">
        <v>74</v>
      </c>
      <c r="BA620" t="s">
        <v>74</v>
      </c>
      <c r="BB620">
        <v>675</v>
      </c>
      <c r="BC620">
        <v>700</v>
      </c>
      <c r="BD620" t="s">
        <v>74</v>
      </c>
      <c r="BE620" t="s">
        <v>11404</v>
      </c>
      <c r="BF620" t="str">
        <f>HYPERLINK("http://dx.doi.org/10.1007/s10236-011-0382-y","http://dx.doi.org/10.1007/s10236-011-0382-y")</f>
        <v>http://dx.doi.org/10.1007/s10236-011-0382-y</v>
      </c>
      <c r="BG620" t="s">
        <v>74</v>
      </c>
      <c r="BH620" t="s">
        <v>74</v>
      </c>
      <c r="BI620">
        <v>26</v>
      </c>
      <c r="BJ620" t="s">
        <v>271</v>
      </c>
      <c r="BK620" t="s">
        <v>100</v>
      </c>
      <c r="BL620" t="s">
        <v>271</v>
      </c>
      <c r="BM620" t="s">
        <v>11405</v>
      </c>
      <c r="BN620" t="s">
        <v>74</v>
      </c>
      <c r="BO620" t="s">
        <v>1284</v>
      </c>
      <c r="BP620" t="s">
        <v>74</v>
      </c>
      <c r="BQ620" t="s">
        <v>74</v>
      </c>
      <c r="BR620" t="s">
        <v>103</v>
      </c>
      <c r="BS620" t="s">
        <v>11406</v>
      </c>
      <c r="BT620" t="str">
        <f>HYPERLINK("https%3A%2F%2Fwww.webofscience.com%2Fwos%2Fwoscc%2Ffull-record%2FWOS:000292274300010","View Full Record in Web of Science")</f>
        <v>View Full Record in Web of Science</v>
      </c>
    </row>
    <row r="621" spans="1:72" x14ac:dyDescent="0.15">
      <c r="A621" t="s">
        <v>72</v>
      </c>
      <c r="B621" t="s">
        <v>11407</v>
      </c>
      <c r="C621" t="s">
        <v>74</v>
      </c>
      <c r="D621" t="s">
        <v>74</v>
      </c>
      <c r="E621" t="s">
        <v>74</v>
      </c>
      <c r="F621" t="s">
        <v>11408</v>
      </c>
      <c r="G621" t="s">
        <v>74</v>
      </c>
      <c r="H621" t="s">
        <v>74</v>
      </c>
      <c r="I621" t="s">
        <v>11409</v>
      </c>
      <c r="J621" t="s">
        <v>11410</v>
      </c>
      <c r="K621" t="s">
        <v>74</v>
      </c>
      <c r="L621" t="s">
        <v>74</v>
      </c>
      <c r="M621" t="s">
        <v>78</v>
      </c>
      <c r="N621" t="s">
        <v>79</v>
      </c>
      <c r="O621" t="s">
        <v>74</v>
      </c>
      <c r="P621" t="s">
        <v>74</v>
      </c>
      <c r="Q621" t="s">
        <v>74</v>
      </c>
      <c r="R621" t="s">
        <v>74</v>
      </c>
      <c r="S621" t="s">
        <v>74</v>
      </c>
      <c r="T621" t="s">
        <v>11411</v>
      </c>
      <c r="U621" t="s">
        <v>11412</v>
      </c>
      <c r="V621" t="s">
        <v>11413</v>
      </c>
      <c r="W621" t="s">
        <v>11414</v>
      </c>
      <c r="X621" t="s">
        <v>11415</v>
      </c>
      <c r="Y621" t="s">
        <v>11416</v>
      </c>
      <c r="Z621" t="s">
        <v>11417</v>
      </c>
      <c r="AA621" t="s">
        <v>9273</v>
      </c>
      <c r="AB621" t="s">
        <v>11418</v>
      </c>
      <c r="AC621" t="s">
        <v>11419</v>
      </c>
      <c r="AD621" t="s">
        <v>11420</v>
      </c>
      <c r="AE621" t="s">
        <v>11421</v>
      </c>
      <c r="AF621" t="s">
        <v>74</v>
      </c>
      <c r="AG621">
        <v>79</v>
      </c>
      <c r="AH621">
        <v>47</v>
      </c>
      <c r="AI621">
        <v>50</v>
      </c>
      <c r="AJ621">
        <v>0</v>
      </c>
      <c r="AK621">
        <v>17</v>
      </c>
      <c r="AL621" t="s">
        <v>1014</v>
      </c>
      <c r="AM621" t="s">
        <v>1015</v>
      </c>
      <c r="AN621" t="s">
        <v>1016</v>
      </c>
      <c r="AO621" t="s">
        <v>11422</v>
      </c>
      <c r="AP621" t="s">
        <v>11423</v>
      </c>
      <c r="AQ621" t="s">
        <v>74</v>
      </c>
      <c r="AR621" t="s">
        <v>11410</v>
      </c>
      <c r="AS621" t="s">
        <v>11424</v>
      </c>
      <c r="AT621" t="s">
        <v>9900</v>
      </c>
      <c r="AU621">
        <v>2011</v>
      </c>
      <c r="AV621">
        <v>50</v>
      </c>
      <c r="AW621">
        <v>3</v>
      </c>
      <c r="AX621" t="s">
        <v>74</v>
      </c>
      <c r="AY621" t="s">
        <v>74</v>
      </c>
      <c r="AZ621" t="s">
        <v>74</v>
      </c>
      <c r="BA621" t="s">
        <v>74</v>
      </c>
      <c r="BB621">
        <v>281</v>
      </c>
      <c r="BC621">
        <v>297</v>
      </c>
      <c r="BD621" t="s">
        <v>74</v>
      </c>
      <c r="BE621" t="s">
        <v>11425</v>
      </c>
      <c r="BF621" t="str">
        <f>HYPERLINK("http://dx.doi.org/10.2216/10-49.1","http://dx.doi.org/10.2216/10-49.1")</f>
        <v>http://dx.doi.org/10.2216/10-49.1</v>
      </c>
      <c r="BG621" t="s">
        <v>74</v>
      </c>
      <c r="BH621" t="s">
        <v>74</v>
      </c>
      <c r="BI621">
        <v>17</v>
      </c>
      <c r="BJ621" t="s">
        <v>1808</v>
      </c>
      <c r="BK621" t="s">
        <v>100</v>
      </c>
      <c r="BL621" t="s">
        <v>1808</v>
      </c>
      <c r="BM621" t="s">
        <v>11426</v>
      </c>
      <c r="BN621" t="s">
        <v>74</v>
      </c>
      <c r="BO621" t="s">
        <v>702</v>
      </c>
      <c r="BP621" t="s">
        <v>74</v>
      </c>
      <c r="BQ621" t="s">
        <v>74</v>
      </c>
      <c r="BR621" t="s">
        <v>103</v>
      </c>
      <c r="BS621" t="s">
        <v>11427</v>
      </c>
      <c r="BT621" t="str">
        <f>HYPERLINK("https%3A%2F%2Fwww.webofscience.com%2Fwos%2Fwoscc%2Ffull-record%2FWOS:000290690100006","View Full Record in Web of Science")</f>
        <v>View Full Record in Web of Science</v>
      </c>
    </row>
    <row r="622" spans="1:72" x14ac:dyDescent="0.15">
      <c r="A622" t="s">
        <v>72</v>
      </c>
      <c r="B622" t="s">
        <v>11428</v>
      </c>
      <c r="C622" t="s">
        <v>74</v>
      </c>
      <c r="D622" t="s">
        <v>74</v>
      </c>
      <c r="E622" t="s">
        <v>74</v>
      </c>
      <c r="F622" t="s">
        <v>11429</v>
      </c>
      <c r="G622" t="s">
        <v>74</v>
      </c>
      <c r="H622" t="s">
        <v>74</v>
      </c>
      <c r="I622" t="s">
        <v>11430</v>
      </c>
      <c r="J622" t="s">
        <v>1889</v>
      </c>
      <c r="K622" t="s">
        <v>74</v>
      </c>
      <c r="L622" t="s">
        <v>74</v>
      </c>
      <c r="M622" t="s">
        <v>78</v>
      </c>
      <c r="N622" t="s">
        <v>79</v>
      </c>
      <c r="O622" t="s">
        <v>74</v>
      </c>
      <c r="P622" t="s">
        <v>74</v>
      </c>
      <c r="Q622" t="s">
        <v>74</v>
      </c>
      <c r="R622" t="s">
        <v>74</v>
      </c>
      <c r="S622" t="s">
        <v>74</v>
      </c>
      <c r="T622" t="s">
        <v>11431</v>
      </c>
      <c r="U622" t="s">
        <v>11432</v>
      </c>
      <c r="V622" t="s">
        <v>11433</v>
      </c>
      <c r="W622" t="s">
        <v>11434</v>
      </c>
      <c r="X622" t="s">
        <v>11435</v>
      </c>
      <c r="Y622" t="s">
        <v>11436</v>
      </c>
      <c r="Z622" t="s">
        <v>11437</v>
      </c>
      <c r="AA622" t="s">
        <v>11438</v>
      </c>
      <c r="AB622" t="s">
        <v>11439</v>
      </c>
      <c r="AC622" t="s">
        <v>11440</v>
      </c>
      <c r="AD622" t="s">
        <v>11441</v>
      </c>
      <c r="AE622" t="s">
        <v>11442</v>
      </c>
      <c r="AF622" t="s">
        <v>74</v>
      </c>
      <c r="AG622">
        <v>71</v>
      </c>
      <c r="AH622">
        <v>19</v>
      </c>
      <c r="AI622">
        <v>20</v>
      </c>
      <c r="AJ622">
        <v>0</v>
      </c>
      <c r="AK622">
        <v>10</v>
      </c>
      <c r="AL622" t="s">
        <v>1441</v>
      </c>
      <c r="AM622" t="s">
        <v>91</v>
      </c>
      <c r="AN622" t="s">
        <v>1902</v>
      </c>
      <c r="AO622" t="s">
        <v>1903</v>
      </c>
      <c r="AP622" t="s">
        <v>1904</v>
      </c>
      <c r="AQ622" t="s">
        <v>74</v>
      </c>
      <c r="AR622" t="s">
        <v>1905</v>
      </c>
      <c r="AS622" t="s">
        <v>1906</v>
      </c>
      <c r="AT622" t="s">
        <v>9900</v>
      </c>
      <c r="AU622">
        <v>2011</v>
      </c>
      <c r="AV622">
        <v>34</v>
      </c>
      <c r="AW622">
        <v>5</v>
      </c>
      <c r="AX622" t="s">
        <v>74</v>
      </c>
      <c r="AY622" t="s">
        <v>74</v>
      </c>
      <c r="AZ622" t="s">
        <v>74</v>
      </c>
      <c r="BA622" t="s">
        <v>74</v>
      </c>
      <c r="BB622">
        <v>715</v>
      </c>
      <c r="BC622">
        <v>730</v>
      </c>
      <c r="BD622" t="s">
        <v>74</v>
      </c>
      <c r="BE622" t="s">
        <v>11443</v>
      </c>
      <c r="BF622" t="str">
        <f>HYPERLINK("http://dx.doi.org/10.1007/s00300-010-0927-4","http://dx.doi.org/10.1007/s00300-010-0927-4")</f>
        <v>http://dx.doi.org/10.1007/s00300-010-0927-4</v>
      </c>
      <c r="BG622" t="s">
        <v>74</v>
      </c>
      <c r="BH622" t="s">
        <v>74</v>
      </c>
      <c r="BI622">
        <v>16</v>
      </c>
      <c r="BJ622" t="s">
        <v>1908</v>
      </c>
      <c r="BK622" t="s">
        <v>100</v>
      </c>
      <c r="BL622" t="s">
        <v>1909</v>
      </c>
      <c r="BM622" t="s">
        <v>11444</v>
      </c>
      <c r="BN622" t="s">
        <v>74</v>
      </c>
      <c r="BO622" t="s">
        <v>1025</v>
      </c>
      <c r="BP622" t="s">
        <v>74</v>
      </c>
      <c r="BQ622" t="s">
        <v>74</v>
      </c>
      <c r="BR622" t="s">
        <v>103</v>
      </c>
      <c r="BS622" t="s">
        <v>11445</v>
      </c>
      <c r="BT622" t="str">
        <f>HYPERLINK("https%3A%2F%2Fwww.webofscience.com%2Fwos%2Fwoscc%2Ffull-record%2FWOS:000289481400010","View Full Record in Web of Science")</f>
        <v>View Full Record in Web of Science</v>
      </c>
    </row>
    <row r="623" spans="1:72" x14ac:dyDescent="0.15">
      <c r="A623" t="s">
        <v>72</v>
      </c>
      <c r="B623" t="s">
        <v>11446</v>
      </c>
      <c r="C623" t="s">
        <v>74</v>
      </c>
      <c r="D623" t="s">
        <v>74</v>
      </c>
      <c r="E623" t="s">
        <v>74</v>
      </c>
      <c r="F623" t="s">
        <v>11447</v>
      </c>
      <c r="G623" t="s">
        <v>74</v>
      </c>
      <c r="H623" t="s">
        <v>74</v>
      </c>
      <c r="I623" t="s">
        <v>11448</v>
      </c>
      <c r="J623" t="s">
        <v>1889</v>
      </c>
      <c r="K623" t="s">
        <v>74</v>
      </c>
      <c r="L623" t="s">
        <v>74</v>
      </c>
      <c r="M623" t="s">
        <v>78</v>
      </c>
      <c r="N623" t="s">
        <v>79</v>
      </c>
      <c r="O623" t="s">
        <v>74</v>
      </c>
      <c r="P623" t="s">
        <v>74</v>
      </c>
      <c r="Q623" t="s">
        <v>74</v>
      </c>
      <c r="R623" t="s">
        <v>74</v>
      </c>
      <c r="S623" t="s">
        <v>74</v>
      </c>
      <c r="T623" t="s">
        <v>11449</v>
      </c>
      <c r="U623" t="s">
        <v>11450</v>
      </c>
      <c r="V623" t="s">
        <v>11451</v>
      </c>
      <c r="W623" t="s">
        <v>11452</v>
      </c>
      <c r="X623" t="s">
        <v>11453</v>
      </c>
      <c r="Y623" t="s">
        <v>11454</v>
      </c>
      <c r="Z623" t="s">
        <v>11455</v>
      </c>
      <c r="AA623" t="s">
        <v>11456</v>
      </c>
      <c r="AB623" t="s">
        <v>11457</v>
      </c>
      <c r="AC623" t="s">
        <v>11458</v>
      </c>
      <c r="AD623" t="s">
        <v>11459</v>
      </c>
      <c r="AE623" t="s">
        <v>11460</v>
      </c>
      <c r="AF623" t="s">
        <v>74</v>
      </c>
      <c r="AG623">
        <v>18</v>
      </c>
      <c r="AH623">
        <v>30</v>
      </c>
      <c r="AI623">
        <v>37</v>
      </c>
      <c r="AJ623">
        <v>1</v>
      </c>
      <c r="AK623">
        <v>20</v>
      </c>
      <c r="AL623" t="s">
        <v>1441</v>
      </c>
      <c r="AM623" t="s">
        <v>91</v>
      </c>
      <c r="AN623" t="s">
        <v>1595</v>
      </c>
      <c r="AO623" t="s">
        <v>1903</v>
      </c>
      <c r="AP623" t="s">
        <v>1904</v>
      </c>
      <c r="AQ623" t="s">
        <v>74</v>
      </c>
      <c r="AR623" t="s">
        <v>1905</v>
      </c>
      <c r="AS623" t="s">
        <v>1906</v>
      </c>
      <c r="AT623" t="s">
        <v>9900</v>
      </c>
      <c r="AU623">
        <v>2011</v>
      </c>
      <c r="AV623">
        <v>34</v>
      </c>
      <c r="AW623">
        <v>5</v>
      </c>
      <c r="AX623" t="s">
        <v>74</v>
      </c>
      <c r="AY623" t="s">
        <v>74</v>
      </c>
      <c r="AZ623" t="s">
        <v>74</v>
      </c>
      <c r="BA623" t="s">
        <v>74</v>
      </c>
      <c r="BB623">
        <v>775</v>
      </c>
      <c r="BC623">
        <v>780</v>
      </c>
      <c r="BD623" t="s">
        <v>74</v>
      </c>
      <c r="BE623" t="s">
        <v>11461</v>
      </c>
      <c r="BF623" t="str">
        <f>HYPERLINK("http://dx.doi.org/10.1007/s00300-010-0932-7","http://dx.doi.org/10.1007/s00300-010-0932-7")</f>
        <v>http://dx.doi.org/10.1007/s00300-010-0932-7</v>
      </c>
      <c r="BG623" t="s">
        <v>74</v>
      </c>
      <c r="BH623" t="s">
        <v>74</v>
      </c>
      <c r="BI623">
        <v>6</v>
      </c>
      <c r="BJ623" t="s">
        <v>1908</v>
      </c>
      <c r="BK623" t="s">
        <v>100</v>
      </c>
      <c r="BL623" t="s">
        <v>1909</v>
      </c>
      <c r="BM623" t="s">
        <v>11444</v>
      </c>
      <c r="BN623" t="s">
        <v>74</v>
      </c>
      <c r="BO623" t="s">
        <v>74</v>
      </c>
      <c r="BP623" t="s">
        <v>74</v>
      </c>
      <c r="BQ623" t="s">
        <v>74</v>
      </c>
      <c r="BR623" t="s">
        <v>103</v>
      </c>
      <c r="BS623" t="s">
        <v>11462</v>
      </c>
      <c r="BT623" t="str">
        <f>HYPERLINK("https%3A%2F%2Fwww.webofscience.com%2Fwos%2Fwoscc%2Ffull-record%2FWOS:000289481400014","View Full Record in Web of Science")</f>
        <v>View Full Record in Web of Science</v>
      </c>
    </row>
    <row r="624" spans="1:72" x14ac:dyDescent="0.15">
      <c r="A624" t="s">
        <v>72</v>
      </c>
      <c r="B624" t="s">
        <v>11463</v>
      </c>
      <c r="C624" t="s">
        <v>74</v>
      </c>
      <c r="D624" t="s">
        <v>74</v>
      </c>
      <c r="E624" t="s">
        <v>74</v>
      </c>
      <c r="F624" t="s">
        <v>11464</v>
      </c>
      <c r="G624" t="s">
        <v>74</v>
      </c>
      <c r="H624" t="s">
        <v>74</v>
      </c>
      <c r="I624" t="s">
        <v>11465</v>
      </c>
      <c r="J624" t="s">
        <v>11466</v>
      </c>
      <c r="K624" t="s">
        <v>74</v>
      </c>
      <c r="L624" t="s">
        <v>74</v>
      </c>
      <c r="M624" t="s">
        <v>78</v>
      </c>
      <c r="N624" t="s">
        <v>79</v>
      </c>
      <c r="O624" t="s">
        <v>74</v>
      </c>
      <c r="P624" t="s">
        <v>74</v>
      </c>
      <c r="Q624" t="s">
        <v>74</v>
      </c>
      <c r="R624" t="s">
        <v>74</v>
      </c>
      <c r="S624" t="s">
        <v>74</v>
      </c>
      <c r="T624" t="s">
        <v>11467</v>
      </c>
      <c r="U624" t="s">
        <v>11468</v>
      </c>
      <c r="V624" t="s">
        <v>11469</v>
      </c>
      <c r="W624" t="s">
        <v>11470</v>
      </c>
      <c r="X624" t="s">
        <v>11471</v>
      </c>
      <c r="Y624" t="s">
        <v>11472</v>
      </c>
      <c r="Z624" t="s">
        <v>4001</v>
      </c>
      <c r="AA624" t="s">
        <v>74</v>
      </c>
      <c r="AB624" t="s">
        <v>74</v>
      </c>
      <c r="AC624" t="s">
        <v>11473</v>
      </c>
      <c r="AD624" t="s">
        <v>11474</v>
      </c>
      <c r="AE624" t="s">
        <v>11475</v>
      </c>
      <c r="AF624" t="s">
        <v>74</v>
      </c>
      <c r="AG624">
        <v>63</v>
      </c>
      <c r="AH624">
        <v>13</v>
      </c>
      <c r="AI624">
        <v>15</v>
      </c>
      <c r="AJ624">
        <v>1</v>
      </c>
      <c r="AK624">
        <v>44</v>
      </c>
      <c r="AL624" t="s">
        <v>693</v>
      </c>
      <c r="AM624" t="s">
        <v>91</v>
      </c>
      <c r="AN624" t="s">
        <v>694</v>
      </c>
      <c r="AO624" t="s">
        <v>11476</v>
      </c>
      <c r="AP624" t="s">
        <v>11477</v>
      </c>
      <c r="AQ624" t="s">
        <v>74</v>
      </c>
      <c r="AR624" t="s">
        <v>11478</v>
      </c>
      <c r="AS624" t="s">
        <v>11479</v>
      </c>
      <c r="AT624" t="s">
        <v>9900</v>
      </c>
      <c r="AU624">
        <v>2011</v>
      </c>
      <c r="AV624">
        <v>75</v>
      </c>
      <c r="AW624">
        <v>3</v>
      </c>
      <c r="AX624" t="s">
        <v>74</v>
      </c>
      <c r="AY624" t="s">
        <v>74</v>
      </c>
      <c r="AZ624" t="s">
        <v>74</v>
      </c>
      <c r="BA624" t="s">
        <v>74</v>
      </c>
      <c r="BB624">
        <v>417</v>
      </c>
      <c r="BC624">
        <v>429</v>
      </c>
      <c r="BD624" t="s">
        <v>74</v>
      </c>
      <c r="BE624" t="s">
        <v>11480</v>
      </c>
      <c r="BF624" t="str">
        <f>HYPERLINK("http://dx.doi.org/10.1016/j.yqres.2010.12.001","http://dx.doi.org/10.1016/j.yqres.2010.12.001")</f>
        <v>http://dx.doi.org/10.1016/j.yqres.2010.12.001</v>
      </c>
      <c r="BG624" t="s">
        <v>74</v>
      </c>
      <c r="BH624" t="s">
        <v>74</v>
      </c>
      <c r="BI624">
        <v>13</v>
      </c>
      <c r="BJ624" t="s">
        <v>1496</v>
      </c>
      <c r="BK624" t="s">
        <v>100</v>
      </c>
      <c r="BL624" t="s">
        <v>1497</v>
      </c>
      <c r="BM624" t="s">
        <v>11481</v>
      </c>
      <c r="BN624" t="s">
        <v>74</v>
      </c>
      <c r="BO624" t="s">
        <v>74</v>
      </c>
      <c r="BP624" t="s">
        <v>74</v>
      </c>
      <c r="BQ624" t="s">
        <v>74</v>
      </c>
      <c r="BR624" t="s">
        <v>103</v>
      </c>
      <c r="BS624" t="s">
        <v>11482</v>
      </c>
      <c r="BT624" t="str">
        <f>HYPERLINK("https%3A%2F%2Fwww.webofscience.com%2Fwos%2Fwoscc%2Ffull-record%2FWOS:000290831500005","View Full Record in Web of Science")</f>
        <v>View Full Record in Web of Science</v>
      </c>
    </row>
    <row r="625" spans="1:72" x14ac:dyDescent="0.15">
      <c r="A625" t="s">
        <v>72</v>
      </c>
      <c r="B625" t="s">
        <v>11483</v>
      </c>
      <c r="C625" t="s">
        <v>74</v>
      </c>
      <c r="D625" t="s">
        <v>74</v>
      </c>
      <c r="E625" t="s">
        <v>74</v>
      </c>
      <c r="F625" t="s">
        <v>11484</v>
      </c>
      <c r="G625" t="s">
        <v>74</v>
      </c>
      <c r="H625" t="s">
        <v>74</v>
      </c>
      <c r="I625" t="s">
        <v>11485</v>
      </c>
      <c r="J625" t="s">
        <v>3994</v>
      </c>
      <c r="K625" t="s">
        <v>74</v>
      </c>
      <c r="L625" t="s">
        <v>74</v>
      </c>
      <c r="M625" t="s">
        <v>78</v>
      </c>
      <c r="N625" t="s">
        <v>79</v>
      </c>
      <c r="O625" t="s">
        <v>74</v>
      </c>
      <c r="P625" t="s">
        <v>74</v>
      </c>
      <c r="Q625" t="s">
        <v>74</v>
      </c>
      <c r="R625" t="s">
        <v>74</v>
      </c>
      <c r="S625" t="s">
        <v>74</v>
      </c>
      <c r="T625" t="s">
        <v>11486</v>
      </c>
      <c r="U625" t="s">
        <v>11487</v>
      </c>
      <c r="V625" t="s">
        <v>11488</v>
      </c>
      <c r="W625" t="s">
        <v>11489</v>
      </c>
      <c r="X625" t="s">
        <v>11490</v>
      </c>
      <c r="Y625" t="s">
        <v>11491</v>
      </c>
      <c r="Z625" t="s">
        <v>11492</v>
      </c>
      <c r="AA625" t="s">
        <v>11493</v>
      </c>
      <c r="AB625" t="s">
        <v>11494</v>
      </c>
      <c r="AC625" t="s">
        <v>11495</v>
      </c>
      <c r="AD625" t="s">
        <v>11496</v>
      </c>
      <c r="AE625" t="s">
        <v>11497</v>
      </c>
      <c r="AF625" t="s">
        <v>74</v>
      </c>
      <c r="AG625">
        <v>168</v>
      </c>
      <c r="AH625">
        <v>114</v>
      </c>
      <c r="AI625">
        <v>122</v>
      </c>
      <c r="AJ625">
        <v>4</v>
      </c>
      <c r="AK625">
        <v>82</v>
      </c>
      <c r="AL625" t="s">
        <v>926</v>
      </c>
      <c r="AM625" t="s">
        <v>508</v>
      </c>
      <c r="AN625" t="s">
        <v>927</v>
      </c>
      <c r="AO625" t="s">
        <v>4005</v>
      </c>
      <c r="AP625" t="s">
        <v>6060</v>
      </c>
      <c r="AQ625" t="s">
        <v>74</v>
      </c>
      <c r="AR625" t="s">
        <v>4006</v>
      </c>
      <c r="AS625" t="s">
        <v>4007</v>
      </c>
      <c r="AT625" t="s">
        <v>9900</v>
      </c>
      <c r="AU625">
        <v>2011</v>
      </c>
      <c r="AV625">
        <v>30</v>
      </c>
      <c r="AW625" t="s">
        <v>9973</v>
      </c>
      <c r="AX625" t="s">
        <v>74</v>
      </c>
      <c r="AY625" t="s">
        <v>74</v>
      </c>
      <c r="AZ625" t="s">
        <v>74</v>
      </c>
      <c r="BA625" t="s">
        <v>74</v>
      </c>
      <c r="BB625">
        <v>1155</v>
      </c>
      <c r="BC625">
        <v>1172</v>
      </c>
      <c r="BD625" t="s">
        <v>74</v>
      </c>
      <c r="BE625" t="s">
        <v>11498</v>
      </c>
      <c r="BF625" t="str">
        <f>HYPERLINK("http://dx.doi.org/10.1016/j.quascirev.2011.02.005","http://dx.doi.org/10.1016/j.quascirev.2011.02.005")</f>
        <v>http://dx.doi.org/10.1016/j.quascirev.2011.02.005</v>
      </c>
      <c r="BG625" t="s">
        <v>74</v>
      </c>
      <c r="BH625" t="s">
        <v>74</v>
      </c>
      <c r="BI625">
        <v>18</v>
      </c>
      <c r="BJ625" t="s">
        <v>1496</v>
      </c>
      <c r="BK625" t="s">
        <v>100</v>
      </c>
      <c r="BL625" t="s">
        <v>1497</v>
      </c>
      <c r="BM625" t="s">
        <v>11499</v>
      </c>
      <c r="BN625" t="s">
        <v>74</v>
      </c>
      <c r="BO625" t="s">
        <v>74</v>
      </c>
      <c r="BP625" t="s">
        <v>74</v>
      </c>
      <c r="BQ625" t="s">
        <v>74</v>
      </c>
      <c r="BR625" t="s">
        <v>103</v>
      </c>
      <c r="BS625" t="s">
        <v>11500</v>
      </c>
      <c r="BT625" t="str">
        <f>HYPERLINK("https%3A%2F%2Fwww.webofscience.com%2Fwos%2Fwoscc%2Ffull-record%2FWOS:000291516100011","View Full Record in Web of Science")</f>
        <v>View Full Record in Web of Science</v>
      </c>
    </row>
    <row r="626" spans="1:72" x14ac:dyDescent="0.15">
      <c r="A626" t="s">
        <v>72</v>
      </c>
      <c r="B626" t="s">
        <v>11501</v>
      </c>
      <c r="C626" t="s">
        <v>74</v>
      </c>
      <c r="D626" t="s">
        <v>74</v>
      </c>
      <c r="E626" t="s">
        <v>74</v>
      </c>
      <c r="F626" t="s">
        <v>11502</v>
      </c>
      <c r="G626" t="s">
        <v>74</v>
      </c>
      <c r="H626" t="s">
        <v>74</v>
      </c>
      <c r="I626" t="s">
        <v>11503</v>
      </c>
      <c r="J626" t="s">
        <v>3994</v>
      </c>
      <c r="K626" t="s">
        <v>74</v>
      </c>
      <c r="L626" t="s">
        <v>74</v>
      </c>
      <c r="M626" t="s">
        <v>78</v>
      </c>
      <c r="N626" t="s">
        <v>79</v>
      </c>
      <c r="O626" t="s">
        <v>74</v>
      </c>
      <c r="P626" t="s">
        <v>74</v>
      </c>
      <c r="Q626" t="s">
        <v>74</v>
      </c>
      <c r="R626" t="s">
        <v>74</v>
      </c>
      <c r="S626" t="s">
        <v>74</v>
      </c>
      <c r="T626" t="s">
        <v>11504</v>
      </c>
      <c r="U626" t="s">
        <v>11505</v>
      </c>
      <c r="V626" t="s">
        <v>11506</v>
      </c>
      <c r="W626" t="s">
        <v>11507</v>
      </c>
      <c r="X626" t="s">
        <v>11508</v>
      </c>
      <c r="Y626" t="s">
        <v>11509</v>
      </c>
      <c r="Z626" t="s">
        <v>11510</v>
      </c>
      <c r="AA626" t="s">
        <v>11511</v>
      </c>
      <c r="AB626" t="s">
        <v>11512</v>
      </c>
      <c r="AC626" t="s">
        <v>11513</v>
      </c>
      <c r="AD626" t="s">
        <v>11514</v>
      </c>
      <c r="AE626" t="s">
        <v>11515</v>
      </c>
      <c r="AF626" t="s">
        <v>74</v>
      </c>
      <c r="AG626">
        <v>88</v>
      </c>
      <c r="AH626">
        <v>31</v>
      </c>
      <c r="AI626">
        <v>31</v>
      </c>
      <c r="AJ626">
        <v>4</v>
      </c>
      <c r="AK626">
        <v>38</v>
      </c>
      <c r="AL626" t="s">
        <v>926</v>
      </c>
      <c r="AM626" t="s">
        <v>508</v>
      </c>
      <c r="AN626" t="s">
        <v>927</v>
      </c>
      <c r="AO626" t="s">
        <v>4005</v>
      </c>
      <c r="AP626" t="s">
        <v>6060</v>
      </c>
      <c r="AQ626" t="s">
        <v>74</v>
      </c>
      <c r="AR626" t="s">
        <v>4006</v>
      </c>
      <c r="AS626" t="s">
        <v>4007</v>
      </c>
      <c r="AT626" t="s">
        <v>9900</v>
      </c>
      <c r="AU626">
        <v>2011</v>
      </c>
      <c r="AV626">
        <v>30</v>
      </c>
      <c r="AW626" t="s">
        <v>9973</v>
      </c>
      <c r="AX626" t="s">
        <v>74</v>
      </c>
      <c r="AY626" t="s">
        <v>74</v>
      </c>
      <c r="AZ626" t="s">
        <v>74</v>
      </c>
      <c r="BA626" t="s">
        <v>74</v>
      </c>
      <c r="BB626">
        <v>1218</v>
      </c>
      <c r="BC626">
        <v>1231</v>
      </c>
      <c r="BD626" t="s">
        <v>74</v>
      </c>
      <c r="BE626" t="s">
        <v>11516</v>
      </c>
      <c r="BF626" t="str">
        <f>HYPERLINK("http://dx.doi.org/10.1016/j.quascirev.2011.02.012","http://dx.doi.org/10.1016/j.quascirev.2011.02.012")</f>
        <v>http://dx.doi.org/10.1016/j.quascirev.2011.02.012</v>
      </c>
      <c r="BG626" t="s">
        <v>74</v>
      </c>
      <c r="BH626" t="s">
        <v>74</v>
      </c>
      <c r="BI626">
        <v>14</v>
      </c>
      <c r="BJ626" t="s">
        <v>1496</v>
      </c>
      <c r="BK626" t="s">
        <v>100</v>
      </c>
      <c r="BL626" t="s">
        <v>1497</v>
      </c>
      <c r="BM626" t="s">
        <v>11499</v>
      </c>
      <c r="BN626" t="s">
        <v>74</v>
      </c>
      <c r="BO626" t="s">
        <v>74</v>
      </c>
      <c r="BP626" t="s">
        <v>74</v>
      </c>
      <c r="BQ626" t="s">
        <v>74</v>
      </c>
      <c r="BR626" t="s">
        <v>103</v>
      </c>
      <c r="BS626" t="s">
        <v>11517</v>
      </c>
      <c r="BT626" t="str">
        <f>HYPERLINK("https%3A%2F%2Fwww.webofscience.com%2Fwos%2Fwoscc%2Ffull-record%2FWOS:000291516100015","View Full Record in Web of Science")</f>
        <v>View Full Record in Web of Science</v>
      </c>
    </row>
    <row r="627" spans="1:72" x14ac:dyDescent="0.15">
      <c r="A627" t="s">
        <v>72</v>
      </c>
      <c r="B627" t="s">
        <v>11518</v>
      </c>
      <c r="C627" t="s">
        <v>74</v>
      </c>
      <c r="D627" t="s">
        <v>74</v>
      </c>
      <c r="E627" t="s">
        <v>74</v>
      </c>
      <c r="F627" t="s">
        <v>11519</v>
      </c>
      <c r="G627" t="s">
        <v>74</v>
      </c>
      <c r="H627" t="s">
        <v>74</v>
      </c>
      <c r="I627" t="s">
        <v>11520</v>
      </c>
      <c r="J627" t="s">
        <v>4215</v>
      </c>
      <c r="K627" t="s">
        <v>74</v>
      </c>
      <c r="L627" t="s">
        <v>74</v>
      </c>
      <c r="M627" t="s">
        <v>78</v>
      </c>
      <c r="N627" t="s">
        <v>79</v>
      </c>
      <c r="O627" t="s">
        <v>74</v>
      </c>
      <c r="P627" t="s">
        <v>74</v>
      </c>
      <c r="Q627" t="s">
        <v>74</v>
      </c>
      <c r="R627" t="s">
        <v>74</v>
      </c>
      <c r="S627" t="s">
        <v>74</v>
      </c>
      <c r="T627" t="s">
        <v>74</v>
      </c>
      <c r="U627" t="s">
        <v>74</v>
      </c>
      <c r="V627" t="s">
        <v>11521</v>
      </c>
      <c r="W627" t="s">
        <v>11522</v>
      </c>
      <c r="X627" t="s">
        <v>621</v>
      </c>
      <c r="Y627" t="s">
        <v>11523</v>
      </c>
      <c r="Z627" t="s">
        <v>74</v>
      </c>
      <c r="AA627" t="s">
        <v>11524</v>
      </c>
      <c r="AB627" t="s">
        <v>11525</v>
      </c>
      <c r="AC627" t="s">
        <v>74</v>
      </c>
      <c r="AD627" t="s">
        <v>74</v>
      </c>
      <c r="AE627" t="s">
        <v>74</v>
      </c>
      <c r="AF627" t="s">
        <v>74</v>
      </c>
      <c r="AG627">
        <v>14</v>
      </c>
      <c r="AH627">
        <v>3</v>
      </c>
      <c r="AI627">
        <v>3</v>
      </c>
      <c r="AJ627">
        <v>0</v>
      </c>
      <c r="AK627">
        <v>2</v>
      </c>
      <c r="AL627" t="s">
        <v>7082</v>
      </c>
      <c r="AM627" t="s">
        <v>91</v>
      </c>
      <c r="AN627" t="s">
        <v>7083</v>
      </c>
      <c r="AO627" t="s">
        <v>4223</v>
      </c>
      <c r="AP627" t="s">
        <v>74</v>
      </c>
      <c r="AQ627" t="s">
        <v>74</v>
      </c>
      <c r="AR627" t="s">
        <v>4225</v>
      </c>
      <c r="AS627" t="s">
        <v>4226</v>
      </c>
      <c r="AT627" t="s">
        <v>9900</v>
      </c>
      <c r="AU627">
        <v>2011</v>
      </c>
      <c r="AV627">
        <v>36</v>
      </c>
      <c r="AW627">
        <v>5</v>
      </c>
      <c r="AX627" t="s">
        <v>74</v>
      </c>
      <c r="AY627" t="s">
        <v>74</v>
      </c>
      <c r="AZ627" t="s">
        <v>74</v>
      </c>
      <c r="BA627" t="s">
        <v>74</v>
      </c>
      <c r="BB627">
        <v>333</v>
      </c>
      <c r="BC627">
        <v>339</v>
      </c>
      <c r="BD627" t="s">
        <v>74</v>
      </c>
      <c r="BE627" t="s">
        <v>11526</v>
      </c>
      <c r="BF627" t="str">
        <f>HYPERLINK("http://dx.doi.org/10.3103/S1068373911050074","http://dx.doi.org/10.3103/S1068373911050074")</f>
        <v>http://dx.doi.org/10.3103/S1068373911050074</v>
      </c>
      <c r="BG627" t="s">
        <v>74</v>
      </c>
      <c r="BH627" t="s">
        <v>74</v>
      </c>
      <c r="BI627">
        <v>7</v>
      </c>
      <c r="BJ627" t="s">
        <v>248</v>
      </c>
      <c r="BK627" t="s">
        <v>100</v>
      </c>
      <c r="BL627" t="s">
        <v>248</v>
      </c>
      <c r="BM627" t="s">
        <v>11527</v>
      </c>
      <c r="BN627" t="s">
        <v>74</v>
      </c>
      <c r="BO627" t="s">
        <v>74</v>
      </c>
      <c r="BP627" t="s">
        <v>74</v>
      </c>
      <c r="BQ627" t="s">
        <v>74</v>
      </c>
      <c r="BR627" t="s">
        <v>103</v>
      </c>
      <c r="BS627" t="s">
        <v>11528</v>
      </c>
      <c r="BT627" t="str">
        <f>HYPERLINK("https%3A%2F%2Fwww.webofscience.com%2Fwos%2Fwoscc%2Ffull-record%2FWOS:000291753100007","View Full Record in Web of Science")</f>
        <v>View Full Record in Web of Science</v>
      </c>
    </row>
    <row r="628" spans="1:72" x14ac:dyDescent="0.15">
      <c r="A628" t="s">
        <v>72</v>
      </c>
      <c r="B628" t="s">
        <v>11529</v>
      </c>
      <c r="C628" t="s">
        <v>74</v>
      </c>
      <c r="D628" t="s">
        <v>74</v>
      </c>
      <c r="E628" t="s">
        <v>74</v>
      </c>
      <c r="F628" t="s">
        <v>11530</v>
      </c>
      <c r="G628" t="s">
        <v>74</v>
      </c>
      <c r="H628" t="s">
        <v>74</v>
      </c>
      <c r="I628" t="s">
        <v>11531</v>
      </c>
      <c r="J628" t="s">
        <v>11532</v>
      </c>
      <c r="K628" t="s">
        <v>74</v>
      </c>
      <c r="L628" t="s">
        <v>74</v>
      </c>
      <c r="M628" t="s">
        <v>78</v>
      </c>
      <c r="N628" t="s">
        <v>79</v>
      </c>
      <c r="O628" t="s">
        <v>74</v>
      </c>
      <c r="P628" t="s">
        <v>74</v>
      </c>
      <c r="Q628" t="s">
        <v>74</v>
      </c>
      <c r="R628" t="s">
        <v>74</v>
      </c>
      <c r="S628" t="s">
        <v>74</v>
      </c>
      <c r="T628" t="s">
        <v>74</v>
      </c>
      <c r="U628" t="s">
        <v>11533</v>
      </c>
      <c r="V628" t="s">
        <v>11534</v>
      </c>
      <c r="W628" t="s">
        <v>11535</v>
      </c>
      <c r="X628" t="s">
        <v>11536</v>
      </c>
      <c r="Y628" t="s">
        <v>11537</v>
      </c>
      <c r="Z628" t="s">
        <v>9293</v>
      </c>
      <c r="AA628" t="s">
        <v>9734</v>
      </c>
      <c r="AB628" t="s">
        <v>9735</v>
      </c>
      <c r="AC628" t="s">
        <v>74</v>
      </c>
      <c r="AD628" t="s">
        <v>74</v>
      </c>
      <c r="AE628" t="s">
        <v>74</v>
      </c>
      <c r="AF628" t="s">
        <v>74</v>
      </c>
      <c r="AG628">
        <v>45</v>
      </c>
      <c r="AH628">
        <v>6</v>
      </c>
      <c r="AI628">
        <v>8</v>
      </c>
      <c r="AJ628">
        <v>0</v>
      </c>
      <c r="AK628">
        <v>25</v>
      </c>
      <c r="AL628" t="s">
        <v>1323</v>
      </c>
      <c r="AM628" t="s">
        <v>1324</v>
      </c>
      <c r="AN628" t="s">
        <v>1325</v>
      </c>
      <c r="AO628" t="s">
        <v>11538</v>
      </c>
      <c r="AP628" t="s">
        <v>11539</v>
      </c>
      <c r="AQ628" t="s">
        <v>74</v>
      </c>
      <c r="AR628" t="s">
        <v>11540</v>
      </c>
      <c r="AS628" t="s">
        <v>11541</v>
      </c>
      <c r="AT628" t="s">
        <v>10385</v>
      </c>
      <c r="AU628">
        <v>2011</v>
      </c>
      <c r="AV628">
        <v>2</v>
      </c>
      <c r="AW628">
        <v>3</v>
      </c>
      <c r="AX628" t="s">
        <v>74</v>
      </c>
      <c r="AY628" t="s">
        <v>74</v>
      </c>
      <c r="AZ628" t="s">
        <v>74</v>
      </c>
      <c r="BA628" t="s">
        <v>74</v>
      </c>
      <c r="BB628">
        <v>324</v>
      </c>
      <c r="BC628">
        <v>331</v>
      </c>
      <c r="BD628" t="s">
        <v>74</v>
      </c>
      <c r="BE628" t="s">
        <v>11542</v>
      </c>
      <c r="BF628" t="str">
        <f>HYPERLINK("http://dx.doi.org/10.1002/wcc.110","http://dx.doi.org/10.1002/wcc.110")</f>
        <v>http://dx.doi.org/10.1002/wcc.110</v>
      </c>
      <c r="BG628" t="s">
        <v>74</v>
      </c>
      <c r="BH628" t="s">
        <v>74</v>
      </c>
      <c r="BI628">
        <v>8</v>
      </c>
      <c r="BJ628" t="s">
        <v>11543</v>
      </c>
      <c r="BK628" t="s">
        <v>867</v>
      </c>
      <c r="BL628" t="s">
        <v>4454</v>
      </c>
      <c r="BM628" t="s">
        <v>11544</v>
      </c>
      <c r="BN628" t="s">
        <v>74</v>
      </c>
      <c r="BO628" t="s">
        <v>152</v>
      </c>
      <c r="BP628" t="s">
        <v>74</v>
      </c>
      <c r="BQ628" t="s">
        <v>74</v>
      </c>
      <c r="BR628" t="s">
        <v>103</v>
      </c>
      <c r="BS628" t="s">
        <v>11545</v>
      </c>
      <c r="BT628" t="str">
        <f>HYPERLINK("https%3A%2F%2Fwww.webofscience.com%2Fwos%2Fwoscc%2Ffull-record%2FWOS:000291739800002","View Full Record in Web of Science")</f>
        <v>View Full Record in Web of Science</v>
      </c>
    </row>
    <row r="629" spans="1:72" x14ac:dyDescent="0.15">
      <c r="A629" t="s">
        <v>72</v>
      </c>
      <c r="B629" t="s">
        <v>11546</v>
      </c>
      <c r="C629" t="s">
        <v>74</v>
      </c>
      <c r="D629" t="s">
        <v>74</v>
      </c>
      <c r="E629" t="s">
        <v>74</v>
      </c>
      <c r="F629" t="s">
        <v>11547</v>
      </c>
      <c r="G629" t="s">
        <v>74</v>
      </c>
      <c r="H629" t="s">
        <v>74</v>
      </c>
      <c r="I629" t="s">
        <v>11548</v>
      </c>
      <c r="J629" t="s">
        <v>5255</v>
      </c>
      <c r="K629" t="s">
        <v>74</v>
      </c>
      <c r="L629" t="s">
        <v>74</v>
      </c>
      <c r="M629" t="s">
        <v>78</v>
      </c>
      <c r="N629" t="s">
        <v>79</v>
      </c>
      <c r="O629" t="s">
        <v>74</v>
      </c>
      <c r="P629" t="s">
        <v>74</v>
      </c>
      <c r="Q629" t="s">
        <v>74</v>
      </c>
      <c r="R629" t="s">
        <v>74</v>
      </c>
      <c r="S629" t="s">
        <v>74</v>
      </c>
      <c r="T629" t="s">
        <v>11549</v>
      </c>
      <c r="U629" t="s">
        <v>11550</v>
      </c>
      <c r="V629" t="s">
        <v>11551</v>
      </c>
      <c r="W629" t="s">
        <v>11552</v>
      </c>
      <c r="X629" t="s">
        <v>11553</v>
      </c>
      <c r="Y629" t="s">
        <v>11554</v>
      </c>
      <c r="Z629" t="s">
        <v>6370</v>
      </c>
      <c r="AA629" t="s">
        <v>6371</v>
      </c>
      <c r="AB629" t="s">
        <v>11555</v>
      </c>
      <c r="AC629" t="s">
        <v>11556</v>
      </c>
      <c r="AD629" t="s">
        <v>11557</v>
      </c>
      <c r="AE629" t="s">
        <v>11558</v>
      </c>
      <c r="AF629" t="s">
        <v>74</v>
      </c>
      <c r="AG629">
        <v>48</v>
      </c>
      <c r="AH629">
        <v>20</v>
      </c>
      <c r="AI629">
        <v>21</v>
      </c>
      <c r="AJ629">
        <v>1</v>
      </c>
      <c r="AK629">
        <v>43</v>
      </c>
      <c r="AL629" t="s">
        <v>1441</v>
      </c>
      <c r="AM629" t="s">
        <v>91</v>
      </c>
      <c r="AN629" t="s">
        <v>1595</v>
      </c>
      <c r="AO629" t="s">
        <v>5268</v>
      </c>
      <c r="AP629" t="s">
        <v>5269</v>
      </c>
      <c r="AQ629" t="s">
        <v>74</v>
      </c>
      <c r="AR629" t="s">
        <v>5270</v>
      </c>
      <c r="AS629" t="s">
        <v>5271</v>
      </c>
      <c r="AT629" t="s">
        <v>9900</v>
      </c>
      <c r="AU629">
        <v>2011</v>
      </c>
      <c r="AV629">
        <v>63</v>
      </c>
      <c r="AW629">
        <v>2</v>
      </c>
      <c r="AX629" t="s">
        <v>74</v>
      </c>
      <c r="AY629" t="s">
        <v>74</v>
      </c>
      <c r="AZ629" t="s">
        <v>74</v>
      </c>
      <c r="BA629" t="s">
        <v>74</v>
      </c>
      <c r="BB629">
        <v>311</v>
      </c>
      <c r="BC629">
        <v>320</v>
      </c>
      <c r="BD629" t="s">
        <v>74</v>
      </c>
      <c r="BE629" t="s">
        <v>11559</v>
      </c>
      <c r="BF629" t="str">
        <f>HYPERLINK("http://dx.doi.org/10.1007/s12665-010-0714-0","http://dx.doi.org/10.1007/s12665-010-0714-0")</f>
        <v>http://dx.doi.org/10.1007/s12665-010-0714-0</v>
      </c>
      <c r="BG629" t="s">
        <v>74</v>
      </c>
      <c r="BH629" t="s">
        <v>74</v>
      </c>
      <c r="BI629">
        <v>10</v>
      </c>
      <c r="BJ629" t="s">
        <v>5273</v>
      </c>
      <c r="BK629" t="s">
        <v>100</v>
      </c>
      <c r="BL629" t="s">
        <v>5274</v>
      </c>
      <c r="BM629" t="s">
        <v>11560</v>
      </c>
      <c r="BN629" t="s">
        <v>74</v>
      </c>
      <c r="BO629" t="s">
        <v>74</v>
      </c>
      <c r="BP629" t="s">
        <v>74</v>
      </c>
      <c r="BQ629" t="s">
        <v>74</v>
      </c>
      <c r="BR629" t="s">
        <v>103</v>
      </c>
      <c r="BS629" t="s">
        <v>11561</v>
      </c>
      <c r="BT629" t="str">
        <f>HYPERLINK("https%3A%2F%2Fwww.webofscience.com%2Fwos%2Fwoscc%2Ffull-record%2FWOS:000289560900011","View Full Record in Web of Science")</f>
        <v>View Full Record in Web of Science</v>
      </c>
    </row>
    <row r="630" spans="1:72" x14ac:dyDescent="0.15">
      <c r="A630" t="s">
        <v>72</v>
      </c>
      <c r="B630" t="s">
        <v>11562</v>
      </c>
      <c r="C630" t="s">
        <v>74</v>
      </c>
      <c r="D630" t="s">
        <v>74</v>
      </c>
      <c r="E630" t="s">
        <v>74</v>
      </c>
      <c r="F630" t="s">
        <v>11563</v>
      </c>
      <c r="G630" t="s">
        <v>74</v>
      </c>
      <c r="H630" t="s">
        <v>74</v>
      </c>
      <c r="I630" t="s">
        <v>11564</v>
      </c>
      <c r="J630" t="s">
        <v>5300</v>
      </c>
      <c r="K630" t="s">
        <v>74</v>
      </c>
      <c r="L630" t="s">
        <v>74</v>
      </c>
      <c r="M630" t="s">
        <v>78</v>
      </c>
      <c r="N630" t="s">
        <v>79</v>
      </c>
      <c r="O630" t="s">
        <v>74</v>
      </c>
      <c r="P630" t="s">
        <v>74</v>
      </c>
      <c r="Q630" t="s">
        <v>74</v>
      </c>
      <c r="R630" t="s">
        <v>74</v>
      </c>
      <c r="S630" t="s">
        <v>74</v>
      </c>
      <c r="T630" t="s">
        <v>74</v>
      </c>
      <c r="U630" t="s">
        <v>11565</v>
      </c>
      <c r="V630" t="s">
        <v>11566</v>
      </c>
      <c r="W630" t="s">
        <v>11567</v>
      </c>
      <c r="X630" t="s">
        <v>11568</v>
      </c>
      <c r="Y630" t="s">
        <v>11569</v>
      </c>
      <c r="Z630" t="s">
        <v>11570</v>
      </c>
      <c r="AA630" t="s">
        <v>11571</v>
      </c>
      <c r="AB630" t="s">
        <v>11572</v>
      </c>
      <c r="AC630" t="s">
        <v>11573</v>
      </c>
      <c r="AD630" t="s">
        <v>11574</v>
      </c>
      <c r="AE630" t="s">
        <v>11575</v>
      </c>
      <c r="AF630" t="s">
        <v>74</v>
      </c>
      <c r="AG630">
        <v>28</v>
      </c>
      <c r="AH630">
        <v>7</v>
      </c>
      <c r="AI630">
        <v>9</v>
      </c>
      <c r="AJ630">
        <v>0</v>
      </c>
      <c r="AK630">
        <v>11</v>
      </c>
      <c r="AL630" t="s">
        <v>1712</v>
      </c>
      <c r="AM630" t="s">
        <v>1036</v>
      </c>
      <c r="AN630" t="s">
        <v>1713</v>
      </c>
      <c r="AO630" t="s">
        <v>5311</v>
      </c>
      <c r="AP630" t="s">
        <v>5328</v>
      </c>
      <c r="AQ630" t="s">
        <v>74</v>
      </c>
      <c r="AR630" t="s">
        <v>5300</v>
      </c>
      <c r="AS630" t="s">
        <v>131</v>
      </c>
      <c r="AT630" t="s">
        <v>9900</v>
      </c>
      <c r="AU630">
        <v>2011</v>
      </c>
      <c r="AV630">
        <v>39</v>
      </c>
      <c r="AW630">
        <v>5</v>
      </c>
      <c r="AX630" t="s">
        <v>74</v>
      </c>
      <c r="AY630" t="s">
        <v>74</v>
      </c>
      <c r="AZ630" t="s">
        <v>74</v>
      </c>
      <c r="BA630" t="s">
        <v>74</v>
      </c>
      <c r="BB630">
        <v>423</v>
      </c>
      <c r="BC630">
        <v>426</v>
      </c>
      <c r="BD630" t="s">
        <v>74</v>
      </c>
      <c r="BE630" t="s">
        <v>11576</v>
      </c>
      <c r="BF630" t="str">
        <f>HYPERLINK("http://dx.doi.org/10.1130/G31569.1","http://dx.doi.org/10.1130/G31569.1")</f>
        <v>http://dx.doi.org/10.1130/G31569.1</v>
      </c>
      <c r="BG630" t="s">
        <v>74</v>
      </c>
      <c r="BH630" t="s">
        <v>74</v>
      </c>
      <c r="BI630">
        <v>4</v>
      </c>
      <c r="BJ630" t="s">
        <v>131</v>
      </c>
      <c r="BK630" t="s">
        <v>100</v>
      </c>
      <c r="BL630" t="s">
        <v>131</v>
      </c>
      <c r="BM630" t="s">
        <v>11202</v>
      </c>
      <c r="BN630" t="s">
        <v>74</v>
      </c>
      <c r="BO630" t="s">
        <v>74</v>
      </c>
      <c r="BP630" t="s">
        <v>74</v>
      </c>
      <c r="BQ630" t="s">
        <v>74</v>
      </c>
      <c r="BR630" t="s">
        <v>103</v>
      </c>
      <c r="BS630" t="s">
        <v>11577</v>
      </c>
      <c r="BT630" t="str">
        <f>HYPERLINK("https%3A%2F%2Fwww.webofscience.com%2Fwos%2Fwoscc%2Ffull-record%2FWOS:000289416500008","View Full Record in Web of Science")</f>
        <v>View Full Record in Web of Science</v>
      </c>
    </row>
    <row r="631" spans="1:72" x14ac:dyDescent="0.15">
      <c r="A631" t="s">
        <v>72</v>
      </c>
      <c r="B631" t="s">
        <v>11578</v>
      </c>
      <c r="C631" t="s">
        <v>74</v>
      </c>
      <c r="D631" t="s">
        <v>74</v>
      </c>
      <c r="E631" t="s">
        <v>74</v>
      </c>
      <c r="F631" t="s">
        <v>11579</v>
      </c>
      <c r="G631" t="s">
        <v>74</v>
      </c>
      <c r="H631" t="s">
        <v>74</v>
      </c>
      <c r="I631" t="s">
        <v>11580</v>
      </c>
      <c r="J631" t="s">
        <v>11581</v>
      </c>
      <c r="K631" t="s">
        <v>74</v>
      </c>
      <c r="L631" t="s">
        <v>74</v>
      </c>
      <c r="M631" t="s">
        <v>78</v>
      </c>
      <c r="N631" t="s">
        <v>79</v>
      </c>
      <c r="O631" t="s">
        <v>74</v>
      </c>
      <c r="P631" t="s">
        <v>74</v>
      </c>
      <c r="Q631" t="s">
        <v>74</v>
      </c>
      <c r="R631" t="s">
        <v>74</v>
      </c>
      <c r="S631" t="s">
        <v>74</v>
      </c>
      <c r="T631" t="s">
        <v>11582</v>
      </c>
      <c r="U631" t="s">
        <v>11583</v>
      </c>
      <c r="V631" t="s">
        <v>11584</v>
      </c>
      <c r="W631" t="s">
        <v>11585</v>
      </c>
      <c r="X631" t="s">
        <v>11586</v>
      </c>
      <c r="Y631" t="s">
        <v>11587</v>
      </c>
      <c r="Z631" t="s">
        <v>11588</v>
      </c>
      <c r="AA631" t="s">
        <v>11589</v>
      </c>
      <c r="AB631" t="s">
        <v>11590</v>
      </c>
      <c r="AC631" t="s">
        <v>11591</v>
      </c>
      <c r="AD631" t="s">
        <v>11592</v>
      </c>
      <c r="AE631" t="s">
        <v>11593</v>
      </c>
      <c r="AF631" t="s">
        <v>74</v>
      </c>
      <c r="AG631">
        <v>86</v>
      </c>
      <c r="AH631">
        <v>28</v>
      </c>
      <c r="AI631">
        <v>28</v>
      </c>
      <c r="AJ631">
        <v>0</v>
      </c>
      <c r="AK631">
        <v>10</v>
      </c>
      <c r="AL631" t="s">
        <v>2968</v>
      </c>
      <c r="AM631" t="s">
        <v>508</v>
      </c>
      <c r="AN631" t="s">
        <v>2969</v>
      </c>
      <c r="AO631" t="s">
        <v>11594</v>
      </c>
      <c r="AP631" t="s">
        <v>11595</v>
      </c>
      <c r="AQ631" t="s">
        <v>74</v>
      </c>
      <c r="AR631" t="s">
        <v>11596</v>
      </c>
      <c r="AS631" t="s">
        <v>11597</v>
      </c>
      <c r="AT631" t="s">
        <v>9900</v>
      </c>
      <c r="AU631">
        <v>2011</v>
      </c>
      <c r="AV631">
        <v>185</v>
      </c>
      <c r="AW631">
        <v>2</v>
      </c>
      <c r="AX631" t="s">
        <v>74</v>
      </c>
      <c r="AY631" t="s">
        <v>74</v>
      </c>
      <c r="AZ631" t="s">
        <v>74</v>
      </c>
      <c r="BA631" t="s">
        <v>74</v>
      </c>
      <c r="BB631">
        <v>737</v>
      </c>
      <c r="BC631">
        <v>748</v>
      </c>
      <c r="BD631" t="s">
        <v>74</v>
      </c>
      <c r="BE631" t="s">
        <v>11598</v>
      </c>
      <c r="BF631" t="str">
        <f>HYPERLINK("http://dx.doi.org/10.1111/j.1365-246X.2011.04962.x","http://dx.doi.org/10.1111/j.1365-246X.2011.04962.x")</f>
        <v>http://dx.doi.org/10.1111/j.1365-246X.2011.04962.x</v>
      </c>
      <c r="BG631" t="s">
        <v>74</v>
      </c>
      <c r="BH631" t="s">
        <v>74</v>
      </c>
      <c r="BI631">
        <v>12</v>
      </c>
      <c r="BJ631" t="s">
        <v>488</v>
      </c>
      <c r="BK631" t="s">
        <v>100</v>
      </c>
      <c r="BL631" t="s">
        <v>488</v>
      </c>
      <c r="BM631" t="s">
        <v>11599</v>
      </c>
      <c r="BN631" t="s">
        <v>74</v>
      </c>
      <c r="BO631" t="s">
        <v>152</v>
      </c>
      <c r="BP631" t="s">
        <v>74</v>
      </c>
      <c r="BQ631" t="s">
        <v>74</v>
      </c>
      <c r="BR631" t="s">
        <v>103</v>
      </c>
      <c r="BS631" t="s">
        <v>11600</v>
      </c>
      <c r="BT631" t="str">
        <f>HYPERLINK("https%3A%2F%2Fwww.webofscience.com%2Fwos%2Fwoscc%2Ffull-record%2FWOS:000289475400014","View Full Record in Web of Science")</f>
        <v>View Full Record in Web of Science</v>
      </c>
    </row>
    <row r="632" spans="1:72" x14ac:dyDescent="0.15">
      <c r="A632" t="s">
        <v>72</v>
      </c>
      <c r="B632" t="s">
        <v>11601</v>
      </c>
      <c r="C632" t="s">
        <v>74</v>
      </c>
      <c r="D632" t="s">
        <v>74</v>
      </c>
      <c r="E632" t="s">
        <v>74</v>
      </c>
      <c r="F632" t="s">
        <v>11602</v>
      </c>
      <c r="G632" t="s">
        <v>74</v>
      </c>
      <c r="H632" t="s">
        <v>74</v>
      </c>
      <c r="I632" t="s">
        <v>11603</v>
      </c>
      <c r="J632" t="s">
        <v>680</v>
      </c>
      <c r="K632" t="s">
        <v>74</v>
      </c>
      <c r="L632" t="s">
        <v>74</v>
      </c>
      <c r="M632" t="s">
        <v>78</v>
      </c>
      <c r="N632" t="s">
        <v>79</v>
      </c>
      <c r="O632" t="s">
        <v>74</v>
      </c>
      <c r="P632" t="s">
        <v>74</v>
      </c>
      <c r="Q632" t="s">
        <v>74</v>
      </c>
      <c r="R632" t="s">
        <v>74</v>
      </c>
      <c r="S632" t="s">
        <v>74</v>
      </c>
      <c r="T632" t="s">
        <v>11604</v>
      </c>
      <c r="U632" t="s">
        <v>11605</v>
      </c>
      <c r="V632" t="s">
        <v>11606</v>
      </c>
      <c r="W632" t="s">
        <v>11607</v>
      </c>
      <c r="X632" t="s">
        <v>7593</v>
      </c>
      <c r="Y632" t="s">
        <v>11608</v>
      </c>
      <c r="Z632" t="s">
        <v>11609</v>
      </c>
      <c r="AA632" t="s">
        <v>74</v>
      </c>
      <c r="AB632" t="s">
        <v>74</v>
      </c>
      <c r="AC632" t="s">
        <v>11610</v>
      </c>
      <c r="AD632" t="s">
        <v>11611</v>
      </c>
      <c r="AE632" t="s">
        <v>11612</v>
      </c>
      <c r="AF632" t="s">
        <v>74</v>
      </c>
      <c r="AG632">
        <v>43</v>
      </c>
      <c r="AH632">
        <v>8</v>
      </c>
      <c r="AI632">
        <v>9</v>
      </c>
      <c r="AJ632">
        <v>0</v>
      </c>
      <c r="AK632">
        <v>12</v>
      </c>
      <c r="AL632" t="s">
        <v>693</v>
      </c>
      <c r="AM632" t="s">
        <v>91</v>
      </c>
      <c r="AN632" t="s">
        <v>694</v>
      </c>
      <c r="AO632" t="s">
        <v>695</v>
      </c>
      <c r="AP632" t="s">
        <v>696</v>
      </c>
      <c r="AQ632" t="s">
        <v>74</v>
      </c>
      <c r="AR632" t="s">
        <v>697</v>
      </c>
      <c r="AS632" t="s">
        <v>698</v>
      </c>
      <c r="AT632" t="s">
        <v>9900</v>
      </c>
      <c r="AU632">
        <v>2011</v>
      </c>
      <c r="AV632">
        <v>91</v>
      </c>
      <c r="AW632">
        <v>3</v>
      </c>
      <c r="AX632" t="s">
        <v>74</v>
      </c>
      <c r="AY632" t="s">
        <v>74</v>
      </c>
      <c r="AZ632" t="s">
        <v>74</v>
      </c>
      <c r="BA632" t="s">
        <v>74</v>
      </c>
      <c r="BB632">
        <v>685</v>
      </c>
      <c r="BC632">
        <v>690</v>
      </c>
      <c r="BD632" t="s">
        <v>74</v>
      </c>
      <c r="BE632" t="s">
        <v>11613</v>
      </c>
      <c r="BF632" t="str">
        <f>HYPERLINK("http://dx.doi.org/10.1017/S0025315410001864","http://dx.doi.org/10.1017/S0025315410001864")</f>
        <v>http://dx.doi.org/10.1017/S0025315410001864</v>
      </c>
      <c r="BG632" t="s">
        <v>74</v>
      </c>
      <c r="BH632" t="s">
        <v>74</v>
      </c>
      <c r="BI632">
        <v>6</v>
      </c>
      <c r="BJ632" t="s">
        <v>700</v>
      </c>
      <c r="BK632" t="s">
        <v>100</v>
      </c>
      <c r="BL632" t="s">
        <v>700</v>
      </c>
      <c r="BM632" t="s">
        <v>11614</v>
      </c>
      <c r="BN632" t="s">
        <v>74</v>
      </c>
      <c r="BO632" t="s">
        <v>702</v>
      </c>
      <c r="BP632" t="s">
        <v>74</v>
      </c>
      <c r="BQ632" t="s">
        <v>74</v>
      </c>
      <c r="BR632" t="s">
        <v>103</v>
      </c>
      <c r="BS632" t="s">
        <v>11615</v>
      </c>
      <c r="BT632" t="str">
        <f>HYPERLINK("https%3A%2F%2Fwww.webofscience.com%2Fwos%2Fwoscc%2Ffull-record%2FWOS:000289439900012","View Full Record in Web of Science")</f>
        <v>View Full Record in Web of Science</v>
      </c>
    </row>
    <row r="633" spans="1:72" x14ac:dyDescent="0.15">
      <c r="A633" t="s">
        <v>72</v>
      </c>
      <c r="B633" t="s">
        <v>11616</v>
      </c>
      <c r="C633" t="s">
        <v>74</v>
      </c>
      <c r="D633" t="s">
        <v>74</v>
      </c>
      <c r="E633" t="s">
        <v>74</v>
      </c>
      <c r="F633" t="s">
        <v>11617</v>
      </c>
      <c r="G633" t="s">
        <v>74</v>
      </c>
      <c r="H633" t="s">
        <v>74</v>
      </c>
      <c r="I633" t="s">
        <v>11618</v>
      </c>
      <c r="J633" t="s">
        <v>1889</v>
      </c>
      <c r="K633" t="s">
        <v>74</v>
      </c>
      <c r="L633" t="s">
        <v>74</v>
      </c>
      <c r="M633" t="s">
        <v>78</v>
      </c>
      <c r="N633" t="s">
        <v>79</v>
      </c>
      <c r="O633" t="s">
        <v>74</v>
      </c>
      <c r="P633" t="s">
        <v>74</v>
      </c>
      <c r="Q633" t="s">
        <v>74</v>
      </c>
      <c r="R633" t="s">
        <v>74</v>
      </c>
      <c r="S633" t="s">
        <v>74</v>
      </c>
      <c r="T633" t="s">
        <v>11619</v>
      </c>
      <c r="U633" t="s">
        <v>11620</v>
      </c>
      <c r="V633" t="s">
        <v>11621</v>
      </c>
      <c r="W633" t="s">
        <v>11622</v>
      </c>
      <c r="X633" t="s">
        <v>11623</v>
      </c>
      <c r="Y633" t="s">
        <v>11624</v>
      </c>
      <c r="Z633" t="s">
        <v>11625</v>
      </c>
      <c r="AA633" t="s">
        <v>11626</v>
      </c>
      <c r="AB633" t="s">
        <v>11627</v>
      </c>
      <c r="AC633" t="s">
        <v>11628</v>
      </c>
      <c r="AD633" t="s">
        <v>11629</v>
      </c>
      <c r="AE633" t="s">
        <v>11630</v>
      </c>
      <c r="AF633" t="s">
        <v>74</v>
      </c>
      <c r="AG633">
        <v>27</v>
      </c>
      <c r="AH633">
        <v>23</v>
      </c>
      <c r="AI633">
        <v>29</v>
      </c>
      <c r="AJ633">
        <v>0</v>
      </c>
      <c r="AK633">
        <v>29</v>
      </c>
      <c r="AL633" t="s">
        <v>1441</v>
      </c>
      <c r="AM633" t="s">
        <v>91</v>
      </c>
      <c r="AN633" t="s">
        <v>1902</v>
      </c>
      <c r="AO633" t="s">
        <v>1903</v>
      </c>
      <c r="AP633" t="s">
        <v>1904</v>
      </c>
      <c r="AQ633" t="s">
        <v>74</v>
      </c>
      <c r="AR633" t="s">
        <v>1905</v>
      </c>
      <c r="AS633" t="s">
        <v>1906</v>
      </c>
      <c r="AT633" t="s">
        <v>9900</v>
      </c>
      <c r="AU633">
        <v>2011</v>
      </c>
      <c r="AV633">
        <v>34</v>
      </c>
      <c r="AW633">
        <v>5</v>
      </c>
      <c r="AX633" t="s">
        <v>74</v>
      </c>
      <c r="AY633" t="s">
        <v>74</v>
      </c>
      <c r="AZ633" t="s">
        <v>74</v>
      </c>
      <c r="BA633" t="s">
        <v>74</v>
      </c>
      <c r="BB633">
        <v>637</v>
      </c>
      <c r="BC633">
        <v>645</v>
      </c>
      <c r="BD633" t="s">
        <v>74</v>
      </c>
      <c r="BE633" t="s">
        <v>11631</v>
      </c>
      <c r="BF633" t="str">
        <f>HYPERLINK("http://dx.doi.org/10.1007/s00300-010-0918-5","http://dx.doi.org/10.1007/s00300-010-0918-5")</f>
        <v>http://dx.doi.org/10.1007/s00300-010-0918-5</v>
      </c>
      <c r="BG633" t="s">
        <v>74</v>
      </c>
      <c r="BH633" t="s">
        <v>74</v>
      </c>
      <c r="BI633">
        <v>9</v>
      </c>
      <c r="BJ633" t="s">
        <v>1908</v>
      </c>
      <c r="BK633" t="s">
        <v>100</v>
      </c>
      <c r="BL633" t="s">
        <v>1909</v>
      </c>
      <c r="BM633" t="s">
        <v>11444</v>
      </c>
      <c r="BN633" t="s">
        <v>74</v>
      </c>
      <c r="BO633" t="s">
        <v>74</v>
      </c>
      <c r="BP633" t="s">
        <v>74</v>
      </c>
      <c r="BQ633" t="s">
        <v>74</v>
      </c>
      <c r="BR633" t="s">
        <v>103</v>
      </c>
      <c r="BS633" t="s">
        <v>11632</v>
      </c>
      <c r="BT633" t="str">
        <f>HYPERLINK("https%3A%2F%2Fwww.webofscience.com%2Fwos%2Fwoscc%2Ffull-record%2FWOS:000289481400002","View Full Record in Web of Science")</f>
        <v>View Full Record in Web of Science</v>
      </c>
    </row>
    <row r="634" spans="1:72" x14ac:dyDescent="0.15">
      <c r="A634" t="s">
        <v>72</v>
      </c>
      <c r="B634" t="s">
        <v>11633</v>
      </c>
      <c r="C634" t="s">
        <v>74</v>
      </c>
      <c r="D634" t="s">
        <v>74</v>
      </c>
      <c r="E634" t="s">
        <v>74</v>
      </c>
      <c r="F634" t="s">
        <v>11634</v>
      </c>
      <c r="G634" t="s">
        <v>74</v>
      </c>
      <c r="H634" t="s">
        <v>74</v>
      </c>
      <c r="I634" t="s">
        <v>11635</v>
      </c>
      <c r="J634" t="s">
        <v>1889</v>
      </c>
      <c r="K634" t="s">
        <v>74</v>
      </c>
      <c r="L634" t="s">
        <v>74</v>
      </c>
      <c r="M634" t="s">
        <v>78</v>
      </c>
      <c r="N634" t="s">
        <v>79</v>
      </c>
      <c r="O634" t="s">
        <v>74</v>
      </c>
      <c r="P634" t="s">
        <v>74</v>
      </c>
      <c r="Q634" t="s">
        <v>74</v>
      </c>
      <c r="R634" t="s">
        <v>74</v>
      </c>
      <c r="S634" t="s">
        <v>74</v>
      </c>
      <c r="T634" t="s">
        <v>11636</v>
      </c>
      <c r="U634" t="s">
        <v>11637</v>
      </c>
      <c r="V634" t="s">
        <v>11638</v>
      </c>
      <c r="W634" t="s">
        <v>11639</v>
      </c>
      <c r="X634" t="s">
        <v>11471</v>
      </c>
      <c r="Y634" t="s">
        <v>11640</v>
      </c>
      <c r="Z634" t="s">
        <v>11641</v>
      </c>
      <c r="AA634" t="s">
        <v>74</v>
      </c>
      <c r="AB634" t="s">
        <v>74</v>
      </c>
      <c r="AC634" t="s">
        <v>11642</v>
      </c>
      <c r="AD634" t="s">
        <v>2575</v>
      </c>
      <c r="AE634" t="s">
        <v>11643</v>
      </c>
      <c r="AF634" t="s">
        <v>74</v>
      </c>
      <c r="AG634">
        <v>21</v>
      </c>
      <c r="AH634">
        <v>8</v>
      </c>
      <c r="AI634">
        <v>9</v>
      </c>
      <c r="AJ634">
        <v>1</v>
      </c>
      <c r="AK634">
        <v>33</v>
      </c>
      <c r="AL634" t="s">
        <v>1441</v>
      </c>
      <c r="AM634" t="s">
        <v>91</v>
      </c>
      <c r="AN634" t="s">
        <v>1902</v>
      </c>
      <c r="AO634" t="s">
        <v>1903</v>
      </c>
      <c r="AP634" t="s">
        <v>1904</v>
      </c>
      <c r="AQ634" t="s">
        <v>74</v>
      </c>
      <c r="AR634" t="s">
        <v>1905</v>
      </c>
      <c r="AS634" t="s">
        <v>1906</v>
      </c>
      <c r="AT634" t="s">
        <v>9900</v>
      </c>
      <c r="AU634">
        <v>2011</v>
      </c>
      <c r="AV634">
        <v>34</v>
      </c>
      <c r="AW634">
        <v>5</v>
      </c>
      <c r="AX634" t="s">
        <v>74</v>
      </c>
      <c r="AY634" t="s">
        <v>74</v>
      </c>
      <c r="AZ634" t="s">
        <v>74</v>
      </c>
      <c r="BA634" t="s">
        <v>74</v>
      </c>
      <c r="BB634">
        <v>659</v>
      </c>
      <c r="BC634">
        <v>665</v>
      </c>
      <c r="BD634" t="s">
        <v>74</v>
      </c>
      <c r="BE634" t="s">
        <v>11644</v>
      </c>
      <c r="BF634" t="str">
        <f>HYPERLINK("http://dx.doi.org/10.1007/s00300-010-0921-x","http://dx.doi.org/10.1007/s00300-010-0921-x")</f>
        <v>http://dx.doi.org/10.1007/s00300-010-0921-x</v>
      </c>
      <c r="BG634" t="s">
        <v>74</v>
      </c>
      <c r="BH634" t="s">
        <v>74</v>
      </c>
      <c r="BI634">
        <v>7</v>
      </c>
      <c r="BJ634" t="s">
        <v>1908</v>
      </c>
      <c r="BK634" t="s">
        <v>100</v>
      </c>
      <c r="BL634" t="s">
        <v>1909</v>
      </c>
      <c r="BM634" t="s">
        <v>11444</v>
      </c>
      <c r="BN634" t="s">
        <v>74</v>
      </c>
      <c r="BO634" t="s">
        <v>74</v>
      </c>
      <c r="BP634" t="s">
        <v>74</v>
      </c>
      <c r="BQ634" t="s">
        <v>74</v>
      </c>
      <c r="BR634" t="s">
        <v>103</v>
      </c>
      <c r="BS634" t="s">
        <v>11645</v>
      </c>
      <c r="BT634" t="str">
        <f>HYPERLINK("https%3A%2F%2Fwww.webofscience.com%2Fwos%2Fwoscc%2Ffull-record%2FWOS:000289481400004","View Full Record in Web of Science")</f>
        <v>View Full Record in Web of Science</v>
      </c>
    </row>
    <row r="635" spans="1:72" x14ac:dyDescent="0.15">
      <c r="A635" t="s">
        <v>72</v>
      </c>
      <c r="B635" t="s">
        <v>11646</v>
      </c>
      <c r="C635" t="s">
        <v>74</v>
      </c>
      <c r="D635" t="s">
        <v>74</v>
      </c>
      <c r="E635" t="s">
        <v>74</v>
      </c>
      <c r="F635" t="s">
        <v>11647</v>
      </c>
      <c r="G635" t="s">
        <v>74</v>
      </c>
      <c r="H635" t="s">
        <v>74</v>
      </c>
      <c r="I635" t="s">
        <v>11648</v>
      </c>
      <c r="J635" t="s">
        <v>1889</v>
      </c>
      <c r="K635" t="s">
        <v>74</v>
      </c>
      <c r="L635" t="s">
        <v>74</v>
      </c>
      <c r="M635" t="s">
        <v>78</v>
      </c>
      <c r="N635" t="s">
        <v>79</v>
      </c>
      <c r="O635" t="s">
        <v>74</v>
      </c>
      <c r="P635" t="s">
        <v>74</v>
      </c>
      <c r="Q635" t="s">
        <v>74</v>
      </c>
      <c r="R635" t="s">
        <v>74</v>
      </c>
      <c r="S635" t="s">
        <v>74</v>
      </c>
      <c r="T635" t="s">
        <v>11649</v>
      </c>
      <c r="U635" t="s">
        <v>11650</v>
      </c>
      <c r="V635" t="s">
        <v>11651</v>
      </c>
      <c r="W635" t="s">
        <v>11652</v>
      </c>
      <c r="X635" t="s">
        <v>11653</v>
      </c>
      <c r="Y635" t="s">
        <v>11654</v>
      </c>
      <c r="Z635" t="s">
        <v>11655</v>
      </c>
      <c r="AA635" t="s">
        <v>74</v>
      </c>
      <c r="AB635" t="s">
        <v>74</v>
      </c>
      <c r="AC635" t="s">
        <v>11656</v>
      </c>
      <c r="AD635" t="s">
        <v>11656</v>
      </c>
      <c r="AE635" t="s">
        <v>11657</v>
      </c>
      <c r="AF635" t="s">
        <v>74</v>
      </c>
      <c r="AG635">
        <v>33</v>
      </c>
      <c r="AH635">
        <v>15</v>
      </c>
      <c r="AI635">
        <v>17</v>
      </c>
      <c r="AJ635">
        <v>0</v>
      </c>
      <c r="AK635">
        <v>21</v>
      </c>
      <c r="AL635" t="s">
        <v>1441</v>
      </c>
      <c r="AM635" t="s">
        <v>91</v>
      </c>
      <c r="AN635" t="s">
        <v>1595</v>
      </c>
      <c r="AO635" t="s">
        <v>1903</v>
      </c>
      <c r="AP635" t="s">
        <v>74</v>
      </c>
      <c r="AQ635" t="s">
        <v>74</v>
      </c>
      <c r="AR635" t="s">
        <v>1905</v>
      </c>
      <c r="AS635" t="s">
        <v>1906</v>
      </c>
      <c r="AT635" t="s">
        <v>9900</v>
      </c>
      <c r="AU635">
        <v>2011</v>
      </c>
      <c r="AV635">
        <v>34</v>
      </c>
      <c r="AW635">
        <v>5</v>
      </c>
      <c r="AX635" t="s">
        <v>74</v>
      </c>
      <c r="AY635" t="s">
        <v>74</v>
      </c>
      <c r="AZ635" t="s">
        <v>74</v>
      </c>
      <c r="BA635" t="s">
        <v>74</v>
      </c>
      <c r="BB635">
        <v>675</v>
      </c>
      <c r="BC635">
        <v>681</v>
      </c>
      <c r="BD635" t="s">
        <v>74</v>
      </c>
      <c r="BE635" t="s">
        <v>11658</v>
      </c>
      <c r="BF635" t="str">
        <f>HYPERLINK("http://dx.doi.org/10.1007/s00300-010-0923-8","http://dx.doi.org/10.1007/s00300-010-0923-8")</f>
        <v>http://dx.doi.org/10.1007/s00300-010-0923-8</v>
      </c>
      <c r="BG635" t="s">
        <v>74</v>
      </c>
      <c r="BH635" t="s">
        <v>74</v>
      </c>
      <c r="BI635">
        <v>7</v>
      </c>
      <c r="BJ635" t="s">
        <v>1908</v>
      </c>
      <c r="BK635" t="s">
        <v>100</v>
      </c>
      <c r="BL635" t="s">
        <v>1909</v>
      </c>
      <c r="BM635" t="s">
        <v>11444</v>
      </c>
      <c r="BN635" t="s">
        <v>74</v>
      </c>
      <c r="BO635" t="s">
        <v>3194</v>
      </c>
      <c r="BP635" t="s">
        <v>74</v>
      </c>
      <c r="BQ635" t="s">
        <v>74</v>
      </c>
      <c r="BR635" t="s">
        <v>103</v>
      </c>
      <c r="BS635" t="s">
        <v>11659</v>
      </c>
      <c r="BT635" t="str">
        <f>HYPERLINK("https%3A%2F%2Fwww.webofscience.com%2Fwos%2Fwoscc%2Ffull-record%2FWOS:000289481400006","View Full Record in Web of Science")</f>
        <v>View Full Record in Web of Science</v>
      </c>
    </row>
    <row r="636" spans="1:72" x14ac:dyDescent="0.15">
      <c r="A636" t="s">
        <v>72</v>
      </c>
      <c r="B636" t="s">
        <v>11660</v>
      </c>
      <c r="C636" t="s">
        <v>74</v>
      </c>
      <c r="D636" t="s">
        <v>74</v>
      </c>
      <c r="E636" t="s">
        <v>74</v>
      </c>
      <c r="F636" t="s">
        <v>11661</v>
      </c>
      <c r="G636" t="s">
        <v>74</v>
      </c>
      <c r="H636" t="s">
        <v>74</v>
      </c>
      <c r="I636" t="s">
        <v>11662</v>
      </c>
      <c r="J636" t="s">
        <v>1889</v>
      </c>
      <c r="K636" t="s">
        <v>74</v>
      </c>
      <c r="L636" t="s">
        <v>74</v>
      </c>
      <c r="M636" t="s">
        <v>78</v>
      </c>
      <c r="N636" t="s">
        <v>79</v>
      </c>
      <c r="O636" t="s">
        <v>74</v>
      </c>
      <c r="P636" t="s">
        <v>74</v>
      </c>
      <c r="Q636" t="s">
        <v>74</v>
      </c>
      <c r="R636" t="s">
        <v>74</v>
      </c>
      <c r="S636" t="s">
        <v>74</v>
      </c>
      <c r="T636" t="s">
        <v>11663</v>
      </c>
      <c r="U636" t="s">
        <v>11664</v>
      </c>
      <c r="V636" t="s">
        <v>11665</v>
      </c>
      <c r="W636" t="s">
        <v>11666</v>
      </c>
      <c r="X636" t="s">
        <v>11667</v>
      </c>
      <c r="Y636" t="s">
        <v>11668</v>
      </c>
      <c r="Z636" t="s">
        <v>11669</v>
      </c>
      <c r="AA636" t="s">
        <v>74</v>
      </c>
      <c r="AB636" t="s">
        <v>74</v>
      </c>
      <c r="AC636" t="s">
        <v>11670</v>
      </c>
      <c r="AD636" t="s">
        <v>11671</v>
      </c>
      <c r="AE636" t="s">
        <v>11672</v>
      </c>
      <c r="AF636" t="s">
        <v>74</v>
      </c>
      <c r="AG636">
        <v>35</v>
      </c>
      <c r="AH636">
        <v>15</v>
      </c>
      <c r="AI636">
        <v>17</v>
      </c>
      <c r="AJ636">
        <v>0</v>
      </c>
      <c r="AK636">
        <v>19</v>
      </c>
      <c r="AL636" t="s">
        <v>1441</v>
      </c>
      <c r="AM636" t="s">
        <v>91</v>
      </c>
      <c r="AN636" t="s">
        <v>1595</v>
      </c>
      <c r="AO636" t="s">
        <v>1903</v>
      </c>
      <c r="AP636" t="s">
        <v>74</v>
      </c>
      <c r="AQ636" t="s">
        <v>74</v>
      </c>
      <c r="AR636" t="s">
        <v>1905</v>
      </c>
      <c r="AS636" t="s">
        <v>1906</v>
      </c>
      <c r="AT636" t="s">
        <v>9900</v>
      </c>
      <c r="AU636">
        <v>2011</v>
      </c>
      <c r="AV636">
        <v>34</v>
      </c>
      <c r="AW636">
        <v>5</v>
      </c>
      <c r="AX636" t="s">
        <v>74</v>
      </c>
      <c r="AY636" t="s">
        <v>74</v>
      </c>
      <c r="AZ636" t="s">
        <v>74</v>
      </c>
      <c r="BA636" t="s">
        <v>74</v>
      </c>
      <c r="BB636">
        <v>683</v>
      </c>
      <c r="BC636">
        <v>692</v>
      </c>
      <c r="BD636" t="s">
        <v>74</v>
      </c>
      <c r="BE636" t="s">
        <v>11673</v>
      </c>
      <c r="BF636" t="str">
        <f>HYPERLINK("http://dx.doi.org/10.1007/s00300-010-0924-7","http://dx.doi.org/10.1007/s00300-010-0924-7")</f>
        <v>http://dx.doi.org/10.1007/s00300-010-0924-7</v>
      </c>
      <c r="BG636" t="s">
        <v>74</v>
      </c>
      <c r="BH636" t="s">
        <v>74</v>
      </c>
      <c r="BI636">
        <v>10</v>
      </c>
      <c r="BJ636" t="s">
        <v>1908</v>
      </c>
      <c r="BK636" t="s">
        <v>100</v>
      </c>
      <c r="BL636" t="s">
        <v>1909</v>
      </c>
      <c r="BM636" t="s">
        <v>11444</v>
      </c>
      <c r="BN636" t="s">
        <v>74</v>
      </c>
      <c r="BO636" t="s">
        <v>74</v>
      </c>
      <c r="BP636" t="s">
        <v>74</v>
      </c>
      <c r="BQ636" t="s">
        <v>74</v>
      </c>
      <c r="BR636" t="s">
        <v>103</v>
      </c>
      <c r="BS636" t="s">
        <v>11674</v>
      </c>
      <c r="BT636" t="str">
        <f>HYPERLINK("https%3A%2F%2Fwww.webofscience.com%2Fwos%2Fwoscc%2Ffull-record%2FWOS:000289481400007","View Full Record in Web of Science")</f>
        <v>View Full Record in Web of Science</v>
      </c>
    </row>
    <row r="637" spans="1:72" x14ac:dyDescent="0.15">
      <c r="A637" t="s">
        <v>72</v>
      </c>
      <c r="B637" t="s">
        <v>11675</v>
      </c>
      <c r="C637" t="s">
        <v>74</v>
      </c>
      <c r="D637" t="s">
        <v>74</v>
      </c>
      <c r="E637" t="s">
        <v>74</v>
      </c>
      <c r="F637" t="s">
        <v>11676</v>
      </c>
      <c r="G637" t="s">
        <v>74</v>
      </c>
      <c r="H637" t="s">
        <v>74</v>
      </c>
      <c r="I637" t="s">
        <v>11677</v>
      </c>
      <c r="J637" t="s">
        <v>11678</v>
      </c>
      <c r="K637" t="s">
        <v>74</v>
      </c>
      <c r="L637" t="s">
        <v>74</v>
      </c>
      <c r="M637" t="s">
        <v>78</v>
      </c>
      <c r="N637" t="s">
        <v>79</v>
      </c>
      <c r="O637" t="s">
        <v>74</v>
      </c>
      <c r="P637" t="s">
        <v>74</v>
      </c>
      <c r="Q637" t="s">
        <v>74</v>
      </c>
      <c r="R637" t="s">
        <v>74</v>
      </c>
      <c r="S637" t="s">
        <v>74</v>
      </c>
      <c r="T637" t="s">
        <v>11679</v>
      </c>
      <c r="U637" t="s">
        <v>11680</v>
      </c>
      <c r="V637" t="s">
        <v>11681</v>
      </c>
      <c r="W637" t="s">
        <v>11682</v>
      </c>
      <c r="X637" t="s">
        <v>11683</v>
      </c>
      <c r="Y637" t="s">
        <v>11684</v>
      </c>
      <c r="Z637" t="s">
        <v>11685</v>
      </c>
      <c r="AA637" t="s">
        <v>6371</v>
      </c>
      <c r="AB637" t="s">
        <v>11555</v>
      </c>
      <c r="AC637" t="s">
        <v>11686</v>
      </c>
      <c r="AD637" t="s">
        <v>11687</v>
      </c>
      <c r="AE637" t="s">
        <v>11688</v>
      </c>
      <c r="AF637" t="s">
        <v>74</v>
      </c>
      <c r="AG637">
        <v>111</v>
      </c>
      <c r="AH637">
        <v>6</v>
      </c>
      <c r="AI637">
        <v>6</v>
      </c>
      <c r="AJ637">
        <v>2</v>
      </c>
      <c r="AK637">
        <v>11</v>
      </c>
      <c r="AL637" t="s">
        <v>1237</v>
      </c>
      <c r="AM637" t="s">
        <v>1238</v>
      </c>
      <c r="AN637" t="s">
        <v>1239</v>
      </c>
      <c r="AO637" t="s">
        <v>11689</v>
      </c>
      <c r="AP637" t="s">
        <v>11690</v>
      </c>
      <c r="AQ637" t="s">
        <v>74</v>
      </c>
      <c r="AR637" t="s">
        <v>11691</v>
      </c>
      <c r="AS637" t="s">
        <v>11692</v>
      </c>
      <c r="AT637" t="s">
        <v>9900</v>
      </c>
      <c r="AU637">
        <v>2011</v>
      </c>
      <c r="AV637">
        <v>54</v>
      </c>
      <c r="AW637">
        <v>5</v>
      </c>
      <c r="AX637" t="s">
        <v>74</v>
      </c>
      <c r="AY637" t="s">
        <v>74</v>
      </c>
      <c r="AZ637" t="s">
        <v>74</v>
      </c>
      <c r="BA637" t="s">
        <v>74</v>
      </c>
      <c r="BB637">
        <v>655</v>
      </c>
      <c r="BC637">
        <v>666</v>
      </c>
      <c r="BD637" t="s">
        <v>74</v>
      </c>
      <c r="BE637" t="s">
        <v>11693</v>
      </c>
      <c r="BF637" t="str">
        <f>HYPERLINK("http://dx.doi.org/10.1007/s11430-010-4066-0","http://dx.doi.org/10.1007/s11430-010-4066-0")</f>
        <v>http://dx.doi.org/10.1007/s11430-010-4066-0</v>
      </c>
      <c r="BG637" t="s">
        <v>74</v>
      </c>
      <c r="BH637" t="s">
        <v>74</v>
      </c>
      <c r="BI637">
        <v>12</v>
      </c>
      <c r="BJ637" t="s">
        <v>130</v>
      </c>
      <c r="BK637" t="s">
        <v>100</v>
      </c>
      <c r="BL637" t="s">
        <v>131</v>
      </c>
      <c r="BM637" t="s">
        <v>11694</v>
      </c>
      <c r="BN637" t="s">
        <v>74</v>
      </c>
      <c r="BO637" t="s">
        <v>74</v>
      </c>
      <c r="BP637" t="s">
        <v>74</v>
      </c>
      <c r="BQ637" t="s">
        <v>74</v>
      </c>
      <c r="BR637" t="s">
        <v>103</v>
      </c>
      <c r="BS637" t="s">
        <v>11695</v>
      </c>
      <c r="BT637" t="str">
        <f>HYPERLINK("https%3A%2F%2Fwww.webofscience.com%2Fwos%2Fwoscc%2Ffull-record%2FWOS:000289563000004","View Full Record in Web of Science")</f>
        <v>View Full Record in Web of Science</v>
      </c>
    </row>
    <row r="638" spans="1:72" x14ac:dyDescent="0.15">
      <c r="A638" t="s">
        <v>72</v>
      </c>
      <c r="B638" t="s">
        <v>11696</v>
      </c>
      <c r="C638" t="s">
        <v>74</v>
      </c>
      <c r="D638" t="s">
        <v>74</v>
      </c>
      <c r="E638" t="s">
        <v>74</v>
      </c>
      <c r="F638" t="s">
        <v>11697</v>
      </c>
      <c r="G638" t="s">
        <v>74</v>
      </c>
      <c r="H638" t="s">
        <v>74</v>
      </c>
      <c r="I638" t="s">
        <v>11698</v>
      </c>
      <c r="J638" t="s">
        <v>5590</v>
      </c>
      <c r="K638" t="s">
        <v>74</v>
      </c>
      <c r="L638" t="s">
        <v>74</v>
      </c>
      <c r="M638" t="s">
        <v>78</v>
      </c>
      <c r="N638" t="s">
        <v>79</v>
      </c>
      <c r="O638" t="s">
        <v>74</v>
      </c>
      <c r="P638" t="s">
        <v>74</v>
      </c>
      <c r="Q638" t="s">
        <v>74</v>
      </c>
      <c r="R638" t="s">
        <v>74</v>
      </c>
      <c r="S638" t="s">
        <v>74</v>
      </c>
      <c r="T638" t="s">
        <v>11699</v>
      </c>
      <c r="U638" t="s">
        <v>11700</v>
      </c>
      <c r="V638" t="s">
        <v>11701</v>
      </c>
      <c r="W638" t="s">
        <v>11702</v>
      </c>
      <c r="X638" t="s">
        <v>11703</v>
      </c>
      <c r="Y638" t="s">
        <v>11704</v>
      </c>
      <c r="Z638" t="s">
        <v>5596</v>
      </c>
      <c r="AA638" t="s">
        <v>1956</v>
      </c>
      <c r="AB638" t="s">
        <v>11705</v>
      </c>
      <c r="AC638" t="s">
        <v>11706</v>
      </c>
      <c r="AD638" t="s">
        <v>11707</v>
      </c>
      <c r="AE638" t="s">
        <v>11708</v>
      </c>
      <c r="AF638" t="s">
        <v>74</v>
      </c>
      <c r="AG638">
        <v>17</v>
      </c>
      <c r="AH638">
        <v>12</v>
      </c>
      <c r="AI638">
        <v>12</v>
      </c>
      <c r="AJ638">
        <v>0</v>
      </c>
      <c r="AK638">
        <v>7</v>
      </c>
      <c r="AL638" t="s">
        <v>2968</v>
      </c>
      <c r="AM638" t="s">
        <v>508</v>
      </c>
      <c r="AN638" t="s">
        <v>2969</v>
      </c>
      <c r="AO638" t="s">
        <v>5601</v>
      </c>
      <c r="AP638" t="s">
        <v>8713</v>
      </c>
      <c r="AQ638" t="s">
        <v>74</v>
      </c>
      <c r="AR638" t="s">
        <v>5602</v>
      </c>
      <c r="AS638" t="s">
        <v>5603</v>
      </c>
      <c r="AT638" t="s">
        <v>9900</v>
      </c>
      <c r="AU638">
        <v>2011</v>
      </c>
      <c r="AV638">
        <v>33</v>
      </c>
      <c r="AW638">
        <v>5</v>
      </c>
      <c r="AX638" t="s">
        <v>74</v>
      </c>
      <c r="AY638" t="s">
        <v>74</v>
      </c>
      <c r="AZ638" t="s">
        <v>74</v>
      </c>
      <c r="BA638" t="s">
        <v>74</v>
      </c>
      <c r="BB638">
        <v>821</v>
      </c>
      <c r="BC638">
        <v>826</v>
      </c>
      <c r="BD638" t="s">
        <v>74</v>
      </c>
      <c r="BE638" t="s">
        <v>11709</v>
      </c>
      <c r="BF638" t="str">
        <f>HYPERLINK("http://dx.doi.org/10.1093/plankt/fbq123","http://dx.doi.org/10.1093/plankt/fbq123")</f>
        <v>http://dx.doi.org/10.1093/plankt/fbq123</v>
      </c>
      <c r="BG638" t="s">
        <v>74</v>
      </c>
      <c r="BH638" t="s">
        <v>74</v>
      </c>
      <c r="BI638">
        <v>6</v>
      </c>
      <c r="BJ638" t="s">
        <v>5605</v>
      </c>
      <c r="BK638" t="s">
        <v>100</v>
      </c>
      <c r="BL638" t="s">
        <v>5605</v>
      </c>
      <c r="BM638" t="s">
        <v>11300</v>
      </c>
      <c r="BN638" t="s">
        <v>74</v>
      </c>
      <c r="BO638" t="s">
        <v>152</v>
      </c>
      <c r="BP638" t="s">
        <v>74</v>
      </c>
      <c r="BQ638" t="s">
        <v>74</v>
      </c>
      <c r="BR638" t="s">
        <v>103</v>
      </c>
      <c r="BS638" t="s">
        <v>11710</v>
      </c>
      <c r="BT638" t="str">
        <f>HYPERLINK("https%3A%2F%2Fwww.webofscience.com%2Fwos%2Fwoscc%2Ffull-record%2FWOS:000289198500012","View Full Record in Web of Science")</f>
        <v>View Full Record in Web of Science</v>
      </c>
    </row>
    <row r="639" spans="1:72" x14ac:dyDescent="0.15">
      <c r="A639" t="s">
        <v>72</v>
      </c>
      <c r="B639" t="s">
        <v>11711</v>
      </c>
      <c r="C639" t="s">
        <v>74</v>
      </c>
      <c r="D639" t="s">
        <v>74</v>
      </c>
      <c r="E639" t="s">
        <v>74</v>
      </c>
      <c r="F639" t="s">
        <v>11712</v>
      </c>
      <c r="G639" t="s">
        <v>74</v>
      </c>
      <c r="H639" t="s">
        <v>74</v>
      </c>
      <c r="I639" t="s">
        <v>11713</v>
      </c>
      <c r="J639" t="s">
        <v>11714</v>
      </c>
      <c r="K639" t="s">
        <v>74</v>
      </c>
      <c r="L639" t="s">
        <v>74</v>
      </c>
      <c r="M639" t="s">
        <v>78</v>
      </c>
      <c r="N639" t="s">
        <v>79</v>
      </c>
      <c r="O639" t="s">
        <v>74</v>
      </c>
      <c r="P639" t="s">
        <v>74</v>
      </c>
      <c r="Q639" t="s">
        <v>74</v>
      </c>
      <c r="R639" t="s">
        <v>74</v>
      </c>
      <c r="S639" t="s">
        <v>74</v>
      </c>
      <c r="T639" t="s">
        <v>11715</v>
      </c>
      <c r="U639" t="s">
        <v>11716</v>
      </c>
      <c r="V639" t="s">
        <v>11717</v>
      </c>
      <c r="W639" t="s">
        <v>11718</v>
      </c>
      <c r="X639" t="s">
        <v>11719</v>
      </c>
      <c r="Y639" t="s">
        <v>11720</v>
      </c>
      <c r="Z639" t="s">
        <v>11721</v>
      </c>
      <c r="AA639" t="s">
        <v>11722</v>
      </c>
      <c r="AB639" t="s">
        <v>11723</v>
      </c>
      <c r="AC639" t="s">
        <v>11724</v>
      </c>
      <c r="AD639" t="s">
        <v>11725</v>
      </c>
      <c r="AE639" t="s">
        <v>11726</v>
      </c>
      <c r="AF639" t="s">
        <v>74</v>
      </c>
      <c r="AG639">
        <v>52</v>
      </c>
      <c r="AH639">
        <v>17</v>
      </c>
      <c r="AI639">
        <v>18</v>
      </c>
      <c r="AJ639">
        <v>1</v>
      </c>
      <c r="AK639">
        <v>37</v>
      </c>
      <c r="AL639" t="s">
        <v>1441</v>
      </c>
      <c r="AM639" t="s">
        <v>1442</v>
      </c>
      <c r="AN639" t="s">
        <v>1443</v>
      </c>
      <c r="AO639" t="s">
        <v>11727</v>
      </c>
      <c r="AP639" t="s">
        <v>74</v>
      </c>
      <c r="AQ639" t="s">
        <v>74</v>
      </c>
      <c r="AR639" t="s">
        <v>11714</v>
      </c>
      <c r="AS639" t="s">
        <v>11728</v>
      </c>
      <c r="AT639" t="s">
        <v>9900</v>
      </c>
      <c r="AU639">
        <v>2011</v>
      </c>
      <c r="AV639">
        <v>665</v>
      </c>
      <c r="AW639">
        <v>1</v>
      </c>
      <c r="AX639" t="s">
        <v>74</v>
      </c>
      <c r="AY639" t="s">
        <v>74</v>
      </c>
      <c r="AZ639" t="s">
        <v>74</v>
      </c>
      <c r="BA639" t="s">
        <v>74</v>
      </c>
      <c r="BB639">
        <v>205</v>
      </c>
      <c r="BC639">
        <v>217</v>
      </c>
      <c r="BD639" t="s">
        <v>74</v>
      </c>
      <c r="BE639" t="s">
        <v>11729</v>
      </c>
      <c r="BF639" t="str">
        <f>HYPERLINK("http://dx.doi.org/10.1007/s10750-011-0623-6","http://dx.doi.org/10.1007/s10750-011-0623-6")</f>
        <v>http://dx.doi.org/10.1007/s10750-011-0623-6</v>
      </c>
      <c r="BG639" t="s">
        <v>74</v>
      </c>
      <c r="BH639" t="s">
        <v>74</v>
      </c>
      <c r="BI639">
        <v>13</v>
      </c>
      <c r="BJ639" t="s">
        <v>700</v>
      </c>
      <c r="BK639" t="s">
        <v>100</v>
      </c>
      <c r="BL639" t="s">
        <v>700</v>
      </c>
      <c r="BM639" t="s">
        <v>11730</v>
      </c>
      <c r="BN639" t="s">
        <v>74</v>
      </c>
      <c r="BO639" t="s">
        <v>74</v>
      </c>
      <c r="BP639" t="s">
        <v>74</v>
      </c>
      <c r="BQ639" t="s">
        <v>74</v>
      </c>
      <c r="BR639" t="s">
        <v>103</v>
      </c>
      <c r="BS639" t="s">
        <v>11731</v>
      </c>
      <c r="BT639" t="str">
        <f>HYPERLINK("https%3A%2F%2Fwww.webofscience.com%2Fwos%2Fwoscc%2Ffull-record%2FWOS:000288515500016","View Full Record in Web of Science")</f>
        <v>View Full Record in Web of Science</v>
      </c>
    </row>
    <row r="640" spans="1:72" x14ac:dyDescent="0.15">
      <c r="A640" t="s">
        <v>72</v>
      </c>
      <c r="B640" t="s">
        <v>11732</v>
      </c>
      <c r="C640" t="s">
        <v>74</v>
      </c>
      <c r="D640" t="s">
        <v>74</v>
      </c>
      <c r="E640" t="s">
        <v>74</v>
      </c>
      <c r="F640" t="s">
        <v>11733</v>
      </c>
      <c r="G640" t="s">
        <v>74</v>
      </c>
      <c r="H640" t="s">
        <v>74</v>
      </c>
      <c r="I640" t="s">
        <v>11734</v>
      </c>
      <c r="J640" t="s">
        <v>11735</v>
      </c>
      <c r="K640" t="s">
        <v>74</v>
      </c>
      <c r="L640" t="s">
        <v>74</v>
      </c>
      <c r="M640" t="s">
        <v>78</v>
      </c>
      <c r="N640" t="s">
        <v>79</v>
      </c>
      <c r="O640" t="s">
        <v>74</v>
      </c>
      <c r="P640" t="s">
        <v>74</v>
      </c>
      <c r="Q640" t="s">
        <v>74</v>
      </c>
      <c r="R640" t="s">
        <v>74</v>
      </c>
      <c r="S640" t="s">
        <v>74</v>
      </c>
      <c r="T640" t="s">
        <v>11736</v>
      </c>
      <c r="U640" t="s">
        <v>11737</v>
      </c>
      <c r="V640" t="s">
        <v>11738</v>
      </c>
      <c r="W640" t="s">
        <v>11739</v>
      </c>
      <c r="X640" t="s">
        <v>11740</v>
      </c>
      <c r="Y640" t="s">
        <v>11741</v>
      </c>
      <c r="Z640" t="s">
        <v>11742</v>
      </c>
      <c r="AA640" t="s">
        <v>74</v>
      </c>
      <c r="AB640" t="s">
        <v>11743</v>
      </c>
      <c r="AC640" t="s">
        <v>11744</v>
      </c>
      <c r="AD640" t="s">
        <v>11745</v>
      </c>
      <c r="AE640" t="s">
        <v>11746</v>
      </c>
      <c r="AF640" t="s">
        <v>74</v>
      </c>
      <c r="AG640">
        <v>51</v>
      </c>
      <c r="AH640">
        <v>7</v>
      </c>
      <c r="AI640">
        <v>7</v>
      </c>
      <c r="AJ640">
        <v>0</v>
      </c>
      <c r="AK640">
        <v>25</v>
      </c>
      <c r="AL640" t="s">
        <v>4179</v>
      </c>
      <c r="AM640" t="s">
        <v>1324</v>
      </c>
      <c r="AN640" t="s">
        <v>1325</v>
      </c>
      <c r="AO640" t="s">
        <v>11747</v>
      </c>
      <c r="AP640" t="s">
        <v>74</v>
      </c>
      <c r="AQ640" t="s">
        <v>74</v>
      </c>
      <c r="AR640" t="s">
        <v>11748</v>
      </c>
      <c r="AS640" t="s">
        <v>11749</v>
      </c>
      <c r="AT640" t="s">
        <v>11750</v>
      </c>
      <c r="AU640">
        <v>2011</v>
      </c>
      <c r="AV640">
        <v>25</v>
      </c>
      <c r="AW640">
        <v>9</v>
      </c>
      <c r="AX640" t="s">
        <v>74</v>
      </c>
      <c r="AY640" t="s">
        <v>74</v>
      </c>
      <c r="AZ640" t="s">
        <v>74</v>
      </c>
      <c r="BA640" t="s">
        <v>74</v>
      </c>
      <c r="BB640">
        <v>1361</v>
      </c>
      <c r="BC640">
        <v>1372</v>
      </c>
      <c r="BD640" t="s">
        <v>74</v>
      </c>
      <c r="BE640" t="s">
        <v>11751</v>
      </c>
      <c r="BF640" t="str">
        <f>HYPERLINK("http://dx.doi.org/10.1002/hyp.7895","http://dx.doi.org/10.1002/hyp.7895")</f>
        <v>http://dx.doi.org/10.1002/hyp.7895</v>
      </c>
      <c r="BG640" t="s">
        <v>74</v>
      </c>
      <c r="BH640" t="s">
        <v>74</v>
      </c>
      <c r="BI640">
        <v>12</v>
      </c>
      <c r="BJ640" t="s">
        <v>11752</v>
      </c>
      <c r="BK640" t="s">
        <v>100</v>
      </c>
      <c r="BL640" t="s">
        <v>11752</v>
      </c>
      <c r="BM640" t="s">
        <v>11753</v>
      </c>
      <c r="BN640" t="s">
        <v>74</v>
      </c>
      <c r="BO640" t="s">
        <v>152</v>
      </c>
      <c r="BP640" t="s">
        <v>74</v>
      </c>
      <c r="BQ640" t="s">
        <v>74</v>
      </c>
      <c r="BR640" t="s">
        <v>103</v>
      </c>
      <c r="BS640" t="s">
        <v>11754</v>
      </c>
      <c r="BT640" t="str">
        <f>HYPERLINK("https%3A%2F%2Fwww.webofscience.com%2Fwos%2Fwoscc%2Ffull-record%2FWOS:000289675700001","View Full Record in Web of Science")</f>
        <v>View Full Record in Web of Science</v>
      </c>
    </row>
    <row r="641" spans="1:72" x14ac:dyDescent="0.15">
      <c r="A641" t="s">
        <v>72</v>
      </c>
      <c r="B641" t="s">
        <v>11755</v>
      </c>
      <c r="C641" t="s">
        <v>74</v>
      </c>
      <c r="D641" t="s">
        <v>74</v>
      </c>
      <c r="E641" t="s">
        <v>74</v>
      </c>
      <c r="F641" t="s">
        <v>11756</v>
      </c>
      <c r="G641" t="s">
        <v>74</v>
      </c>
      <c r="H641" t="s">
        <v>74</v>
      </c>
      <c r="I641" t="s">
        <v>11757</v>
      </c>
      <c r="J641" t="s">
        <v>9324</v>
      </c>
      <c r="K641" t="s">
        <v>74</v>
      </c>
      <c r="L641" t="s">
        <v>74</v>
      </c>
      <c r="M641" t="s">
        <v>78</v>
      </c>
      <c r="N641" t="s">
        <v>79</v>
      </c>
      <c r="O641" t="s">
        <v>74</v>
      </c>
      <c r="P641" t="s">
        <v>74</v>
      </c>
      <c r="Q641" t="s">
        <v>74</v>
      </c>
      <c r="R641" t="s">
        <v>74</v>
      </c>
      <c r="S641" t="s">
        <v>74</v>
      </c>
      <c r="T641" t="s">
        <v>11758</v>
      </c>
      <c r="U641" t="s">
        <v>11759</v>
      </c>
      <c r="V641" t="s">
        <v>11760</v>
      </c>
      <c r="W641" t="s">
        <v>11761</v>
      </c>
      <c r="X641" t="s">
        <v>11762</v>
      </c>
      <c r="Y641" t="s">
        <v>11763</v>
      </c>
      <c r="Z641" t="s">
        <v>11764</v>
      </c>
      <c r="AA641" t="s">
        <v>11765</v>
      </c>
      <c r="AB641" t="s">
        <v>11766</v>
      </c>
      <c r="AC641" t="s">
        <v>11767</v>
      </c>
      <c r="AD641" t="s">
        <v>11768</v>
      </c>
      <c r="AE641" t="s">
        <v>11769</v>
      </c>
      <c r="AF641" t="s">
        <v>74</v>
      </c>
      <c r="AG641">
        <v>83</v>
      </c>
      <c r="AH641">
        <v>56</v>
      </c>
      <c r="AI641">
        <v>56</v>
      </c>
      <c r="AJ641">
        <v>0</v>
      </c>
      <c r="AK641">
        <v>6</v>
      </c>
      <c r="AL641" t="s">
        <v>926</v>
      </c>
      <c r="AM641" t="s">
        <v>508</v>
      </c>
      <c r="AN641" t="s">
        <v>927</v>
      </c>
      <c r="AO641" t="s">
        <v>9334</v>
      </c>
      <c r="AP641" t="s">
        <v>9335</v>
      </c>
      <c r="AQ641" t="s">
        <v>74</v>
      </c>
      <c r="AR641" t="s">
        <v>9336</v>
      </c>
      <c r="AS641" t="s">
        <v>9337</v>
      </c>
      <c r="AT641" t="s">
        <v>11750</v>
      </c>
      <c r="AU641">
        <v>2011</v>
      </c>
      <c r="AV641">
        <v>41</v>
      </c>
      <c r="AW641">
        <v>1</v>
      </c>
      <c r="AX641" t="s">
        <v>74</v>
      </c>
      <c r="AY641" t="s">
        <v>74</v>
      </c>
      <c r="AZ641" t="s">
        <v>74</v>
      </c>
      <c r="BA641" t="s">
        <v>74</v>
      </c>
      <c r="BB641">
        <v>69</v>
      </c>
      <c r="BC641">
        <v>88</v>
      </c>
      <c r="BD641" t="s">
        <v>74</v>
      </c>
      <c r="BE641" t="s">
        <v>11770</v>
      </c>
      <c r="BF641" t="str">
        <f>HYPERLINK("http://dx.doi.org/10.1016/j.jseaes.2010.12.006","http://dx.doi.org/10.1016/j.jseaes.2010.12.006")</f>
        <v>http://dx.doi.org/10.1016/j.jseaes.2010.12.006</v>
      </c>
      <c r="BG641" t="s">
        <v>74</v>
      </c>
      <c r="BH641" t="s">
        <v>74</v>
      </c>
      <c r="BI641">
        <v>20</v>
      </c>
      <c r="BJ641" t="s">
        <v>130</v>
      </c>
      <c r="BK641" t="s">
        <v>100</v>
      </c>
      <c r="BL641" t="s">
        <v>131</v>
      </c>
      <c r="BM641" t="s">
        <v>11771</v>
      </c>
      <c r="BN641" t="s">
        <v>74</v>
      </c>
      <c r="BO641" t="s">
        <v>74</v>
      </c>
      <c r="BP641" t="s">
        <v>74</v>
      </c>
      <c r="BQ641" t="s">
        <v>74</v>
      </c>
      <c r="BR641" t="s">
        <v>103</v>
      </c>
      <c r="BS641" t="s">
        <v>11772</v>
      </c>
      <c r="BT641" t="str">
        <f>HYPERLINK("https%3A%2F%2Fwww.webofscience.com%2Fwos%2Fwoscc%2Ffull-record%2FWOS:000289542200005","View Full Record in Web of Science")</f>
        <v>View Full Record in Web of Science</v>
      </c>
    </row>
    <row r="642" spans="1:72" x14ac:dyDescent="0.15">
      <c r="A642" t="s">
        <v>72</v>
      </c>
      <c r="B642" t="s">
        <v>11773</v>
      </c>
      <c r="C642" t="s">
        <v>74</v>
      </c>
      <c r="D642" t="s">
        <v>74</v>
      </c>
      <c r="E642" t="s">
        <v>74</v>
      </c>
      <c r="F642" t="s">
        <v>11774</v>
      </c>
      <c r="G642" t="s">
        <v>74</v>
      </c>
      <c r="H642" t="s">
        <v>74</v>
      </c>
      <c r="I642" t="s">
        <v>11775</v>
      </c>
      <c r="J642" t="s">
        <v>3023</v>
      </c>
      <c r="K642" t="s">
        <v>74</v>
      </c>
      <c r="L642" t="s">
        <v>74</v>
      </c>
      <c r="M642" t="s">
        <v>78</v>
      </c>
      <c r="N642" t="s">
        <v>79</v>
      </c>
      <c r="O642" t="s">
        <v>74</v>
      </c>
      <c r="P642" t="s">
        <v>74</v>
      </c>
      <c r="Q642" t="s">
        <v>74</v>
      </c>
      <c r="R642" t="s">
        <v>74</v>
      </c>
      <c r="S642" t="s">
        <v>74</v>
      </c>
      <c r="T642" t="s">
        <v>11776</v>
      </c>
      <c r="U642" t="s">
        <v>11777</v>
      </c>
      <c r="V642" t="s">
        <v>11778</v>
      </c>
      <c r="W642" t="s">
        <v>11779</v>
      </c>
      <c r="X642" t="s">
        <v>11780</v>
      </c>
      <c r="Y642" t="s">
        <v>11781</v>
      </c>
      <c r="Z642" t="s">
        <v>11782</v>
      </c>
      <c r="AA642" t="s">
        <v>11783</v>
      </c>
      <c r="AB642" t="s">
        <v>11784</v>
      </c>
      <c r="AC642" t="s">
        <v>11785</v>
      </c>
      <c r="AD642" t="s">
        <v>11786</v>
      </c>
      <c r="AE642" t="s">
        <v>11787</v>
      </c>
      <c r="AF642" t="s">
        <v>74</v>
      </c>
      <c r="AG642">
        <v>138</v>
      </c>
      <c r="AH642">
        <v>302</v>
      </c>
      <c r="AI642">
        <v>322</v>
      </c>
      <c r="AJ642">
        <v>14</v>
      </c>
      <c r="AK642">
        <v>569</v>
      </c>
      <c r="AL642" t="s">
        <v>308</v>
      </c>
      <c r="AM642" t="s">
        <v>309</v>
      </c>
      <c r="AN642" t="s">
        <v>310</v>
      </c>
      <c r="AO642" t="s">
        <v>3036</v>
      </c>
      <c r="AP642" t="s">
        <v>11788</v>
      </c>
      <c r="AQ642" t="s">
        <v>74</v>
      </c>
      <c r="AR642" t="s">
        <v>3037</v>
      </c>
      <c r="AS642" t="s">
        <v>3038</v>
      </c>
      <c r="AT642" t="s">
        <v>11750</v>
      </c>
      <c r="AU642">
        <v>2011</v>
      </c>
      <c r="AV642">
        <v>400</v>
      </c>
      <c r="AW642" t="s">
        <v>2154</v>
      </c>
      <c r="AX642" t="s">
        <v>74</v>
      </c>
      <c r="AY642" t="s">
        <v>74</v>
      </c>
      <c r="AZ642" t="s">
        <v>864</v>
      </c>
      <c r="BA642" t="s">
        <v>74</v>
      </c>
      <c r="BB642">
        <v>7</v>
      </c>
      <c r="BC642">
        <v>16</v>
      </c>
      <c r="BD642" t="s">
        <v>74</v>
      </c>
      <c r="BE642" t="s">
        <v>11789</v>
      </c>
      <c r="BF642" t="str">
        <f>HYPERLINK("http://dx.doi.org/10.1016/j.jembe.2011.02.021","http://dx.doi.org/10.1016/j.jembe.2011.02.021")</f>
        <v>http://dx.doi.org/10.1016/j.jembe.2011.02.021</v>
      </c>
      <c r="BG642" t="s">
        <v>74</v>
      </c>
      <c r="BH642" t="s">
        <v>74</v>
      </c>
      <c r="BI642">
        <v>10</v>
      </c>
      <c r="BJ642" t="s">
        <v>3041</v>
      </c>
      <c r="BK642" t="s">
        <v>100</v>
      </c>
      <c r="BL642" t="s">
        <v>3042</v>
      </c>
      <c r="BM642" t="s">
        <v>11790</v>
      </c>
      <c r="BN642" t="s">
        <v>74</v>
      </c>
      <c r="BO642" t="s">
        <v>702</v>
      </c>
      <c r="BP642" t="s">
        <v>74</v>
      </c>
      <c r="BQ642" t="s">
        <v>74</v>
      </c>
      <c r="BR642" t="s">
        <v>103</v>
      </c>
      <c r="BS642" t="s">
        <v>11791</v>
      </c>
      <c r="BT642" t="str">
        <f>HYPERLINK("https%3A%2F%2Fwww.webofscience.com%2Fwos%2Fwoscc%2Ffull-record%2FWOS:000291143900002","View Full Record in Web of Science")</f>
        <v>View Full Record in Web of Science</v>
      </c>
    </row>
    <row r="643" spans="1:72" x14ac:dyDescent="0.15">
      <c r="A643" t="s">
        <v>72</v>
      </c>
      <c r="B643" t="s">
        <v>11792</v>
      </c>
      <c r="C643" t="s">
        <v>74</v>
      </c>
      <c r="D643" t="s">
        <v>74</v>
      </c>
      <c r="E643" t="s">
        <v>74</v>
      </c>
      <c r="F643" t="s">
        <v>11793</v>
      </c>
      <c r="G643" t="s">
        <v>74</v>
      </c>
      <c r="H643" t="s">
        <v>74</v>
      </c>
      <c r="I643" t="s">
        <v>11794</v>
      </c>
      <c r="J643" t="s">
        <v>3023</v>
      </c>
      <c r="K643" t="s">
        <v>74</v>
      </c>
      <c r="L643" t="s">
        <v>74</v>
      </c>
      <c r="M643" t="s">
        <v>78</v>
      </c>
      <c r="N643" t="s">
        <v>79</v>
      </c>
      <c r="O643" t="s">
        <v>74</v>
      </c>
      <c r="P643" t="s">
        <v>74</v>
      </c>
      <c r="Q643" t="s">
        <v>74</v>
      </c>
      <c r="R643" t="s">
        <v>74</v>
      </c>
      <c r="S643" t="s">
        <v>74</v>
      </c>
      <c r="T643" t="s">
        <v>11795</v>
      </c>
      <c r="U643" t="s">
        <v>11796</v>
      </c>
      <c r="V643" t="s">
        <v>11797</v>
      </c>
      <c r="W643" t="s">
        <v>11798</v>
      </c>
      <c r="X643" t="s">
        <v>11799</v>
      </c>
      <c r="Y643" t="s">
        <v>11800</v>
      </c>
      <c r="Z643" t="s">
        <v>11801</v>
      </c>
      <c r="AA643" t="s">
        <v>11802</v>
      </c>
      <c r="AB643" t="s">
        <v>11803</v>
      </c>
      <c r="AC643" t="s">
        <v>74</v>
      </c>
      <c r="AD643" t="s">
        <v>74</v>
      </c>
      <c r="AE643" t="s">
        <v>74</v>
      </c>
      <c r="AF643" t="s">
        <v>74</v>
      </c>
      <c r="AG643">
        <v>107</v>
      </c>
      <c r="AH643">
        <v>484</v>
      </c>
      <c r="AI643">
        <v>511</v>
      </c>
      <c r="AJ643">
        <v>7</v>
      </c>
      <c r="AK643">
        <v>443</v>
      </c>
      <c r="AL643" t="s">
        <v>308</v>
      </c>
      <c r="AM643" t="s">
        <v>309</v>
      </c>
      <c r="AN643" t="s">
        <v>310</v>
      </c>
      <c r="AO643" t="s">
        <v>3036</v>
      </c>
      <c r="AP643" t="s">
        <v>11788</v>
      </c>
      <c r="AQ643" t="s">
        <v>74</v>
      </c>
      <c r="AR643" t="s">
        <v>3037</v>
      </c>
      <c r="AS643" t="s">
        <v>3038</v>
      </c>
      <c r="AT643" t="s">
        <v>11750</v>
      </c>
      <c r="AU643">
        <v>2011</v>
      </c>
      <c r="AV643">
        <v>400</v>
      </c>
      <c r="AW643" t="s">
        <v>2154</v>
      </c>
      <c r="AX643" t="s">
        <v>74</v>
      </c>
      <c r="AY643" t="s">
        <v>74</v>
      </c>
      <c r="AZ643" t="s">
        <v>864</v>
      </c>
      <c r="BA643" t="s">
        <v>74</v>
      </c>
      <c r="BB643">
        <v>17</v>
      </c>
      <c r="BC643">
        <v>32</v>
      </c>
      <c r="BD643" t="s">
        <v>74</v>
      </c>
      <c r="BE643" t="s">
        <v>11804</v>
      </c>
      <c r="BF643" t="str">
        <f>HYPERLINK("http://dx.doi.org/10.1016/j.jembe.2011.02.032","http://dx.doi.org/10.1016/j.jembe.2011.02.032")</f>
        <v>http://dx.doi.org/10.1016/j.jembe.2011.02.032</v>
      </c>
      <c r="BG643" t="s">
        <v>74</v>
      </c>
      <c r="BH643" t="s">
        <v>74</v>
      </c>
      <c r="BI643">
        <v>16</v>
      </c>
      <c r="BJ643" t="s">
        <v>3041</v>
      </c>
      <c r="BK643" t="s">
        <v>100</v>
      </c>
      <c r="BL643" t="s">
        <v>3042</v>
      </c>
      <c r="BM643" t="s">
        <v>11790</v>
      </c>
      <c r="BN643" t="s">
        <v>74</v>
      </c>
      <c r="BO643" t="s">
        <v>74</v>
      </c>
      <c r="BP643" t="s">
        <v>74</v>
      </c>
      <c r="BQ643" t="s">
        <v>74</v>
      </c>
      <c r="BR643" t="s">
        <v>103</v>
      </c>
      <c r="BS643" t="s">
        <v>11805</v>
      </c>
      <c r="BT643" t="str">
        <f>HYPERLINK("https%3A%2F%2Fwww.webofscience.com%2Fwos%2Fwoscc%2Ffull-record%2FWOS:000291143900003","View Full Record in Web of Science")</f>
        <v>View Full Record in Web of Science</v>
      </c>
    </row>
    <row r="644" spans="1:72" x14ac:dyDescent="0.15">
      <c r="A644" t="s">
        <v>72</v>
      </c>
      <c r="B644" t="s">
        <v>11806</v>
      </c>
      <c r="C644" t="s">
        <v>74</v>
      </c>
      <c r="D644" t="s">
        <v>74</v>
      </c>
      <c r="E644" t="s">
        <v>74</v>
      </c>
      <c r="F644" t="s">
        <v>11807</v>
      </c>
      <c r="G644" t="s">
        <v>74</v>
      </c>
      <c r="H644" t="s">
        <v>74</v>
      </c>
      <c r="I644" t="s">
        <v>11808</v>
      </c>
      <c r="J644" t="s">
        <v>323</v>
      </c>
      <c r="K644" t="s">
        <v>74</v>
      </c>
      <c r="L644" t="s">
        <v>74</v>
      </c>
      <c r="M644" t="s">
        <v>78</v>
      </c>
      <c r="N644" t="s">
        <v>79</v>
      </c>
      <c r="O644" t="s">
        <v>74</v>
      </c>
      <c r="P644" t="s">
        <v>74</v>
      </c>
      <c r="Q644" t="s">
        <v>74</v>
      </c>
      <c r="R644" t="s">
        <v>74</v>
      </c>
      <c r="S644" t="s">
        <v>74</v>
      </c>
      <c r="T644" t="s">
        <v>74</v>
      </c>
      <c r="U644" t="s">
        <v>11809</v>
      </c>
      <c r="V644" t="s">
        <v>11810</v>
      </c>
      <c r="W644" t="s">
        <v>11811</v>
      </c>
      <c r="X644" t="s">
        <v>11812</v>
      </c>
      <c r="Y644" t="s">
        <v>11813</v>
      </c>
      <c r="Z644" t="s">
        <v>11814</v>
      </c>
      <c r="AA644" t="s">
        <v>11815</v>
      </c>
      <c r="AB644" t="s">
        <v>11816</v>
      </c>
      <c r="AC644" t="s">
        <v>11817</v>
      </c>
      <c r="AD644" t="s">
        <v>11818</v>
      </c>
      <c r="AE644" t="s">
        <v>11819</v>
      </c>
      <c r="AF644" t="s">
        <v>74</v>
      </c>
      <c r="AG644">
        <v>115</v>
      </c>
      <c r="AH644">
        <v>67</v>
      </c>
      <c r="AI644">
        <v>69</v>
      </c>
      <c r="AJ644">
        <v>0</v>
      </c>
      <c r="AK644">
        <v>57</v>
      </c>
      <c r="AL644" t="s">
        <v>120</v>
      </c>
      <c r="AM644" t="s">
        <v>121</v>
      </c>
      <c r="AN644" t="s">
        <v>122</v>
      </c>
      <c r="AO644" t="s">
        <v>335</v>
      </c>
      <c r="AP644" t="s">
        <v>336</v>
      </c>
      <c r="AQ644" t="s">
        <v>74</v>
      </c>
      <c r="AR644" t="s">
        <v>337</v>
      </c>
      <c r="AS644" t="s">
        <v>338</v>
      </c>
      <c r="AT644" t="s">
        <v>11820</v>
      </c>
      <c r="AU644">
        <v>2011</v>
      </c>
      <c r="AV644">
        <v>116</v>
      </c>
      <c r="AW644" t="s">
        <v>74</v>
      </c>
      <c r="AX644" t="s">
        <v>74</v>
      </c>
      <c r="AY644" t="s">
        <v>74</v>
      </c>
      <c r="AZ644" t="s">
        <v>74</v>
      </c>
      <c r="BA644" t="s">
        <v>74</v>
      </c>
      <c r="BB644" t="s">
        <v>74</v>
      </c>
      <c r="BC644" t="s">
        <v>74</v>
      </c>
      <c r="BD644" t="s">
        <v>11821</v>
      </c>
      <c r="BE644" t="s">
        <v>11822</v>
      </c>
      <c r="BF644" t="str">
        <f>HYPERLINK("http://dx.doi.org/10.1029/2010JG001441","http://dx.doi.org/10.1029/2010JG001441")</f>
        <v>http://dx.doi.org/10.1029/2010JG001441</v>
      </c>
      <c r="BG644" t="s">
        <v>74</v>
      </c>
      <c r="BH644" t="s">
        <v>74</v>
      </c>
      <c r="BI644">
        <v>16</v>
      </c>
      <c r="BJ644" t="s">
        <v>342</v>
      </c>
      <c r="BK644" t="s">
        <v>100</v>
      </c>
      <c r="BL644" t="s">
        <v>343</v>
      </c>
      <c r="BM644" t="s">
        <v>11823</v>
      </c>
      <c r="BN644" t="s">
        <v>74</v>
      </c>
      <c r="BO644" t="s">
        <v>1025</v>
      </c>
      <c r="BP644" t="s">
        <v>74</v>
      </c>
      <c r="BQ644" t="s">
        <v>74</v>
      </c>
      <c r="BR644" t="s">
        <v>103</v>
      </c>
      <c r="BS644" t="s">
        <v>11824</v>
      </c>
      <c r="BT644" t="str">
        <f>HYPERLINK("https%3A%2F%2Fwww.webofscience.com%2Fwos%2Fwoscc%2Ffull-record%2FWOS:000290105000001","View Full Record in Web of Science")</f>
        <v>View Full Record in Web of Science</v>
      </c>
    </row>
    <row r="645" spans="1:72" x14ac:dyDescent="0.15">
      <c r="A645" t="s">
        <v>72</v>
      </c>
      <c r="B645" t="s">
        <v>11825</v>
      </c>
      <c r="C645" t="s">
        <v>74</v>
      </c>
      <c r="D645" t="s">
        <v>74</v>
      </c>
      <c r="E645" t="s">
        <v>74</v>
      </c>
      <c r="F645" t="s">
        <v>11826</v>
      </c>
      <c r="G645" t="s">
        <v>74</v>
      </c>
      <c r="H645" t="s">
        <v>74</v>
      </c>
      <c r="I645" t="s">
        <v>11827</v>
      </c>
      <c r="J645" t="s">
        <v>521</v>
      </c>
      <c r="K645" t="s">
        <v>74</v>
      </c>
      <c r="L645" t="s">
        <v>74</v>
      </c>
      <c r="M645" t="s">
        <v>78</v>
      </c>
      <c r="N645" t="s">
        <v>79</v>
      </c>
      <c r="O645" t="s">
        <v>74</v>
      </c>
      <c r="P645" t="s">
        <v>74</v>
      </c>
      <c r="Q645" t="s">
        <v>74</v>
      </c>
      <c r="R645" t="s">
        <v>74</v>
      </c>
      <c r="S645" t="s">
        <v>74</v>
      </c>
      <c r="T645" t="s">
        <v>74</v>
      </c>
      <c r="U645" t="s">
        <v>11828</v>
      </c>
      <c r="V645" t="s">
        <v>11829</v>
      </c>
      <c r="W645" t="s">
        <v>11830</v>
      </c>
      <c r="X645" t="s">
        <v>11831</v>
      </c>
      <c r="Y645" t="s">
        <v>11832</v>
      </c>
      <c r="Z645" t="s">
        <v>11833</v>
      </c>
      <c r="AA645" t="s">
        <v>11834</v>
      </c>
      <c r="AB645" t="s">
        <v>11835</v>
      </c>
      <c r="AC645" t="s">
        <v>74</v>
      </c>
      <c r="AD645" t="s">
        <v>74</v>
      </c>
      <c r="AE645" t="s">
        <v>74</v>
      </c>
      <c r="AF645" t="s">
        <v>74</v>
      </c>
      <c r="AG645">
        <v>90</v>
      </c>
      <c r="AH645">
        <v>39</v>
      </c>
      <c r="AI645">
        <v>42</v>
      </c>
      <c r="AJ645">
        <v>1</v>
      </c>
      <c r="AK645">
        <v>25</v>
      </c>
      <c r="AL645" t="s">
        <v>120</v>
      </c>
      <c r="AM645" t="s">
        <v>121</v>
      </c>
      <c r="AN645" t="s">
        <v>122</v>
      </c>
      <c r="AO645" t="s">
        <v>531</v>
      </c>
      <c r="AP645" t="s">
        <v>571</v>
      </c>
      <c r="AQ645" t="s">
        <v>74</v>
      </c>
      <c r="AR645" t="s">
        <v>521</v>
      </c>
      <c r="AS645" t="s">
        <v>532</v>
      </c>
      <c r="AT645" t="s">
        <v>11820</v>
      </c>
      <c r="AU645">
        <v>2011</v>
      </c>
      <c r="AV645">
        <v>26</v>
      </c>
      <c r="AW645" t="s">
        <v>74</v>
      </c>
      <c r="AX645" t="s">
        <v>74</v>
      </c>
      <c r="AY645" t="s">
        <v>74</v>
      </c>
      <c r="AZ645" t="s">
        <v>74</v>
      </c>
      <c r="BA645" t="s">
        <v>74</v>
      </c>
      <c r="BB645" t="s">
        <v>74</v>
      </c>
      <c r="BC645" t="s">
        <v>74</v>
      </c>
      <c r="BD645" t="s">
        <v>11836</v>
      </c>
      <c r="BE645" t="s">
        <v>11837</v>
      </c>
      <c r="BF645" t="str">
        <f>HYPERLINK("http://dx.doi.org/10.1029/2010PA002059","http://dx.doi.org/10.1029/2010PA002059")</f>
        <v>http://dx.doi.org/10.1029/2010PA002059</v>
      </c>
      <c r="BG645" t="s">
        <v>74</v>
      </c>
      <c r="BH645" t="s">
        <v>74</v>
      </c>
      <c r="BI645">
        <v>15</v>
      </c>
      <c r="BJ645" t="s">
        <v>535</v>
      </c>
      <c r="BK645" t="s">
        <v>100</v>
      </c>
      <c r="BL645" t="s">
        <v>536</v>
      </c>
      <c r="BM645" t="s">
        <v>11838</v>
      </c>
      <c r="BN645" t="s">
        <v>74</v>
      </c>
      <c r="BO645" t="s">
        <v>74</v>
      </c>
      <c r="BP645" t="s">
        <v>74</v>
      </c>
      <c r="BQ645" t="s">
        <v>74</v>
      </c>
      <c r="BR645" t="s">
        <v>103</v>
      </c>
      <c r="BS645" t="s">
        <v>11839</v>
      </c>
      <c r="BT645" t="str">
        <f>HYPERLINK("https%3A%2F%2Fwww.webofscience.com%2Fwos%2Fwoscc%2Ffull-record%2FWOS:000290110000001","View Full Record in Web of Science")</f>
        <v>View Full Record in Web of Science</v>
      </c>
    </row>
    <row r="646" spans="1:72" x14ac:dyDescent="0.15">
      <c r="A646" t="s">
        <v>72</v>
      </c>
      <c r="B646" t="s">
        <v>11840</v>
      </c>
      <c r="C646" t="s">
        <v>74</v>
      </c>
      <c r="D646" t="s">
        <v>74</v>
      </c>
      <c r="E646" t="s">
        <v>74</v>
      </c>
      <c r="F646" t="s">
        <v>11841</v>
      </c>
      <c r="G646" t="s">
        <v>74</v>
      </c>
      <c r="H646" t="s">
        <v>74</v>
      </c>
      <c r="I646" t="s">
        <v>11842</v>
      </c>
      <c r="J646" t="s">
        <v>373</v>
      </c>
      <c r="K646" t="s">
        <v>74</v>
      </c>
      <c r="L646" t="s">
        <v>74</v>
      </c>
      <c r="M646" t="s">
        <v>78</v>
      </c>
      <c r="N646" t="s">
        <v>79</v>
      </c>
      <c r="O646" t="s">
        <v>74</v>
      </c>
      <c r="P646" t="s">
        <v>74</v>
      </c>
      <c r="Q646" t="s">
        <v>74</v>
      </c>
      <c r="R646" t="s">
        <v>74</v>
      </c>
      <c r="S646" t="s">
        <v>74</v>
      </c>
      <c r="T646" t="s">
        <v>74</v>
      </c>
      <c r="U646" t="s">
        <v>11843</v>
      </c>
      <c r="V646" t="s">
        <v>11844</v>
      </c>
      <c r="W646" t="s">
        <v>11845</v>
      </c>
      <c r="X646" t="s">
        <v>11846</v>
      </c>
      <c r="Y646" t="s">
        <v>11847</v>
      </c>
      <c r="Z646" t="s">
        <v>11848</v>
      </c>
      <c r="AA646" t="s">
        <v>11849</v>
      </c>
      <c r="AB646" t="s">
        <v>11850</v>
      </c>
      <c r="AC646" t="s">
        <v>11851</v>
      </c>
      <c r="AD646" t="s">
        <v>11852</v>
      </c>
      <c r="AE646" t="s">
        <v>11853</v>
      </c>
      <c r="AF646" t="s">
        <v>74</v>
      </c>
      <c r="AG646">
        <v>53</v>
      </c>
      <c r="AH646">
        <v>106</v>
      </c>
      <c r="AI646">
        <v>112</v>
      </c>
      <c r="AJ646">
        <v>1</v>
      </c>
      <c r="AK646">
        <v>7</v>
      </c>
      <c r="AL646" t="s">
        <v>120</v>
      </c>
      <c r="AM646" t="s">
        <v>121</v>
      </c>
      <c r="AN646" t="s">
        <v>122</v>
      </c>
      <c r="AO646" t="s">
        <v>385</v>
      </c>
      <c r="AP646" t="s">
        <v>386</v>
      </c>
      <c r="AQ646" t="s">
        <v>74</v>
      </c>
      <c r="AR646" t="s">
        <v>387</v>
      </c>
      <c r="AS646" t="s">
        <v>388</v>
      </c>
      <c r="AT646" t="s">
        <v>11820</v>
      </c>
      <c r="AU646">
        <v>2011</v>
      </c>
      <c r="AV646">
        <v>116</v>
      </c>
      <c r="AW646" t="s">
        <v>74</v>
      </c>
      <c r="AX646" t="s">
        <v>74</v>
      </c>
      <c r="AY646" t="s">
        <v>74</v>
      </c>
      <c r="AZ646" t="s">
        <v>74</v>
      </c>
      <c r="BA646" t="s">
        <v>74</v>
      </c>
      <c r="BB646" t="s">
        <v>74</v>
      </c>
      <c r="BC646" t="s">
        <v>74</v>
      </c>
      <c r="BD646" t="s">
        <v>11854</v>
      </c>
      <c r="BE646" t="s">
        <v>11855</v>
      </c>
      <c r="BF646" t="str">
        <f>HYPERLINK("http://dx.doi.org/10.1029/2010JA016245","http://dx.doi.org/10.1029/2010JA016245")</f>
        <v>http://dx.doi.org/10.1029/2010JA016245</v>
      </c>
      <c r="BG646" t="s">
        <v>74</v>
      </c>
      <c r="BH646" t="s">
        <v>74</v>
      </c>
      <c r="BI646">
        <v>8</v>
      </c>
      <c r="BJ646" t="s">
        <v>391</v>
      </c>
      <c r="BK646" t="s">
        <v>100</v>
      </c>
      <c r="BL646" t="s">
        <v>391</v>
      </c>
      <c r="BM646" t="s">
        <v>11856</v>
      </c>
      <c r="BN646" t="s">
        <v>74</v>
      </c>
      <c r="BO646" t="s">
        <v>393</v>
      </c>
      <c r="BP646" t="s">
        <v>74</v>
      </c>
      <c r="BQ646" t="s">
        <v>74</v>
      </c>
      <c r="BR646" t="s">
        <v>103</v>
      </c>
      <c r="BS646" t="s">
        <v>11857</v>
      </c>
      <c r="BT646" t="str">
        <f>HYPERLINK("https%3A%2F%2Fwww.webofscience.com%2Fwos%2Fwoscc%2Ffull-record%2FWOS:000290104400002","View Full Record in Web of Science")</f>
        <v>View Full Record in Web of Science</v>
      </c>
    </row>
    <row r="647" spans="1:72" x14ac:dyDescent="0.15">
      <c r="A647" t="s">
        <v>72</v>
      </c>
      <c r="B647" t="s">
        <v>11858</v>
      </c>
      <c r="C647" t="s">
        <v>74</v>
      </c>
      <c r="D647" t="s">
        <v>74</v>
      </c>
      <c r="E647" t="s">
        <v>74</v>
      </c>
      <c r="F647" t="s">
        <v>11859</v>
      </c>
      <c r="G647" t="s">
        <v>74</v>
      </c>
      <c r="H647" t="s">
        <v>74</v>
      </c>
      <c r="I647" t="s">
        <v>11860</v>
      </c>
      <c r="J647" t="s">
        <v>521</v>
      </c>
      <c r="K647" t="s">
        <v>74</v>
      </c>
      <c r="L647" t="s">
        <v>74</v>
      </c>
      <c r="M647" t="s">
        <v>78</v>
      </c>
      <c r="N647" t="s">
        <v>79</v>
      </c>
      <c r="O647" t="s">
        <v>74</v>
      </c>
      <c r="P647" t="s">
        <v>74</v>
      </c>
      <c r="Q647" t="s">
        <v>74</v>
      </c>
      <c r="R647" t="s">
        <v>74</v>
      </c>
      <c r="S647" t="s">
        <v>74</v>
      </c>
      <c r="T647" t="s">
        <v>74</v>
      </c>
      <c r="U647" t="s">
        <v>11861</v>
      </c>
      <c r="V647" t="s">
        <v>11862</v>
      </c>
      <c r="W647" t="s">
        <v>11863</v>
      </c>
      <c r="X647" t="s">
        <v>11864</v>
      </c>
      <c r="Y647" t="s">
        <v>11865</v>
      </c>
      <c r="Z647" t="s">
        <v>11866</v>
      </c>
      <c r="AA647" t="s">
        <v>11867</v>
      </c>
      <c r="AB647" t="s">
        <v>11868</v>
      </c>
      <c r="AC647" t="s">
        <v>11869</v>
      </c>
      <c r="AD647" t="s">
        <v>11870</v>
      </c>
      <c r="AE647" t="s">
        <v>11871</v>
      </c>
      <c r="AF647" t="s">
        <v>74</v>
      </c>
      <c r="AG647">
        <v>123</v>
      </c>
      <c r="AH647">
        <v>31</v>
      </c>
      <c r="AI647">
        <v>33</v>
      </c>
      <c r="AJ647">
        <v>0</v>
      </c>
      <c r="AK647">
        <v>22</v>
      </c>
      <c r="AL647" t="s">
        <v>120</v>
      </c>
      <c r="AM647" t="s">
        <v>121</v>
      </c>
      <c r="AN647" t="s">
        <v>122</v>
      </c>
      <c r="AO647" t="s">
        <v>531</v>
      </c>
      <c r="AP647" t="s">
        <v>571</v>
      </c>
      <c r="AQ647" t="s">
        <v>74</v>
      </c>
      <c r="AR647" t="s">
        <v>521</v>
      </c>
      <c r="AS647" t="s">
        <v>532</v>
      </c>
      <c r="AT647" t="s">
        <v>11872</v>
      </c>
      <c r="AU647">
        <v>2011</v>
      </c>
      <c r="AV647">
        <v>26</v>
      </c>
      <c r="AW647" t="s">
        <v>74</v>
      </c>
      <c r="AX647" t="s">
        <v>74</v>
      </c>
      <c r="AY647" t="s">
        <v>74</v>
      </c>
      <c r="AZ647" t="s">
        <v>74</v>
      </c>
      <c r="BA647" t="s">
        <v>74</v>
      </c>
      <c r="BB647" t="s">
        <v>74</v>
      </c>
      <c r="BC647" t="s">
        <v>74</v>
      </c>
      <c r="BD647" t="s">
        <v>11873</v>
      </c>
      <c r="BE647" t="s">
        <v>11874</v>
      </c>
      <c r="BF647" t="str">
        <f>HYPERLINK("http://dx.doi.org/10.1029/2010PA002037","http://dx.doi.org/10.1029/2010PA002037")</f>
        <v>http://dx.doi.org/10.1029/2010PA002037</v>
      </c>
      <c r="BG647" t="s">
        <v>74</v>
      </c>
      <c r="BH647" t="s">
        <v>74</v>
      </c>
      <c r="BI647">
        <v>17</v>
      </c>
      <c r="BJ647" t="s">
        <v>535</v>
      </c>
      <c r="BK647" t="s">
        <v>100</v>
      </c>
      <c r="BL647" t="s">
        <v>536</v>
      </c>
      <c r="BM647" t="s">
        <v>11875</v>
      </c>
      <c r="BN647" t="s">
        <v>74</v>
      </c>
      <c r="BO647" t="s">
        <v>74</v>
      </c>
      <c r="BP647" t="s">
        <v>74</v>
      </c>
      <c r="BQ647" t="s">
        <v>74</v>
      </c>
      <c r="BR647" t="s">
        <v>103</v>
      </c>
      <c r="BS647" t="s">
        <v>11876</v>
      </c>
      <c r="BT647" t="str">
        <f>HYPERLINK("https%3A%2F%2Fwww.webofscience.com%2Fwos%2Fwoscc%2Ffull-record%2FWOS:000290109800001","View Full Record in Web of Science")</f>
        <v>View Full Record in Web of Science</v>
      </c>
    </row>
    <row r="648" spans="1:72" x14ac:dyDescent="0.15">
      <c r="A648" t="s">
        <v>72</v>
      </c>
      <c r="B648" t="s">
        <v>11877</v>
      </c>
      <c r="C648" t="s">
        <v>74</v>
      </c>
      <c r="D648" t="s">
        <v>74</v>
      </c>
      <c r="E648" t="s">
        <v>74</v>
      </c>
      <c r="F648" t="s">
        <v>11878</v>
      </c>
      <c r="G648" t="s">
        <v>74</v>
      </c>
      <c r="H648" t="s">
        <v>74</v>
      </c>
      <c r="I648" t="s">
        <v>11879</v>
      </c>
      <c r="J648" t="s">
        <v>157</v>
      </c>
      <c r="K648" t="s">
        <v>74</v>
      </c>
      <c r="L648" t="s">
        <v>74</v>
      </c>
      <c r="M648" t="s">
        <v>78</v>
      </c>
      <c r="N648" t="s">
        <v>79</v>
      </c>
      <c r="O648" t="s">
        <v>74</v>
      </c>
      <c r="P648" t="s">
        <v>74</v>
      </c>
      <c r="Q648" t="s">
        <v>74</v>
      </c>
      <c r="R648" t="s">
        <v>74</v>
      </c>
      <c r="S648" t="s">
        <v>74</v>
      </c>
      <c r="T648" t="s">
        <v>74</v>
      </c>
      <c r="U648" t="s">
        <v>11880</v>
      </c>
      <c r="V648" t="s">
        <v>11881</v>
      </c>
      <c r="W648" t="s">
        <v>11882</v>
      </c>
      <c r="X648" t="s">
        <v>11883</v>
      </c>
      <c r="Y648" t="s">
        <v>11884</v>
      </c>
      <c r="Z648" t="s">
        <v>11885</v>
      </c>
      <c r="AA648" t="s">
        <v>11886</v>
      </c>
      <c r="AB648" t="s">
        <v>11887</v>
      </c>
      <c r="AC648" t="s">
        <v>11888</v>
      </c>
      <c r="AD648" t="s">
        <v>11889</v>
      </c>
      <c r="AE648" t="s">
        <v>11890</v>
      </c>
      <c r="AF648" t="s">
        <v>74</v>
      </c>
      <c r="AG648">
        <v>36</v>
      </c>
      <c r="AH648">
        <v>123</v>
      </c>
      <c r="AI648">
        <v>151</v>
      </c>
      <c r="AJ648">
        <v>1</v>
      </c>
      <c r="AK648">
        <v>58</v>
      </c>
      <c r="AL648" t="s">
        <v>169</v>
      </c>
      <c r="AM648" t="s">
        <v>170</v>
      </c>
      <c r="AN648" t="s">
        <v>171</v>
      </c>
      <c r="AO648" t="s">
        <v>172</v>
      </c>
      <c r="AP648" t="s">
        <v>74</v>
      </c>
      <c r="AQ648" t="s">
        <v>74</v>
      </c>
      <c r="AR648" t="s">
        <v>157</v>
      </c>
      <c r="AS648" t="s">
        <v>173</v>
      </c>
      <c r="AT648" t="s">
        <v>11872</v>
      </c>
      <c r="AU648">
        <v>2011</v>
      </c>
      <c r="AV648">
        <v>6</v>
      </c>
      <c r="AW648">
        <v>4</v>
      </c>
      <c r="AX648" t="s">
        <v>74</v>
      </c>
      <c r="AY648" t="s">
        <v>74</v>
      </c>
      <c r="AZ648" t="s">
        <v>74</v>
      </c>
      <c r="BA648" t="s">
        <v>74</v>
      </c>
      <c r="BB648" t="s">
        <v>74</v>
      </c>
      <c r="BC648" t="s">
        <v>74</v>
      </c>
      <c r="BD648" t="s">
        <v>11891</v>
      </c>
      <c r="BE648" t="s">
        <v>11892</v>
      </c>
      <c r="BF648" t="str">
        <f>HYPERLINK("http://dx.doi.org/10.1371/journal.pone.0019173","http://dx.doi.org/10.1371/journal.pone.0019173")</f>
        <v>http://dx.doi.org/10.1371/journal.pone.0019173</v>
      </c>
      <c r="BG648" t="s">
        <v>74</v>
      </c>
      <c r="BH648" t="s">
        <v>74</v>
      </c>
      <c r="BI648">
        <v>5</v>
      </c>
      <c r="BJ648" t="s">
        <v>177</v>
      </c>
      <c r="BK648" t="s">
        <v>100</v>
      </c>
      <c r="BL648" t="s">
        <v>178</v>
      </c>
      <c r="BM648" t="s">
        <v>11893</v>
      </c>
      <c r="BN648">
        <v>21556153</v>
      </c>
      <c r="BO648" t="s">
        <v>198</v>
      </c>
      <c r="BP648" t="s">
        <v>74</v>
      </c>
      <c r="BQ648" t="s">
        <v>74</v>
      </c>
      <c r="BR648" t="s">
        <v>103</v>
      </c>
      <c r="BS648" t="s">
        <v>11894</v>
      </c>
      <c r="BT648" t="str">
        <f>HYPERLINK("https%3A%2F%2Fwww.webofscience.com%2Fwos%2Fwoscc%2Ffull-record%2FWOS:000290019400036","View Full Record in Web of Science")</f>
        <v>View Full Record in Web of Science</v>
      </c>
    </row>
    <row r="649" spans="1:72" x14ac:dyDescent="0.15">
      <c r="A649" t="s">
        <v>72</v>
      </c>
      <c r="B649" t="s">
        <v>11895</v>
      </c>
      <c r="C649" t="s">
        <v>74</v>
      </c>
      <c r="D649" t="s">
        <v>74</v>
      </c>
      <c r="E649" t="s">
        <v>74</v>
      </c>
      <c r="F649" t="s">
        <v>11896</v>
      </c>
      <c r="G649" t="s">
        <v>74</v>
      </c>
      <c r="H649" t="s">
        <v>74</v>
      </c>
      <c r="I649" t="s">
        <v>11897</v>
      </c>
      <c r="J649" t="s">
        <v>3214</v>
      </c>
      <c r="K649" t="s">
        <v>74</v>
      </c>
      <c r="L649" t="s">
        <v>74</v>
      </c>
      <c r="M649" t="s">
        <v>78</v>
      </c>
      <c r="N649" t="s">
        <v>79</v>
      </c>
      <c r="O649" t="s">
        <v>74</v>
      </c>
      <c r="P649" t="s">
        <v>74</v>
      </c>
      <c r="Q649" t="s">
        <v>74</v>
      </c>
      <c r="R649" t="s">
        <v>74</v>
      </c>
      <c r="S649" t="s">
        <v>74</v>
      </c>
      <c r="T649" t="s">
        <v>11898</v>
      </c>
      <c r="U649" t="s">
        <v>11899</v>
      </c>
      <c r="V649" t="s">
        <v>11900</v>
      </c>
      <c r="W649" t="s">
        <v>74</v>
      </c>
      <c r="X649" t="s">
        <v>74</v>
      </c>
      <c r="Y649" t="s">
        <v>11901</v>
      </c>
      <c r="Z649" t="s">
        <v>11902</v>
      </c>
      <c r="AA649" t="s">
        <v>74</v>
      </c>
      <c r="AB649" t="s">
        <v>74</v>
      </c>
      <c r="AC649" t="s">
        <v>11903</v>
      </c>
      <c r="AD649" t="s">
        <v>11904</v>
      </c>
      <c r="AE649" t="s">
        <v>11905</v>
      </c>
      <c r="AF649" t="s">
        <v>74</v>
      </c>
      <c r="AG649">
        <v>28</v>
      </c>
      <c r="AH649">
        <v>1</v>
      </c>
      <c r="AI649">
        <v>1</v>
      </c>
      <c r="AJ649">
        <v>0</v>
      </c>
      <c r="AK649">
        <v>1</v>
      </c>
      <c r="AL649" t="s">
        <v>3225</v>
      </c>
      <c r="AM649" t="s">
        <v>3226</v>
      </c>
      <c r="AN649" t="s">
        <v>3227</v>
      </c>
      <c r="AO649" t="s">
        <v>3228</v>
      </c>
      <c r="AP649" t="s">
        <v>3229</v>
      </c>
      <c r="AQ649" t="s">
        <v>74</v>
      </c>
      <c r="AR649" t="s">
        <v>3214</v>
      </c>
      <c r="AS649" t="s">
        <v>3230</v>
      </c>
      <c r="AT649" t="s">
        <v>11872</v>
      </c>
      <c r="AU649">
        <v>2011</v>
      </c>
      <c r="AV649" t="s">
        <v>74</v>
      </c>
      <c r="AW649">
        <v>2833</v>
      </c>
      <c r="AX649" t="s">
        <v>74</v>
      </c>
      <c r="AY649" t="s">
        <v>74</v>
      </c>
      <c r="AZ649" t="s">
        <v>74</v>
      </c>
      <c r="BA649" t="s">
        <v>74</v>
      </c>
      <c r="BB649">
        <v>15</v>
      </c>
      <c r="BC649">
        <v>28</v>
      </c>
      <c r="BD649" t="s">
        <v>74</v>
      </c>
      <c r="BE649" t="s">
        <v>11906</v>
      </c>
      <c r="BF649" t="str">
        <f>HYPERLINK("http://dx.doi.org/10.11646/zootaxa.2833.1.2","http://dx.doi.org/10.11646/zootaxa.2833.1.2")</f>
        <v>http://dx.doi.org/10.11646/zootaxa.2833.1.2</v>
      </c>
      <c r="BG649" t="s">
        <v>74</v>
      </c>
      <c r="BH649" t="s">
        <v>74</v>
      </c>
      <c r="BI649">
        <v>14</v>
      </c>
      <c r="BJ649" t="s">
        <v>3232</v>
      </c>
      <c r="BK649" t="s">
        <v>100</v>
      </c>
      <c r="BL649" t="s">
        <v>3232</v>
      </c>
      <c r="BM649" t="s">
        <v>11907</v>
      </c>
      <c r="BN649" t="s">
        <v>74</v>
      </c>
      <c r="BO649" t="s">
        <v>74</v>
      </c>
      <c r="BP649" t="s">
        <v>74</v>
      </c>
      <c r="BQ649" t="s">
        <v>74</v>
      </c>
      <c r="BR649" t="s">
        <v>103</v>
      </c>
      <c r="BS649" t="s">
        <v>11908</v>
      </c>
      <c r="BT649" t="str">
        <f>HYPERLINK("https%3A%2F%2Fwww.webofscience.com%2Fwos%2Fwoscc%2Ffull-record%2FWOS:000289883600002","View Full Record in Web of Science")</f>
        <v>View Full Record in Web of Science</v>
      </c>
    </row>
    <row r="650" spans="1:72" x14ac:dyDescent="0.15">
      <c r="A650" t="s">
        <v>72</v>
      </c>
      <c r="B650" t="s">
        <v>11909</v>
      </c>
      <c r="C650" t="s">
        <v>74</v>
      </c>
      <c r="D650" t="s">
        <v>74</v>
      </c>
      <c r="E650" t="s">
        <v>74</v>
      </c>
      <c r="F650" t="s">
        <v>11910</v>
      </c>
      <c r="G650" t="s">
        <v>74</v>
      </c>
      <c r="H650" t="s">
        <v>74</v>
      </c>
      <c r="I650" t="s">
        <v>11911</v>
      </c>
      <c r="J650" t="s">
        <v>3214</v>
      </c>
      <c r="K650" t="s">
        <v>74</v>
      </c>
      <c r="L650" t="s">
        <v>74</v>
      </c>
      <c r="M650" t="s">
        <v>78</v>
      </c>
      <c r="N650" t="s">
        <v>79</v>
      </c>
      <c r="O650" t="s">
        <v>74</v>
      </c>
      <c r="P650" t="s">
        <v>74</v>
      </c>
      <c r="Q650" t="s">
        <v>74</v>
      </c>
      <c r="R650" t="s">
        <v>74</v>
      </c>
      <c r="S650" t="s">
        <v>74</v>
      </c>
      <c r="T650" t="s">
        <v>11912</v>
      </c>
      <c r="U650" t="s">
        <v>11913</v>
      </c>
      <c r="V650" t="s">
        <v>11914</v>
      </c>
      <c r="W650" t="s">
        <v>11915</v>
      </c>
      <c r="X650" t="s">
        <v>11916</v>
      </c>
      <c r="Y650" t="s">
        <v>11917</v>
      </c>
      <c r="Z650" t="s">
        <v>11918</v>
      </c>
      <c r="AA650" t="s">
        <v>74</v>
      </c>
      <c r="AB650" t="s">
        <v>74</v>
      </c>
      <c r="AC650" t="s">
        <v>11919</v>
      </c>
      <c r="AD650" t="s">
        <v>11920</v>
      </c>
      <c r="AE650" t="s">
        <v>11921</v>
      </c>
      <c r="AF650" t="s">
        <v>74</v>
      </c>
      <c r="AG650">
        <v>11</v>
      </c>
      <c r="AH650">
        <v>1</v>
      </c>
      <c r="AI650">
        <v>1</v>
      </c>
      <c r="AJ650">
        <v>0</v>
      </c>
      <c r="AK650">
        <v>3</v>
      </c>
      <c r="AL650" t="s">
        <v>3225</v>
      </c>
      <c r="AM650" t="s">
        <v>3226</v>
      </c>
      <c r="AN650" t="s">
        <v>3227</v>
      </c>
      <c r="AO650" t="s">
        <v>3228</v>
      </c>
      <c r="AP650" t="s">
        <v>3229</v>
      </c>
      <c r="AQ650" t="s">
        <v>74</v>
      </c>
      <c r="AR650" t="s">
        <v>3214</v>
      </c>
      <c r="AS650" t="s">
        <v>3230</v>
      </c>
      <c r="AT650" t="s">
        <v>11872</v>
      </c>
      <c r="AU650">
        <v>2011</v>
      </c>
      <c r="AV650" t="s">
        <v>74</v>
      </c>
      <c r="AW650">
        <v>2833</v>
      </c>
      <c r="AX650" t="s">
        <v>74</v>
      </c>
      <c r="AY650" t="s">
        <v>74</v>
      </c>
      <c r="AZ650" t="s">
        <v>74</v>
      </c>
      <c r="BA650" t="s">
        <v>74</v>
      </c>
      <c r="BB650">
        <v>41</v>
      </c>
      <c r="BC650">
        <v>48</v>
      </c>
      <c r="BD650" t="s">
        <v>74</v>
      </c>
      <c r="BE650" t="s">
        <v>11922</v>
      </c>
      <c r="BF650" t="str">
        <f>HYPERLINK("http://dx.doi.org/10.5281/zenodo.201828","http://dx.doi.org/10.5281/zenodo.201828")</f>
        <v>http://dx.doi.org/10.5281/zenodo.201828</v>
      </c>
      <c r="BG650" t="s">
        <v>74</v>
      </c>
      <c r="BH650" t="s">
        <v>74</v>
      </c>
      <c r="BI650">
        <v>8</v>
      </c>
      <c r="BJ650" t="s">
        <v>3232</v>
      </c>
      <c r="BK650" t="s">
        <v>100</v>
      </c>
      <c r="BL650" t="s">
        <v>3232</v>
      </c>
      <c r="BM650" t="s">
        <v>11907</v>
      </c>
      <c r="BN650" t="s">
        <v>74</v>
      </c>
      <c r="BO650" t="s">
        <v>74</v>
      </c>
      <c r="BP650" t="s">
        <v>74</v>
      </c>
      <c r="BQ650" t="s">
        <v>74</v>
      </c>
      <c r="BR650" t="s">
        <v>103</v>
      </c>
      <c r="BS650" t="s">
        <v>11923</v>
      </c>
      <c r="BT650" t="str">
        <f>HYPERLINK("https%3A%2F%2Fwww.webofscience.com%2Fwos%2Fwoscc%2Ffull-record%2FWOS:000289883600004","View Full Record in Web of Science")</f>
        <v>View Full Record in Web of Science</v>
      </c>
    </row>
    <row r="651" spans="1:72" x14ac:dyDescent="0.15">
      <c r="A651" t="s">
        <v>72</v>
      </c>
      <c r="B651" t="s">
        <v>11924</v>
      </c>
      <c r="C651" t="s">
        <v>74</v>
      </c>
      <c r="D651" t="s">
        <v>74</v>
      </c>
      <c r="E651" t="s">
        <v>74</v>
      </c>
      <c r="F651" t="s">
        <v>11925</v>
      </c>
      <c r="G651" t="s">
        <v>74</v>
      </c>
      <c r="H651" t="s">
        <v>74</v>
      </c>
      <c r="I651" t="s">
        <v>11926</v>
      </c>
      <c r="J651" t="s">
        <v>108</v>
      </c>
      <c r="K651" t="s">
        <v>74</v>
      </c>
      <c r="L651" t="s">
        <v>74</v>
      </c>
      <c r="M651" t="s">
        <v>78</v>
      </c>
      <c r="N651" t="s">
        <v>79</v>
      </c>
      <c r="O651" t="s">
        <v>74</v>
      </c>
      <c r="P651" t="s">
        <v>74</v>
      </c>
      <c r="Q651" t="s">
        <v>74</v>
      </c>
      <c r="R651" t="s">
        <v>74</v>
      </c>
      <c r="S651" t="s">
        <v>74</v>
      </c>
      <c r="T651" t="s">
        <v>74</v>
      </c>
      <c r="U651" t="s">
        <v>11927</v>
      </c>
      <c r="V651" t="s">
        <v>11928</v>
      </c>
      <c r="W651" t="s">
        <v>11929</v>
      </c>
      <c r="X651" t="s">
        <v>11930</v>
      </c>
      <c r="Y651" t="s">
        <v>11931</v>
      </c>
      <c r="Z651" t="s">
        <v>74</v>
      </c>
      <c r="AA651" t="s">
        <v>11932</v>
      </c>
      <c r="AB651" t="s">
        <v>74</v>
      </c>
      <c r="AC651" t="s">
        <v>74</v>
      </c>
      <c r="AD651" t="s">
        <v>74</v>
      </c>
      <c r="AE651" t="s">
        <v>74</v>
      </c>
      <c r="AF651" t="s">
        <v>74</v>
      </c>
      <c r="AG651">
        <v>43</v>
      </c>
      <c r="AH651">
        <v>30</v>
      </c>
      <c r="AI651">
        <v>36</v>
      </c>
      <c r="AJ651">
        <v>3</v>
      </c>
      <c r="AK651">
        <v>73</v>
      </c>
      <c r="AL651" t="s">
        <v>120</v>
      </c>
      <c r="AM651" t="s">
        <v>121</v>
      </c>
      <c r="AN651" t="s">
        <v>122</v>
      </c>
      <c r="AO651" t="s">
        <v>123</v>
      </c>
      <c r="AP651" t="s">
        <v>74</v>
      </c>
      <c r="AQ651" t="s">
        <v>74</v>
      </c>
      <c r="AR651" t="s">
        <v>125</v>
      </c>
      <c r="AS651" t="s">
        <v>126</v>
      </c>
      <c r="AT651" t="s">
        <v>11933</v>
      </c>
      <c r="AU651">
        <v>2011</v>
      </c>
      <c r="AV651">
        <v>38</v>
      </c>
      <c r="AW651" t="s">
        <v>74</v>
      </c>
      <c r="AX651" t="s">
        <v>74</v>
      </c>
      <c r="AY651" t="s">
        <v>74</v>
      </c>
      <c r="AZ651" t="s">
        <v>74</v>
      </c>
      <c r="BA651" t="s">
        <v>74</v>
      </c>
      <c r="BB651" t="s">
        <v>74</v>
      </c>
      <c r="BC651" t="s">
        <v>74</v>
      </c>
      <c r="BD651" t="s">
        <v>11934</v>
      </c>
      <c r="BE651" t="s">
        <v>11935</v>
      </c>
      <c r="BF651" t="str">
        <f>HYPERLINK("http://dx.doi.org/10.1029/2011GL047116","http://dx.doi.org/10.1029/2011GL047116")</f>
        <v>http://dx.doi.org/10.1029/2011GL047116</v>
      </c>
      <c r="BG651" t="s">
        <v>74</v>
      </c>
      <c r="BH651" t="s">
        <v>74</v>
      </c>
      <c r="BI651">
        <v>5</v>
      </c>
      <c r="BJ651" t="s">
        <v>130</v>
      </c>
      <c r="BK651" t="s">
        <v>100</v>
      </c>
      <c r="BL651" t="s">
        <v>131</v>
      </c>
      <c r="BM651" t="s">
        <v>11936</v>
      </c>
      <c r="BN651" t="s">
        <v>74</v>
      </c>
      <c r="BO651" t="s">
        <v>368</v>
      </c>
      <c r="BP651" t="s">
        <v>74</v>
      </c>
      <c r="BQ651" t="s">
        <v>74</v>
      </c>
      <c r="BR651" t="s">
        <v>103</v>
      </c>
      <c r="BS651" t="s">
        <v>11937</v>
      </c>
      <c r="BT651" t="str">
        <f>HYPERLINK("https%3A%2F%2Fwww.webofscience.com%2Fwos%2Fwoscc%2Ffull-record%2FWOS:000290108200006","View Full Record in Web of Science")</f>
        <v>View Full Record in Web of Science</v>
      </c>
    </row>
    <row r="652" spans="1:72" x14ac:dyDescent="0.15">
      <c r="A652" t="s">
        <v>72</v>
      </c>
      <c r="B652" t="s">
        <v>11938</v>
      </c>
      <c r="C652" t="s">
        <v>74</v>
      </c>
      <c r="D652" t="s">
        <v>74</v>
      </c>
      <c r="E652" t="s">
        <v>74</v>
      </c>
      <c r="F652" t="s">
        <v>11939</v>
      </c>
      <c r="G652" t="s">
        <v>74</v>
      </c>
      <c r="H652" t="s">
        <v>74</v>
      </c>
      <c r="I652" t="s">
        <v>11940</v>
      </c>
      <c r="J652" t="s">
        <v>157</v>
      </c>
      <c r="K652" t="s">
        <v>74</v>
      </c>
      <c r="L652" t="s">
        <v>74</v>
      </c>
      <c r="M652" t="s">
        <v>78</v>
      </c>
      <c r="N652" t="s">
        <v>79</v>
      </c>
      <c r="O652" t="s">
        <v>74</v>
      </c>
      <c r="P652" t="s">
        <v>74</v>
      </c>
      <c r="Q652" t="s">
        <v>74</v>
      </c>
      <c r="R652" t="s">
        <v>74</v>
      </c>
      <c r="S652" t="s">
        <v>74</v>
      </c>
      <c r="T652" t="s">
        <v>74</v>
      </c>
      <c r="U652" t="s">
        <v>11941</v>
      </c>
      <c r="V652" t="s">
        <v>11942</v>
      </c>
      <c r="W652" t="s">
        <v>11943</v>
      </c>
      <c r="X652" t="s">
        <v>11944</v>
      </c>
      <c r="Y652" t="s">
        <v>11945</v>
      </c>
      <c r="Z652" t="s">
        <v>11946</v>
      </c>
      <c r="AA652" t="s">
        <v>11947</v>
      </c>
      <c r="AB652" t="s">
        <v>11948</v>
      </c>
      <c r="AC652" t="s">
        <v>11949</v>
      </c>
      <c r="AD652" t="s">
        <v>11950</v>
      </c>
      <c r="AE652" t="s">
        <v>11951</v>
      </c>
      <c r="AF652" t="s">
        <v>74</v>
      </c>
      <c r="AG652">
        <v>34</v>
      </c>
      <c r="AH652">
        <v>105</v>
      </c>
      <c r="AI652">
        <v>119</v>
      </c>
      <c r="AJ652">
        <v>0</v>
      </c>
      <c r="AK652">
        <v>73</v>
      </c>
      <c r="AL652" t="s">
        <v>169</v>
      </c>
      <c r="AM652" t="s">
        <v>170</v>
      </c>
      <c r="AN652" t="s">
        <v>171</v>
      </c>
      <c r="AO652" t="s">
        <v>172</v>
      </c>
      <c r="AP652" t="s">
        <v>74</v>
      </c>
      <c r="AQ652" t="s">
        <v>74</v>
      </c>
      <c r="AR652" t="s">
        <v>157</v>
      </c>
      <c r="AS652" t="s">
        <v>173</v>
      </c>
      <c r="AT652" t="s">
        <v>11933</v>
      </c>
      <c r="AU652">
        <v>2011</v>
      </c>
      <c r="AV652">
        <v>6</v>
      </c>
      <c r="AW652">
        <v>4</v>
      </c>
      <c r="AX652" t="s">
        <v>74</v>
      </c>
      <c r="AY652" t="s">
        <v>74</v>
      </c>
      <c r="AZ652" t="s">
        <v>74</v>
      </c>
      <c r="BA652" t="s">
        <v>74</v>
      </c>
      <c r="BB652" t="s">
        <v>74</v>
      </c>
      <c r="BC652" t="s">
        <v>74</v>
      </c>
      <c r="BD652" t="s">
        <v>11952</v>
      </c>
      <c r="BE652" t="s">
        <v>11953</v>
      </c>
      <c r="BF652" t="str">
        <f>HYPERLINK("http://dx.doi.org/10.1371/journal.pone.0019220","http://dx.doi.org/10.1371/journal.pone.0019220")</f>
        <v>http://dx.doi.org/10.1371/journal.pone.0019220</v>
      </c>
      <c r="BG652" t="s">
        <v>74</v>
      </c>
      <c r="BH652" t="s">
        <v>74</v>
      </c>
      <c r="BI652">
        <v>4</v>
      </c>
      <c r="BJ652" t="s">
        <v>177</v>
      </c>
      <c r="BK652" t="s">
        <v>100</v>
      </c>
      <c r="BL652" t="s">
        <v>178</v>
      </c>
      <c r="BM652" t="s">
        <v>11954</v>
      </c>
      <c r="BN652">
        <v>21541281</v>
      </c>
      <c r="BO652" t="s">
        <v>3480</v>
      </c>
      <c r="BP652" t="s">
        <v>74</v>
      </c>
      <c r="BQ652" t="s">
        <v>74</v>
      </c>
      <c r="BR652" t="s">
        <v>103</v>
      </c>
      <c r="BS652" t="s">
        <v>11955</v>
      </c>
      <c r="BT652" t="str">
        <f>HYPERLINK("https%3A%2F%2Fwww.webofscience.com%2Fwos%2Fwoscc%2Ffull-record%2FWOS:000290018400034","View Full Record in Web of Science")</f>
        <v>View Full Record in Web of Science</v>
      </c>
    </row>
    <row r="653" spans="1:72" x14ac:dyDescent="0.15">
      <c r="A653" t="s">
        <v>72</v>
      </c>
      <c r="B653" t="s">
        <v>11956</v>
      </c>
      <c r="C653" t="s">
        <v>74</v>
      </c>
      <c r="D653" t="s">
        <v>74</v>
      </c>
      <c r="E653" t="s">
        <v>74</v>
      </c>
      <c r="F653" t="s">
        <v>11957</v>
      </c>
      <c r="G653" t="s">
        <v>74</v>
      </c>
      <c r="H653" t="s">
        <v>74</v>
      </c>
      <c r="I653" t="s">
        <v>11958</v>
      </c>
      <c r="J653" t="s">
        <v>6862</v>
      </c>
      <c r="K653" t="s">
        <v>74</v>
      </c>
      <c r="L653" t="s">
        <v>74</v>
      </c>
      <c r="M653" t="s">
        <v>78</v>
      </c>
      <c r="N653" t="s">
        <v>79</v>
      </c>
      <c r="O653" t="s">
        <v>74</v>
      </c>
      <c r="P653" t="s">
        <v>74</v>
      </c>
      <c r="Q653" t="s">
        <v>74</v>
      </c>
      <c r="R653" t="s">
        <v>74</v>
      </c>
      <c r="S653" t="s">
        <v>74</v>
      </c>
      <c r="T653" t="s">
        <v>11959</v>
      </c>
      <c r="U653" t="s">
        <v>11960</v>
      </c>
      <c r="V653" t="s">
        <v>11961</v>
      </c>
      <c r="W653" t="s">
        <v>11962</v>
      </c>
      <c r="X653" t="s">
        <v>11963</v>
      </c>
      <c r="Y653" t="s">
        <v>11964</v>
      </c>
      <c r="Z653" t="s">
        <v>11965</v>
      </c>
      <c r="AA653" t="s">
        <v>74</v>
      </c>
      <c r="AB653" t="s">
        <v>74</v>
      </c>
      <c r="AC653" t="s">
        <v>74</v>
      </c>
      <c r="AD653" t="s">
        <v>74</v>
      </c>
      <c r="AE653" t="s">
        <v>74</v>
      </c>
      <c r="AF653" t="s">
        <v>74</v>
      </c>
      <c r="AG653">
        <v>20</v>
      </c>
      <c r="AH653">
        <v>8</v>
      </c>
      <c r="AI653">
        <v>10</v>
      </c>
      <c r="AJ653">
        <v>0</v>
      </c>
      <c r="AK653">
        <v>5</v>
      </c>
      <c r="AL653" t="s">
        <v>793</v>
      </c>
      <c r="AM653" t="s">
        <v>794</v>
      </c>
      <c r="AN653" t="s">
        <v>795</v>
      </c>
      <c r="AO653" t="s">
        <v>6869</v>
      </c>
      <c r="AP653" t="s">
        <v>74</v>
      </c>
      <c r="AQ653" t="s">
        <v>74</v>
      </c>
      <c r="AR653" t="s">
        <v>6870</v>
      </c>
      <c r="AS653" t="s">
        <v>6871</v>
      </c>
      <c r="AT653" t="s">
        <v>11966</v>
      </c>
      <c r="AU653">
        <v>2011</v>
      </c>
      <c r="AV653">
        <v>100</v>
      </c>
      <c r="AW653">
        <v>8</v>
      </c>
      <c r="AX653" t="s">
        <v>74</v>
      </c>
      <c r="AY653" t="s">
        <v>74</v>
      </c>
      <c r="AZ653" t="s">
        <v>74</v>
      </c>
      <c r="BA653" t="s">
        <v>74</v>
      </c>
      <c r="BB653">
        <v>1193</v>
      </c>
      <c r="BC653">
        <v>1200</v>
      </c>
      <c r="BD653" t="s">
        <v>74</v>
      </c>
      <c r="BE653" t="s">
        <v>74</v>
      </c>
      <c r="BF653" t="s">
        <v>74</v>
      </c>
      <c r="BG653" t="s">
        <v>74</v>
      </c>
      <c r="BH653" t="s">
        <v>74</v>
      </c>
      <c r="BI653">
        <v>8</v>
      </c>
      <c r="BJ653" t="s">
        <v>177</v>
      </c>
      <c r="BK653" t="s">
        <v>100</v>
      </c>
      <c r="BL653" t="s">
        <v>178</v>
      </c>
      <c r="BM653" t="s">
        <v>11967</v>
      </c>
      <c r="BN653" t="s">
        <v>74</v>
      </c>
      <c r="BO653" t="s">
        <v>74</v>
      </c>
      <c r="BP653" t="s">
        <v>74</v>
      </c>
      <c r="BQ653" t="s">
        <v>74</v>
      </c>
      <c r="BR653" t="s">
        <v>103</v>
      </c>
      <c r="BS653" t="s">
        <v>11968</v>
      </c>
      <c r="BT653" t="str">
        <f>HYPERLINK("https%3A%2F%2Fwww.webofscience.com%2Fwos%2Fwoscc%2Ffull-record%2FWOS:000290518200022","View Full Record in Web of Science")</f>
        <v>View Full Record in Web of Science</v>
      </c>
    </row>
    <row r="654" spans="1:72" x14ac:dyDescent="0.15">
      <c r="A654" t="s">
        <v>72</v>
      </c>
      <c r="B654" t="s">
        <v>11969</v>
      </c>
      <c r="C654" t="s">
        <v>74</v>
      </c>
      <c r="D654" t="s">
        <v>74</v>
      </c>
      <c r="E654" t="s">
        <v>74</v>
      </c>
      <c r="F654" t="s">
        <v>11970</v>
      </c>
      <c r="G654" t="s">
        <v>74</v>
      </c>
      <c r="H654" t="s">
        <v>74</v>
      </c>
      <c r="I654" t="s">
        <v>11971</v>
      </c>
      <c r="J654" t="s">
        <v>6542</v>
      </c>
      <c r="K654" t="s">
        <v>74</v>
      </c>
      <c r="L654" t="s">
        <v>74</v>
      </c>
      <c r="M654" t="s">
        <v>78</v>
      </c>
      <c r="N654" t="s">
        <v>79</v>
      </c>
      <c r="O654" t="s">
        <v>74</v>
      </c>
      <c r="P654" t="s">
        <v>74</v>
      </c>
      <c r="Q654" t="s">
        <v>74</v>
      </c>
      <c r="R654" t="s">
        <v>74</v>
      </c>
      <c r="S654" t="s">
        <v>74</v>
      </c>
      <c r="T654" t="s">
        <v>11972</v>
      </c>
      <c r="U654" t="s">
        <v>11973</v>
      </c>
      <c r="V654" t="s">
        <v>11974</v>
      </c>
      <c r="W654" t="s">
        <v>11975</v>
      </c>
      <c r="X654" t="s">
        <v>11976</v>
      </c>
      <c r="Y654" t="s">
        <v>11977</v>
      </c>
      <c r="Z654" t="s">
        <v>11978</v>
      </c>
      <c r="AA654" t="s">
        <v>11979</v>
      </c>
      <c r="AB654" t="s">
        <v>11980</v>
      </c>
      <c r="AC654" t="s">
        <v>11981</v>
      </c>
      <c r="AD654" t="s">
        <v>11982</v>
      </c>
      <c r="AE654" t="s">
        <v>11983</v>
      </c>
      <c r="AF654" t="s">
        <v>74</v>
      </c>
      <c r="AG654">
        <v>18</v>
      </c>
      <c r="AH654">
        <v>100</v>
      </c>
      <c r="AI654">
        <v>108</v>
      </c>
      <c r="AJ654">
        <v>2</v>
      </c>
      <c r="AK654">
        <v>69</v>
      </c>
      <c r="AL654" t="s">
        <v>6555</v>
      </c>
      <c r="AM654" t="s">
        <v>1490</v>
      </c>
      <c r="AN654" t="s">
        <v>6556</v>
      </c>
      <c r="AO654" t="s">
        <v>6557</v>
      </c>
      <c r="AP654" t="s">
        <v>6558</v>
      </c>
      <c r="AQ654" t="s">
        <v>74</v>
      </c>
      <c r="AR654" t="s">
        <v>6559</v>
      </c>
      <c r="AS654" t="s">
        <v>6560</v>
      </c>
      <c r="AT654" t="s">
        <v>11984</v>
      </c>
      <c r="AU654">
        <v>2011</v>
      </c>
      <c r="AV654">
        <v>7</v>
      </c>
      <c r="AW654">
        <v>2</v>
      </c>
      <c r="AX654" t="s">
        <v>74</v>
      </c>
      <c r="AY654" t="s">
        <v>74</v>
      </c>
      <c r="AZ654" t="s">
        <v>74</v>
      </c>
      <c r="BA654" t="s">
        <v>74</v>
      </c>
      <c r="BB654">
        <v>303</v>
      </c>
      <c r="BC654">
        <v>306</v>
      </c>
      <c r="BD654" t="s">
        <v>74</v>
      </c>
      <c r="BE654" t="s">
        <v>11985</v>
      </c>
      <c r="BF654" t="str">
        <f>HYPERLINK("http://dx.doi.org/10.1098/rsbl.2010.0778","http://dx.doi.org/10.1098/rsbl.2010.0778")</f>
        <v>http://dx.doi.org/10.1098/rsbl.2010.0778</v>
      </c>
      <c r="BG654" t="s">
        <v>74</v>
      </c>
      <c r="BH654" t="s">
        <v>74</v>
      </c>
      <c r="BI654">
        <v>4</v>
      </c>
      <c r="BJ654" t="s">
        <v>6563</v>
      </c>
      <c r="BK654" t="s">
        <v>100</v>
      </c>
      <c r="BL654" t="s">
        <v>6564</v>
      </c>
      <c r="BM654" t="s">
        <v>11986</v>
      </c>
      <c r="BN654">
        <v>20943677</v>
      </c>
      <c r="BO654" t="s">
        <v>702</v>
      </c>
      <c r="BP654" t="s">
        <v>74</v>
      </c>
      <c r="BQ654" t="s">
        <v>74</v>
      </c>
      <c r="BR654" t="s">
        <v>103</v>
      </c>
      <c r="BS654" t="s">
        <v>11987</v>
      </c>
      <c r="BT654" t="str">
        <f>HYPERLINK("https%3A%2F%2Fwww.webofscience.com%2Fwos%2Fwoscc%2Ffull-record%2FWOS:000288244100039","View Full Record in Web of Science")</f>
        <v>View Full Record in Web of Science</v>
      </c>
    </row>
    <row r="655" spans="1:72" x14ac:dyDescent="0.15">
      <c r="A655" t="s">
        <v>72</v>
      </c>
      <c r="B655" t="s">
        <v>11988</v>
      </c>
      <c r="C655" t="s">
        <v>74</v>
      </c>
      <c r="D655" t="s">
        <v>74</v>
      </c>
      <c r="E655" t="s">
        <v>74</v>
      </c>
      <c r="F655" t="s">
        <v>11989</v>
      </c>
      <c r="G655" t="s">
        <v>74</v>
      </c>
      <c r="H655" t="s">
        <v>74</v>
      </c>
      <c r="I655" t="s">
        <v>11990</v>
      </c>
      <c r="J655" t="s">
        <v>6542</v>
      </c>
      <c r="K655" t="s">
        <v>74</v>
      </c>
      <c r="L655" t="s">
        <v>74</v>
      </c>
      <c r="M655" t="s">
        <v>78</v>
      </c>
      <c r="N655" t="s">
        <v>79</v>
      </c>
      <c r="O655" t="s">
        <v>74</v>
      </c>
      <c r="P655" t="s">
        <v>74</v>
      </c>
      <c r="Q655" t="s">
        <v>74</v>
      </c>
      <c r="R655" t="s">
        <v>74</v>
      </c>
      <c r="S655" t="s">
        <v>74</v>
      </c>
      <c r="T655" t="s">
        <v>11991</v>
      </c>
      <c r="U655" t="s">
        <v>11992</v>
      </c>
      <c r="V655" t="s">
        <v>11993</v>
      </c>
      <c r="W655" t="s">
        <v>11994</v>
      </c>
      <c r="X655" t="s">
        <v>11995</v>
      </c>
      <c r="Y655" t="s">
        <v>11996</v>
      </c>
      <c r="Z655" t="s">
        <v>5596</v>
      </c>
      <c r="AA655" t="s">
        <v>11997</v>
      </c>
      <c r="AB655" t="s">
        <v>11998</v>
      </c>
      <c r="AC655" t="s">
        <v>11999</v>
      </c>
      <c r="AD655" t="s">
        <v>12000</v>
      </c>
      <c r="AE655" t="s">
        <v>12001</v>
      </c>
      <c r="AF655" t="s">
        <v>74</v>
      </c>
      <c r="AG655">
        <v>23</v>
      </c>
      <c r="AH655">
        <v>80</v>
      </c>
      <c r="AI655">
        <v>82</v>
      </c>
      <c r="AJ655">
        <v>0</v>
      </c>
      <c r="AK655">
        <v>85</v>
      </c>
      <c r="AL655" t="s">
        <v>6555</v>
      </c>
      <c r="AM655" t="s">
        <v>1490</v>
      </c>
      <c r="AN655" t="s">
        <v>6556</v>
      </c>
      <c r="AO655" t="s">
        <v>6557</v>
      </c>
      <c r="AP655" t="s">
        <v>6558</v>
      </c>
      <c r="AQ655" t="s">
        <v>74</v>
      </c>
      <c r="AR655" t="s">
        <v>6559</v>
      </c>
      <c r="AS655" t="s">
        <v>6560</v>
      </c>
      <c r="AT655" t="s">
        <v>11984</v>
      </c>
      <c r="AU655">
        <v>2011</v>
      </c>
      <c r="AV655">
        <v>7</v>
      </c>
      <c r="AW655">
        <v>2</v>
      </c>
      <c r="AX655" t="s">
        <v>74</v>
      </c>
      <c r="AY655" t="s">
        <v>74</v>
      </c>
      <c r="AZ655" t="s">
        <v>74</v>
      </c>
      <c r="BA655" t="s">
        <v>74</v>
      </c>
      <c r="BB655">
        <v>288</v>
      </c>
      <c r="BC655">
        <v>291</v>
      </c>
      <c r="BD655" t="s">
        <v>74</v>
      </c>
      <c r="BE655" t="s">
        <v>12002</v>
      </c>
      <c r="BF655" t="str">
        <f>HYPERLINK("http://dx.doi.org/10.1098/rsbl.2010.0777","http://dx.doi.org/10.1098/rsbl.2010.0777")</f>
        <v>http://dx.doi.org/10.1098/rsbl.2010.0777</v>
      </c>
      <c r="BG655" t="s">
        <v>74</v>
      </c>
      <c r="BH655" t="s">
        <v>74</v>
      </c>
      <c r="BI655">
        <v>4</v>
      </c>
      <c r="BJ655" t="s">
        <v>6563</v>
      </c>
      <c r="BK655" t="s">
        <v>100</v>
      </c>
      <c r="BL655" t="s">
        <v>6564</v>
      </c>
      <c r="BM655" t="s">
        <v>11986</v>
      </c>
      <c r="BN655">
        <v>20943680</v>
      </c>
      <c r="BO655" t="s">
        <v>702</v>
      </c>
      <c r="BP655" t="s">
        <v>74</v>
      </c>
      <c r="BQ655" t="s">
        <v>74</v>
      </c>
      <c r="BR655" t="s">
        <v>103</v>
      </c>
      <c r="BS655" t="s">
        <v>12003</v>
      </c>
      <c r="BT655" t="str">
        <f>HYPERLINK("https%3A%2F%2Fwww.webofscience.com%2Fwos%2Fwoscc%2Ffull-record%2FWOS:000288244100035","View Full Record in Web of Science")</f>
        <v>View Full Record in Web of Science</v>
      </c>
    </row>
    <row r="656" spans="1:72" x14ac:dyDescent="0.15">
      <c r="A656" t="s">
        <v>72</v>
      </c>
      <c r="B656" t="s">
        <v>12004</v>
      </c>
      <c r="C656" t="s">
        <v>74</v>
      </c>
      <c r="D656" t="s">
        <v>74</v>
      </c>
      <c r="E656" t="s">
        <v>74</v>
      </c>
      <c r="F656" t="s">
        <v>12005</v>
      </c>
      <c r="G656" t="s">
        <v>74</v>
      </c>
      <c r="H656" t="s">
        <v>74</v>
      </c>
      <c r="I656" t="s">
        <v>12006</v>
      </c>
      <c r="J656" t="s">
        <v>108</v>
      </c>
      <c r="K656" t="s">
        <v>74</v>
      </c>
      <c r="L656" t="s">
        <v>74</v>
      </c>
      <c r="M656" t="s">
        <v>78</v>
      </c>
      <c r="N656" t="s">
        <v>79</v>
      </c>
      <c r="O656" t="s">
        <v>74</v>
      </c>
      <c r="P656" t="s">
        <v>74</v>
      </c>
      <c r="Q656" t="s">
        <v>74</v>
      </c>
      <c r="R656" t="s">
        <v>74</v>
      </c>
      <c r="S656" t="s">
        <v>74</v>
      </c>
      <c r="T656" t="s">
        <v>74</v>
      </c>
      <c r="U656" t="s">
        <v>12007</v>
      </c>
      <c r="V656" t="s">
        <v>12008</v>
      </c>
      <c r="W656" t="s">
        <v>12009</v>
      </c>
      <c r="X656" t="s">
        <v>12010</v>
      </c>
      <c r="Y656" t="s">
        <v>12011</v>
      </c>
      <c r="Z656" t="s">
        <v>12012</v>
      </c>
      <c r="AA656" t="s">
        <v>12013</v>
      </c>
      <c r="AB656" t="s">
        <v>12014</v>
      </c>
      <c r="AC656" t="s">
        <v>12015</v>
      </c>
      <c r="AD656" t="s">
        <v>12016</v>
      </c>
      <c r="AE656" t="s">
        <v>12017</v>
      </c>
      <c r="AF656" t="s">
        <v>74</v>
      </c>
      <c r="AG656">
        <v>30</v>
      </c>
      <c r="AH656">
        <v>23</v>
      </c>
      <c r="AI656">
        <v>23</v>
      </c>
      <c r="AJ656">
        <v>0</v>
      </c>
      <c r="AK656">
        <v>7</v>
      </c>
      <c r="AL656" t="s">
        <v>120</v>
      </c>
      <c r="AM656" t="s">
        <v>121</v>
      </c>
      <c r="AN656" t="s">
        <v>122</v>
      </c>
      <c r="AO656" t="s">
        <v>123</v>
      </c>
      <c r="AP656" t="s">
        <v>74</v>
      </c>
      <c r="AQ656" t="s">
        <v>74</v>
      </c>
      <c r="AR656" t="s">
        <v>125</v>
      </c>
      <c r="AS656" t="s">
        <v>126</v>
      </c>
      <c r="AT656" t="s">
        <v>12018</v>
      </c>
      <c r="AU656">
        <v>2011</v>
      </c>
      <c r="AV656">
        <v>38</v>
      </c>
      <c r="AW656" t="s">
        <v>74</v>
      </c>
      <c r="AX656" t="s">
        <v>74</v>
      </c>
      <c r="AY656" t="s">
        <v>74</v>
      </c>
      <c r="AZ656" t="s">
        <v>74</v>
      </c>
      <c r="BA656" t="s">
        <v>74</v>
      </c>
      <c r="BB656" t="s">
        <v>74</v>
      </c>
      <c r="BC656" t="s">
        <v>74</v>
      </c>
      <c r="BD656" t="s">
        <v>12019</v>
      </c>
      <c r="BE656" t="s">
        <v>12020</v>
      </c>
      <c r="BF656" t="str">
        <f>HYPERLINK("http://dx.doi.org/10.1029/2011GL046849","http://dx.doi.org/10.1029/2011GL046849")</f>
        <v>http://dx.doi.org/10.1029/2011GL046849</v>
      </c>
      <c r="BG656" t="s">
        <v>74</v>
      </c>
      <c r="BH656" t="s">
        <v>74</v>
      </c>
      <c r="BI656">
        <v>4</v>
      </c>
      <c r="BJ656" t="s">
        <v>130</v>
      </c>
      <c r="BK656" t="s">
        <v>100</v>
      </c>
      <c r="BL656" t="s">
        <v>131</v>
      </c>
      <c r="BM656" t="s">
        <v>12021</v>
      </c>
      <c r="BN656" t="s">
        <v>74</v>
      </c>
      <c r="BO656" t="s">
        <v>74</v>
      </c>
      <c r="BP656" t="s">
        <v>74</v>
      </c>
      <c r="BQ656" t="s">
        <v>74</v>
      </c>
      <c r="BR656" t="s">
        <v>103</v>
      </c>
      <c r="BS656" t="s">
        <v>12022</v>
      </c>
      <c r="BT656" t="str">
        <f>HYPERLINK("https%3A%2F%2Fwww.webofscience.com%2Fwos%2Fwoscc%2Ffull-record%2FWOS:000289855200002","View Full Record in Web of Science")</f>
        <v>View Full Record in Web of Science</v>
      </c>
    </row>
    <row r="657" spans="1:72" x14ac:dyDescent="0.15">
      <c r="A657" t="s">
        <v>72</v>
      </c>
      <c r="B657" t="s">
        <v>12023</v>
      </c>
      <c r="C657" t="s">
        <v>74</v>
      </c>
      <c r="D657" t="s">
        <v>74</v>
      </c>
      <c r="E657" t="s">
        <v>74</v>
      </c>
      <c r="F657" t="s">
        <v>12024</v>
      </c>
      <c r="G657" t="s">
        <v>74</v>
      </c>
      <c r="H657" t="s">
        <v>74</v>
      </c>
      <c r="I657" t="s">
        <v>12025</v>
      </c>
      <c r="J657" t="s">
        <v>230</v>
      </c>
      <c r="K657" t="s">
        <v>74</v>
      </c>
      <c r="L657" t="s">
        <v>74</v>
      </c>
      <c r="M657" t="s">
        <v>78</v>
      </c>
      <c r="N657" t="s">
        <v>79</v>
      </c>
      <c r="O657" t="s">
        <v>74</v>
      </c>
      <c r="P657" t="s">
        <v>74</v>
      </c>
      <c r="Q657" t="s">
        <v>74</v>
      </c>
      <c r="R657" t="s">
        <v>74</v>
      </c>
      <c r="S657" t="s">
        <v>74</v>
      </c>
      <c r="T657" t="s">
        <v>74</v>
      </c>
      <c r="U657" t="s">
        <v>12026</v>
      </c>
      <c r="V657" t="s">
        <v>12027</v>
      </c>
      <c r="W657" t="s">
        <v>12028</v>
      </c>
      <c r="X657" t="s">
        <v>12029</v>
      </c>
      <c r="Y657" t="s">
        <v>12030</v>
      </c>
      <c r="Z657" t="s">
        <v>12031</v>
      </c>
      <c r="AA657" t="s">
        <v>12032</v>
      </c>
      <c r="AB657" t="s">
        <v>12033</v>
      </c>
      <c r="AC657" t="s">
        <v>12034</v>
      </c>
      <c r="AD657" t="s">
        <v>12035</v>
      </c>
      <c r="AE657" t="s">
        <v>12036</v>
      </c>
      <c r="AF657" t="s">
        <v>74</v>
      </c>
      <c r="AG657">
        <v>49</v>
      </c>
      <c r="AH657">
        <v>44</v>
      </c>
      <c r="AI657">
        <v>44</v>
      </c>
      <c r="AJ657">
        <v>5</v>
      </c>
      <c r="AK657">
        <v>65</v>
      </c>
      <c r="AL657" t="s">
        <v>120</v>
      </c>
      <c r="AM657" t="s">
        <v>121</v>
      </c>
      <c r="AN657" t="s">
        <v>122</v>
      </c>
      <c r="AO657" t="s">
        <v>242</v>
      </c>
      <c r="AP657" t="s">
        <v>243</v>
      </c>
      <c r="AQ657" t="s">
        <v>74</v>
      </c>
      <c r="AR657" t="s">
        <v>244</v>
      </c>
      <c r="AS657" t="s">
        <v>245</v>
      </c>
      <c r="AT657" t="s">
        <v>12018</v>
      </c>
      <c r="AU657">
        <v>2011</v>
      </c>
      <c r="AV657">
        <v>116</v>
      </c>
      <c r="AW657" t="s">
        <v>74</v>
      </c>
      <c r="AX657" t="s">
        <v>74</v>
      </c>
      <c r="AY657" t="s">
        <v>74</v>
      </c>
      <c r="AZ657" t="s">
        <v>74</v>
      </c>
      <c r="BA657" t="s">
        <v>74</v>
      </c>
      <c r="BB657" t="s">
        <v>74</v>
      </c>
      <c r="BC657" t="s">
        <v>74</v>
      </c>
      <c r="BD657" t="s">
        <v>12037</v>
      </c>
      <c r="BE657" t="s">
        <v>12038</v>
      </c>
      <c r="BF657" t="str">
        <f>HYPERLINK("http://dx.doi.org/10.1029/2010JD015309","http://dx.doi.org/10.1029/2010JD015309")</f>
        <v>http://dx.doi.org/10.1029/2010JD015309</v>
      </c>
      <c r="BG657" t="s">
        <v>74</v>
      </c>
      <c r="BH657" t="s">
        <v>74</v>
      </c>
      <c r="BI657">
        <v>16</v>
      </c>
      <c r="BJ657" t="s">
        <v>248</v>
      </c>
      <c r="BK657" t="s">
        <v>100</v>
      </c>
      <c r="BL657" t="s">
        <v>248</v>
      </c>
      <c r="BM657" t="s">
        <v>12039</v>
      </c>
      <c r="BN657" t="s">
        <v>74</v>
      </c>
      <c r="BO657" t="s">
        <v>2678</v>
      </c>
      <c r="BP657" t="s">
        <v>74</v>
      </c>
      <c r="BQ657" t="s">
        <v>74</v>
      </c>
      <c r="BR657" t="s">
        <v>103</v>
      </c>
      <c r="BS657" t="s">
        <v>12040</v>
      </c>
      <c r="BT657" t="str">
        <f>HYPERLINK("https%3A%2F%2Fwww.webofscience.com%2Fwos%2Fwoscc%2Ffull-record%2FWOS:000289853200005","View Full Record in Web of Science")</f>
        <v>View Full Record in Web of Science</v>
      </c>
    </row>
    <row r="658" spans="1:72" x14ac:dyDescent="0.15">
      <c r="A658" t="s">
        <v>72</v>
      </c>
      <c r="B658" t="s">
        <v>12041</v>
      </c>
      <c r="C658" t="s">
        <v>74</v>
      </c>
      <c r="D658" t="s">
        <v>74</v>
      </c>
      <c r="E658" t="s">
        <v>74</v>
      </c>
      <c r="F658" t="s">
        <v>12042</v>
      </c>
      <c r="G658" t="s">
        <v>74</v>
      </c>
      <c r="H658" t="s">
        <v>74</v>
      </c>
      <c r="I658" t="s">
        <v>12043</v>
      </c>
      <c r="J658" t="s">
        <v>6589</v>
      </c>
      <c r="K658" t="s">
        <v>74</v>
      </c>
      <c r="L658" t="s">
        <v>74</v>
      </c>
      <c r="M658" t="s">
        <v>78</v>
      </c>
      <c r="N658" t="s">
        <v>79</v>
      </c>
      <c r="O658" t="s">
        <v>74</v>
      </c>
      <c r="P658" t="s">
        <v>74</v>
      </c>
      <c r="Q658" t="s">
        <v>74</v>
      </c>
      <c r="R658" t="s">
        <v>74</v>
      </c>
      <c r="S658" t="s">
        <v>74</v>
      </c>
      <c r="T658" t="s">
        <v>12044</v>
      </c>
      <c r="U658" t="s">
        <v>12045</v>
      </c>
      <c r="V658" t="s">
        <v>12046</v>
      </c>
      <c r="W658" t="s">
        <v>12047</v>
      </c>
      <c r="X658" t="s">
        <v>12048</v>
      </c>
      <c r="Y658" t="s">
        <v>12049</v>
      </c>
      <c r="Z658" t="s">
        <v>12050</v>
      </c>
      <c r="AA658" t="s">
        <v>12051</v>
      </c>
      <c r="AB658" t="s">
        <v>12052</v>
      </c>
      <c r="AC658" t="s">
        <v>12053</v>
      </c>
      <c r="AD658" t="s">
        <v>12054</v>
      </c>
      <c r="AE658" t="s">
        <v>12055</v>
      </c>
      <c r="AF658" t="s">
        <v>74</v>
      </c>
      <c r="AG658">
        <v>106</v>
      </c>
      <c r="AH658">
        <v>52</v>
      </c>
      <c r="AI658">
        <v>53</v>
      </c>
      <c r="AJ658">
        <v>0</v>
      </c>
      <c r="AK658">
        <v>26</v>
      </c>
      <c r="AL658" t="s">
        <v>6555</v>
      </c>
      <c r="AM658" t="s">
        <v>1490</v>
      </c>
      <c r="AN658" t="s">
        <v>6556</v>
      </c>
      <c r="AO658" t="s">
        <v>6600</v>
      </c>
      <c r="AP658" t="s">
        <v>6601</v>
      </c>
      <c r="AQ658" t="s">
        <v>74</v>
      </c>
      <c r="AR658" t="s">
        <v>6602</v>
      </c>
      <c r="AS658" t="s">
        <v>6603</v>
      </c>
      <c r="AT658" t="s">
        <v>12018</v>
      </c>
      <c r="AU658">
        <v>2011</v>
      </c>
      <c r="AV658">
        <v>278</v>
      </c>
      <c r="AW658">
        <v>1709</v>
      </c>
      <c r="AX658" t="s">
        <v>74</v>
      </c>
      <c r="AY658" t="s">
        <v>74</v>
      </c>
      <c r="AZ658" t="s">
        <v>74</v>
      </c>
      <c r="BA658" t="s">
        <v>74</v>
      </c>
      <c r="BB658">
        <v>1247</v>
      </c>
      <c r="BC658">
        <v>1255</v>
      </c>
      <c r="BD658" t="s">
        <v>74</v>
      </c>
      <c r="BE658" t="s">
        <v>12056</v>
      </c>
      <c r="BF658" t="str">
        <f>HYPERLINK("http://dx.doi.org/10.1098/rspb.2010.1779","http://dx.doi.org/10.1098/rspb.2010.1779")</f>
        <v>http://dx.doi.org/10.1098/rspb.2010.1779</v>
      </c>
      <c r="BG658" t="s">
        <v>74</v>
      </c>
      <c r="BH658" t="s">
        <v>74</v>
      </c>
      <c r="BI658">
        <v>9</v>
      </c>
      <c r="BJ658" t="s">
        <v>6563</v>
      </c>
      <c r="BK658" t="s">
        <v>100</v>
      </c>
      <c r="BL658" t="s">
        <v>6564</v>
      </c>
      <c r="BM658" t="s">
        <v>12057</v>
      </c>
      <c r="BN658">
        <v>20943685</v>
      </c>
      <c r="BO658" t="s">
        <v>702</v>
      </c>
      <c r="BP658" t="s">
        <v>74</v>
      </c>
      <c r="BQ658" t="s">
        <v>74</v>
      </c>
      <c r="BR658" t="s">
        <v>103</v>
      </c>
      <c r="BS658" t="s">
        <v>12058</v>
      </c>
      <c r="BT658" t="str">
        <f>HYPERLINK("https%3A%2F%2Fwww.webofscience.com%2Fwos%2Fwoscc%2Ffull-record%2FWOS:000288241300018","View Full Record in Web of Science")</f>
        <v>View Full Record in Web of Science</v>
      </c>
    </row>
    <row r="659" spans="1:72" x14ac:dyDescent="0.15">
      <c r="A659" t="s">
        <v>72</v>
      </c>
      <c r="B659" t="s">
        <v>12059</v>
      </c>
      <c r="C659" t="s">
        <v>74</v>
      </c>
      <c r="D659" t="s">
        <v>74</v>
      </c>
      <c r="E659" t="s">
        <v>74</v>
      </c>
      <c r="F659" t="s">
        <v>12060</v>
      </c>
      <c r="G659" t="s">
        <v>74</v>
      </c>
      <c r="H659" t="s">
        <v>74</v>
      </c>
      <c r="I659" t="s">
        <v>12061</v>
      </c>
      <c r="J659" t="s">
        <v>521</v>
      </c>
      <c r="K659" t="s">
        <v>74</v>
      </c>
      <c r="L659" t="s">
        <v>74</v>
      </c>
      <c r="M659" t="s">
        <v>78</v>
      </c>
      <c r="N659" t="s">
        <v>79</v>
      </c>
      <c r="O659" t="s">
        <v>74</v>
      </c>
      <c r="P659" t="s">
        <v>74</v>
      </c>
      <c r="Q659" t="s">
        <v>74</v>
      </c>
      <c r="R659" t="s">
        <v>74</v>
      </c>
      <c r="S659" t="s">
        <v>74</v>
      </c>
      <c r="T659" t="s">
        <v>74</v>
      </c>
      <c r="U659" t="s">
        <v>12062</v>
      </c>
      <c r="V659" t="s">
        <v>12063</v>
      </c>
      <c r="W659" t="s">
        <v>12064</v>
      </c>
      <c r="X659" t="s">
        <v>12065</v>
      </c>
      <c r="Y659" t="s">
        <v>12066</v>
      </c>
      <c r="Z659" t="s">
        <v>12067</v>
      </c>
      <c r="AA659" t="s">
        <v>74</v>
      </c>
      <c r="AB659" t="s">
        <v>74</v>
      </c>
      <c r="AC659" t="s">
        <v>12068</v>
      </c>
      <c r="AD659" t="s">
        <v>12069</v>
      </c>
      <c r="AE659" t="s">
        <v>12070</v>
      </c>
      <c r="AF659" t="s">
        <v>74</v>
      </c>
      <c r="AG659">
        <v>130</v>
      </c>
      <c r="AH659">
        <v>61</v>
      </c>
      <c r="AI659">
        <v>70</v>
      </c>
      <c r="AJ659">
        <v>2</v>
      </c>
      <c r="AK659">
        <v>41</v>
      </c>
      <c r="AL659" t="s">
        <v>120</v>
      </c>
      <c r="AM659" t="s">
        <v>121</v>
      </c>
      <c r="AN659" t="s">
        <v>122</v>
      </c>
      <c r="AO659" t="s">
        <v>531</v>
      </c>
      <c r="AP659" t="s">
        <v>571</v>
      </c>
      <c r="AQ659" t="s">
        <v>74</v>
      </c>
      <c r="AR659" t="s">
        <v>521</v>
      </c>
      <c r="AS659" t="s">
        <v>532</v>
      </c>
      <c r="AT659" t="s">
        <v>12071</v>
      </c>
      <c r="AU659">
        <v>2011</v>
      </c>
      <c r="AV659">
        <v>26</v>
      </c>
      <c r="AW659" t="s">
        <v>74</v>
      </c>
      <c r="AX659" t="s">
        <v>74</v>
      </c>
      <c r="AY659" t="s">
        <v>74</v>
      </c>
      <c r="AZ659" t="s">
        <v>74</v>
      </c>
      <c r="BA659" t="s">
        <v>74</v>
      </c>
      <c r="BB659" t="s">
        <v>74</v>
      </c>
      <c r="BC659" t="s">
        <v>74</v>
      </c>
      <c r="BD659" t="s">
        <v>12072</v>
      </c>
      <c r="BE659" t="s">
        <v>12073</v>
      </c>
      <c r="BF659" t="str">
        <f>HYPERLINK("http://dx.doi.org/10.1029/2010PA001950","http://dx.doi.org/10.1029/2010PA001950")</f>
        <v>http://dx.doi.org/10.1029/2010PA001950</v>
      </c>
      <c r="BG659" t="s">
        <v>74</v>
      </c>
      <c r="BH659" t="s">
        <v>74</v>
      </c>
      <c r="BI659">
        <v>15</v>
      </c>
      <c r="BJ659" t="s">
        <v>535</v>
      </c>
      <c r="BK659" t="s">
        <v>100</v>
      </c>
      <c r="BL659" t="s">
        <v>536</v>
      </c>
      <c r="BM659" t="s">
        <v>12074</v>
      </c>
      <c r="BN659" t="s">
        <v>74</v>
      </c>
      <c r="BO659" t="s">
        <v>74</v>
      </c>
      <c r="BP659" t="s">
        <v>74</v>
      </c>
      <c r="BQ659" t="s">
        <v>74</v>
      </c>
      <c r="BR659" t="s">
        <v>103</v>
      </c>
      <c r="BS659" t="s">
        <v>12075</v>
      </c>
      <c r="BT659" t="str">
        <f>HYPERLINK("https%3A%2F%2Fwww.webofscience.com%2Fwos%2Fwoscc%2Ffull-record%2FWOS:000289854300001","View Full Record in Web of Science")</f>
        <v>View Full Record in Web of Science</v>
      </c>
    </row>
    <row r="660" spans="1:72" x14ac:dyDescent="0.15">
      <c r="A660" t="s">
        <v>72</v>
      </c>
      <c r="B660" t="s">
        <v>12076</v>
      </c>
      <c r="C660" t="s">
        <v>74</v>
      </c>
      <c r="D660" t="s">
        <v>74</v>
      </c>
      <c r="E660" t="s">
        <v>74</v>
      </c>
      <c r="F660" t="s">
        <v>12077</v>
      </c>
      <c r="G660" t="s">
        <v>74</v>
      </c>
      <c r="H660" t="s">
        <v>74</v>
      </c>
      <c r="I660" t="s">
        <v>12078</v>
      </c>
      <c r="J660" t="s">
        <v>108</v>
      </c>
      <c r="K660" t="s">
        <v>74</v>
      </c>
      <c r="L660" t="s">
        <v>74</v>
      </c>
      <c r="M660" t="s">
        <v>78</v>
      </c>
      <c r="N660" t="s">
        <v>79</v>
      </c>
      <c r="O660" t="s">
        <v>74</v>
      </c>
      <c r="P660" t="s">
        <v>74</v>
      </c>
      <c r="Q660" t="s">
        <v>74</v>
      </c>
      <c r="R660" t="s">
        <v>74</v>
      </c>
      <c r="S660" t="s">
        <v>74</v>
      </c>
      <c r="T660" t="s">
        <v>74</v>
      </c>
      <c r="U660" t="s">
        <v>12079</v>
      </c>
      <c r="V660" t="s">
        <v>12080</v>
      </c>
      <c r="W660" t="s">
        <v>12081</v>
      </c>
      <c r="X660" t="s">
        <v>12082</v>
      </c>
      <c r="Y660" t="s">
        <v>6758</v>
      </c>
      <c r="Z660" t="s">
        <v>6759</v>
      </c>
      <c r="AA660" t="s">
        <v>12083</v>
      </c>
      <c r="AB660" t="s">
        <v>12084</v>
      </c>
      <c r="AC660" t="s">
        <v>12085</v>
      </c>
      <c r="AD660" t="s">
        <v>12086</v>
      </c>
      <c r="AE660" t="s">
        <v>12087</v>
      </c>
      <c r="AF660" t="s">
        <v>74</v>
      </c>
      <c r="AG660">
        <v>20</v>
      </c>
      <c r="AH660">
        <v>11</v>
      </c>
      <c r="AI660">
        <v>12</v>
      </c>
      <c r="AJ660">
        <v>0</v>
      </c>
      <c r="AK660">
        <v>7</v>
      </c>
      <c r="AL660" t="s">
        <v>120</v>
      </c>
      <c r="AM660" t="s">
        <v>121</v>
      </c>
      <c r="AN660" t="s">
        <v>122</v>
      </c>
      <c r="AO660" t="s">
        <v>123</v>
      </c>
      <c r="AP660" t="s">
        <v>74</v>
      </c>
      <c r="AQ660" t="s">
        <v>74</v>
      </c>
      <c r="AR660" t="s">
        <v>125</v>
      </c>
      <c r="AS660" t="s">
        <v>126</v>
      </c>
      <c r="AT660" t="s">
        <v>12071</v>
      </c>
      <c r="AU660">
        <v>2011</v>
      </c>
      <c r="AV660">
        <v>38</v>
      </c>
      <c r="AW660" t="s">
        <v>74</v>
      </c>
      <c r="AX660" t="s">
        <v>74</v>
      </c>
      <c r="AY660" t="s">
        <v>74</v>
      </c>
      <c r="AZ660" t="s">
        <v>74</v>
      </c>
      <c r="BA660" t="s">
        <v>74</v>
      </c>
      <c r="BB660" t="s">
        <v>74</v>
      </c>
      <c r="BC660" t="s">
        <v>74</v>
      </c>
      <c r="BD660" t="s">
        <v>12088</v>
      </c>
      <c r="BE660" t="s">
        <v>12089</v>
      </c>
      <c r="BF660" t="str">
        <f>HYPERLINK("http://dx.doi.org/10.1029/2011GL046680","http://dx.doi.org/10.1029/2011GL046680")</f>
        <v>http://dx.doi.org/10.1029/2011GL046680</v>
      </c>
      <c r="BG660" t="s">
        <v>74</v>
      </c>
      <c r="BH660" t="s">
        <v>74</v>
      </c>
      <c r="BI660">
        <v>5</v>
      </c>
      <c r="BJ660" t="s">
        <v>130</v>
      </c>
      <c r="BK660" t="s">
        <v>100</v>
      </c>
      <c r="BL660" t="s">
        <v>131</v>
      </c>
      <c r="BM660" t="s">
        <v>12090</v>
      </c>
      <c r="BN660" t="s">
        <v>74</v>
      </c>
      <c r="BO660" t="s">
        <v>393</v>
      </c>
      <c r="BP660" t="s">
        <v>74</v>
      </c>
      <c r="BQ660" t="s">
        <v>74</v>
      </c>
      <c r="BR660" t="s">
        <v>103</v>
      </c>
      <c r="BS660" t="s">
        <v>12091</v>
      </c>
      <c r="BT660" t="str">
        <f>HYPERLINK("https%3A%2F%2Fwww.webofscience.com%2Fwos%2Fwoscc%2Ffull-record%2FWOS:000289854900001","View Full Record in Web of Science")</f>
        <v>View Full Record in Web of Science</v>
      </c>
    </row>
    <row r="661" spans="1:72" x14ac:dyDescent="0.15">
      <c r="A661" t="s">
        <v>72</v>
      </c>
      <c r="B661" t="s">
        <v>12092</v>
      </c>
      <c r="C661" t="s">
        <v>74</v>
      </c>
      <c r="D661" t="s">
        <v>74</v>
      </c>
      <c r="E661" t="s">
        <v>74</v>
      </c>
      <c r="F661" t="s">
        <v>12093</v>
      </c>
      <c r="G661" t="s">
        <v>74</v>
      </c>
      <c r="H661" t="s">
        <v>74</v>
      </c>
      <c r="I661" t="s">
        <v>12094</v>
      </c>
      <c r="J661" t="s">
        <v>254</v>
      </c>
      <c r="K661" t="s">
        <v>74</v>
      </c>
      <c r="L661" t="s">
        <v>74</v>
      </c>
      <c r="M661" t="s">
        <v>78</v>
      </c>
      <c r="N661" t="s">
        <v>79</v>
      </c>
      <c r="O661" t="s">
        <v>74</v>
      </c>
      <c r="P661" t="s">
        <v>74</v>
      </c>
      <c r="Q661" t="s">
        <v>74</v>
      </c>
      <c r="R661" t="s">
        <v>74</v>
      </c>
      <c r="S661" t="s">
        <v>74</v>
      </c>
      <c r="T661" t="s">
        <v>74</v>
      </c>
      <c r="U661" t="s">
        <v>12095</v>
      </c>
      <c r="V661" t="s">
        <v>12096</v>
      </c>
      <c r="W661" t="s">
        <v>12097</v>
      </c>
      <c r="X661" t="s">
        <v>12098</v>
      </c>
      <c r="Y661" t="s">
        <v>12099</v>
      </c>
      <c r="Z661" t="s">
        <v>12100</v>
      </c>
      <c r="AA661" t="s">
        <v>12101</v>
      </c>
      <c r="AB661" t="s">
        <v>12102</v>
      </c>
      <c r="AC661" t="s">
        <v>12103</v>
      </c>
      <c r="AD661" t="s">
        <v>12104</v>
      </c>
      <c r="AE661" t="s">
        <v>12105</v>
      </c>
      <c r="AF661" t="s">
        <v>74</v>
      </c>
      <c r="AG661">
        <v>49</v>
      </c>
      <c r="AH661">
        <v>135</v>
      </c>
      <c r="AI661">
        <v>148</v>
      </c>
      <c r="AJ661">
        <v>0</v>
      </c>
      <c r="AK661">
        <v>54</v>
      </c>
      <c r="AL661" t="s">
        <v>120</v>
      </c>
      <c r="AM661" t="s">
        <v>121</v>
      </c>
      <c r="AN661" t="s">
        <v>122</v>
      </c>
      <c r="AO661" t="s">
        <v>265</v>
      </c>
      <c r="AP661" t="s">
        <v>266</v>
      </c>
      <c r="AQ661" t="s">
        <v>74</v>
      </c>
      <c r="AR661" t="s">
        <v>267</v>
      </c>
      <c r="AS661" t="s">
        <v>268</v>
      </c>
      <c r="AT661" t="s">
        <v>12071</v>
      </c>
      <c r="AU661">
        <v>2011</v>
      </c>
      <c r="AV661">
        <v>116</v>
      </c>
      <c r="AW661" t="s">
        <v>74</v>
      </c>
      <c r="AX661" t="s">
        <v>74</v>
      </c>
      <c r="AY661" t="s">
        <v>74</v>
      </c>
      <c r="AZ661" t="s">
        <v>74</v>
      </c>
      <c r="BA661" t="s">
        <v>74</v>
      </c>
      <c r="BB661" t="s">
        <v>74</v>
      </c>
      <c r="BC661" t="s">
        <v>74</v>
      </c>
      <c r="BD661" t="s">
        <v>12106</v>
      </c>
      <c r="BE661" t="s">
        <v>12107</v>
      </c>
      <c r="BF661" t="str">
        <f>HYPERLINK("http://dx.doi.org/10.1029/2010JC006391","http://dx.doi.org/10.1029/2010JC006391")</f>
        <v>http://dx.doi.org/10.1029/2010JC006391</v>
      </c>
      <c r="BG661" t="s">
        <v>74</v>
      </c>
      <c r="BH661" t="s">
        <v>74</v>
      </c>
      <c r="BI661">
        <v>19</v>
      </c>
      <c r="BJ661" t="s">
        <v>271</v>
      </c>
      <c r="BK661" t="s">
        <v>100</v>
      </c>
      <c r="BL661" t="s">
        <v>271</v>
      </c>
      <c r="BM661" t="s">
        <v>12108</v>
      </c>
      <c r="BN661" t="s">
        <v>74</v>
      </c>
      <c r="BO661" t="s">
        <v>74</v>
      </c>
      <c r="BP661" t="s">
        <v>74</v>
      </c>
      <c r="BQ661" t="s">
        <v>74</v>
      </c>
      <c r="BR661" t="s">
        <v>103</v>
      </c>
      <c r="BS661" t="s">
        <v>12109</v>
      </c>
      <c r="BT661" t="str">
        <f>HYPERLINK("https%3A%2F%2Fwww.webofscience.com%2Fwos%2Fwoscc%2Ffull-record%2FWOS:000289851800002","View Full Record in Web of Science")</f>
        <v>View Full Record in Web of Science</v>
      </c>
    </row>
    <row r="662" spans="1:72" x14ac:dyDescent="0.15">
      <c r="A662" t="s">
        <v>72</v>
      </c>
      <c r="B662" t="s">
        <v>12110</v>
      </c>
      <c r="C662" t="s">
        <v>74</v>
      </c>
      <c r="D662" t="s">
        <v>74</v>
      </c>
      <c r="E662" t="s">
        <v>74</v>
      </c>
      <c r="F662" t="s">
        <v>12111</v>
      </c>
      <c r="G662" t="s">
        <v>74</v>
      </c>
      <c r="H662" t="s">
        <v>74</v>
      </c>
      <c r="I662" t="s">
        <v>12112</v>
      </c>
      <c r="J662" t="s">
        <v>108</v>
      </c>
      <c r="K662" t="s">
        <v>74</v>
      </c>
      <c r="L662" t="s">
        <v>74</v>
      </c>
      <c r="M662" t="s">
        <v>78</v>
      </c>
      <c r="N662" t="s">
        <v>79</v>
      </c>
      <c r="O662" t="s">
        <v>74</v>
      </c>
      <c r="P662" t="s">
        <v>74</v>
      </c>
      <c r="Q662" t="s">
        <v>74</v>
      </c>
      <c r="R662" t="s">
        <v>74</v>
      </c>
      <c r="S662" t="s">
        <v>74</v>
      </c>
      <c r="T662" t="s">
        <v>74</v>
      </c>
      <c r="U662" t="s">
        <v>12113</v>
      </c>
      <c r="V662" t="s">
        <v>12114</v>
      </c>
      <c r="W662" t="s">
        <v>12115</v>
      </c>
      <c r="X662" t="s">
        <v>12116</v>
      </c>
      <c r="Y662" t="s">
        <v>12117</v>
      </c>
      <c r="Z662" t="s">
        <v>12118</v>
      </c>
      <c r="AA662" t="s">
        <v>12119</v>
      </c>
      <c r="AB662" t="s">
        <v>74</v>
      </c>
      <c r="AC662" t="s">
        <v>12120</v>
      </c>
      <c r="AD662" t="s">
        <v>2753</v>
      </c>
      <c r="AE662" t="s">
        <v>12121</v>
      </c>
      <c r="AF662" t="s">
        <v>74</v>
      </c>
      <c r="AG662">
        <v>19</v>
      </c>
      <c r="AH662">
        <v>28</v>
      </c>
      <c r="AI662">
        <v>30</v>
      </c>
      <c r="AJ662">
        <v>1</v>
      </c>
      <c r="AK662">
        <v>23</v>
      </c>
      <c r="AL662" t="s">
        <v>120</v>
      </c>
      <c r="AM662" t="s">
        <v>121</v>
      </c>
      <c r="AN662" t="s">
        <v>122</v>
      </c>
      <c r="AO662" t="s">
        <v>123</v>
      </c>
      <c r="AP662" t="s">
        <v>74</v>
      </c>
      <c r="AQ662" t="s">
        <v>74</v>
      </c>
      <c r="AR662" t="s">
        <v>125</v>
      </c>
      <c r="AS662" t="s">
        <v>126</v>
      </c>
      <c r="AT662" t="s">
        <v>12122</v>
      </c>
      <c r="AU662">
        <v>2011</v>
      </c>
      <c r="AV662">
        <v>38</v>
      </c>
      <c r="AW662" t="s">
        <v>74</v>
      </c>
      <c r="AX662" t="s">
        <v>74</v>
      </c>
      <c r="AY662" t="s">
        <v>74</v>
      </c>
      <c r="AZ662" t="s">
        <v>74</v>
      </c>
      <c r="BA662" t="s">
        <v>74</v>
      </c>
      <c r="BB662" t="s">
        <v>74</v>
      </c>
      <c r="BC662" t="s">
        <v>74</v>
      </c>
      <c r="BD662" t="s">
        <v>12123</v>
      </c>
      <c r="BE662" t="s">
        <v>12124</v>
      </c>
      <c r="BF662" t="str">
        <f>HYPERLINK("http://dx.doi.org/10.1029/2010GL046394","http://dx.doi.org/10.1029/2010GL046394")</f>
        <v>http://dx.doi.org/10.1029/2010GL046394</v>
      </c>
      <c r="BG662" t="s">
        <v>74</v>
      </c>
      <c r="BH662" t="s">
        <v>74</v>
      </c>
      <c r="BI662">
        <v>6</v>
      </c>
      <c r="BJ662" t="s">
        <v>130</v>
      </c>
      <c r="BK662" t="s">
        <v>100</v>
      </c>
      <c r="BL662" t="s">
        <v>131</v>
      </c>
      <c r="BM662" t="s">
        <v>12125</v>
      </c>
      <c r="BN662" t="s">
        <v>74</v>
      </c>
      <c r="BO662" t="s">
        <v>152</v>
      </c>
      <c r="BP662" t="s">
        <v>74</v>
      </c>
      <c r="BQ662" t="s">
        <v>74</v>
      </c>
      <c r="BR662" t="s">
        <v>103</v>
      </c>
      <c r="BS662" t="s">
        <v>12126</v>
      </c>
      <c r="BT662" t="str">
        <f>HYPERLINK("https%3A%2F%2Fwww.webofscience.com%2Fwos%2Fwoscc%2Ffull-record%2FWOS:000289854500001","View Full Record in Web of Science")</f>
        <v>View Full Record in Web of Science</v>
      </c>
    </row>
    <row r="663" spans="1:72" x14ac:dyDescent="0.15">
      <c r="A663" t="s">
        <v>72</v>
      </c>
      <c r="B663" t="s">
        <v>12127</v>
      </c>
      <c r="C663" t="s">
        <v>74</v>
      </c>
      <c r="D663" t="s">
        <v>74</v>
      </c>
      <c r="E663" t="s">
        <v>74</v>
      </c>
      <c r="F663" t="s">
        <v>12128</v>
      </c>
      <c r="G663" t="s">
        <v>74</v>
      </c>
      <c r="H663" t="s">
        <v>74</v>
      </c>
      <c r="I663" t="s">
        <v>12129</v>
      </c>
      <c r="J663" t="s">
        <v>3214</v>
      </c>
      <c r="K663" t="s">
        <v>74</v>
      </c>
      <c r="L663" t="s">
        <v>74</v>
      </c>
      <c r="M663" t="s">
        <v>78</v>
      </c>
      <c r="N663" t="s">
        <v>79</v>
      </c>
      <c r="O663" t="s">
        <v>74</v>
      </c>
      <c r="P663" t="s">
        <v>74</v>
      </c>
      <c r="Q663" t="s">
        <v>74</v>
      </c>
      <c r="R663" t="s">
        <v>74</v>
      </c>
      <c r="S663" t="s">
        <v>74</v>
      </c>
      <c r="T663" t="s">
        <v>12130</v>
      </c>
      <c r="U663" t="s">
        <v>12131</v>
      </c>
      <c r="V663" t="s">
        <v>12132</v>
      </c>
      <c r="W663" t="s">
        <v>12133</v>
      </c>
      <c r="X663" t="s">
        <v>12134</v>
      </c>
      <c r="Y663" t="s">
        <v>12135</v>
      </c>
      <c r="Z663" t="s">
        <v>12136</v>
      </c>
      <c r="AA663" t="s">
        <v>12137</v>
      </c>
      <c r="AB663" t="s">
        <v>12138</v>
      </c>
      <c r="AC663" t="s">
        <v>12139</v>
      </c>
      <c r="AD663" t="s">
        <v>12140</v>
      </c>
      <c r="AE663" t="s">
        <v>12141</v>
      </c>
      <c r="AF663" t="s">
        <v>74</v>
      </c>
      <c r="AG663">
        <v>39</v>
      </c>
      <c r="AH663">
        <v>32</v>
      </c>
      <c r="AI663">
        <v>35</v>
      </c>
      <c r="AJ663">
        <v>0</v>
      </c>
      <c r="AK663">
        <v>4</v>
      </c>
      <c r="AL663" t="s">
        <v>3225</v>
      </c>
      <c r="AM663" t="s">
        <v>3226</v>
      </c>
      <c r="AN663" t="s">
        <v>3227</v>
      </c>
      <c r="AO663" t="s">
        <v>3228</v>
      </c>
      <c r="AP663" t="s">
        <v>3229</v>
      </c>
      <c r="AQ663" t="s">
        <v>74</v>
      </c>
      <c r="AR663" t="s">
        <v>3214</v>
      </c>
      <c r="AS663" t="s">
        <v>3230</v>
      </c>
      <c r="AT663" t="s">
        <v>12122</v>
      </c>
      <c r="AU663">
        <v>2011</v>
      </c>
      <c r="AV663" t="s">
        <v>74</v>
      </c>
      <c r="AW663">
        <v>2826</v>
      </c>
      <c r="AX663" t="s">
        <v>74</v>
      </c>
      <c r="AY663" t="s">
        <v>74</v>
      </c>
      <c r="AZ663" t="s">
        <v>74</v>
      </c>
      <c r="BA663" t="s">
        <v>74</v>
      </c>
      <c r="BB663">
        <v>45</v>
      </c>
      <c r="BC663">
        <v>56</v>
      </c>
      <c r="BD663" t="s">
        <v>74</v>
      </c>
      <c r="BE663" t="s">
        <v>12142</v>
      </c>
      <c r="BF663" t="str">
        <f>HYPERLINK("http://dx.doi.org/10.11646/zootaxa.2826.1.2","http://dx.doi.org/10.11646/zootaxa.2826.1.2")</f>
        <v>http://dx.doi.org/10.11646/zootaxa.2826.1.2</v>
      </c>
      <c r="BG663" t="s">
        <v>74</v>
      </c>
      <c r="BH663" t="s">
        <v>74</v>
      </c>
      <c r="BI663">
        <v>12</v>
      </c>
      <c r="BJ663" t="s">
        <v>3232</v>
      </c>
      <c r="BK663" t="s">
        <v>100</v>
      </c>
      <c r="BL663" t="s">
        <v>3232</v>
      </c>
      <c r="BM663" t="s">
        <v>12143</v>
      </c>
      <c r="BN663" t="s">
        <v>74</v>
      </c>
      <c r="BO663" t="s">
        <v>74</v>
      </c>
      <c r="BP663" t="s">
        <v>74</v>
      </c>
      <c r="BQ663" t="s">
        <v>74</v>
      </c>
      <c r="BR663" t="s">
        <v>103</v>
      </c>
      <c r="BS663" t="s">
        <v>12144</v>
      </c>
      <c r="BT663" t="str">
        <f>HYPERLINK("https%3A%2F%2Fwww.webofscience.com%2Fwos%2Fwoscc%2Ffull-record%2FWOS:000289665900002","View Full Record in Web of Science")</f>
        <v>View Full Record in Web of Science</v>
      </c>
    </row>
    <row r="664" spans="1:72" x14ac:dyDescent="0.15">
      <c r="A664" t="s">
        <v>72</v>
      </c>
      <c r="B664" t="s">
        <v>12145</v>
      </c>
      <c r="C664" t="s">
        <v>74</v>
      </c>
      <c r="D664" t="s">
        <v>74</v>
      </c>
      <c r="E664" t="s">
        <v>74</v>
      </c>
      <c r="F664" t="s">
        <v>12146</v>
      </c>
      <c r="G664" t="s">
        <v>74</v>
      </c>
      <c r="H664" t="s">
        <v>74</v>
      </c>
      <c r="I664" t="s">
        <v>12147</v>
      </c>
      <c r="J664" t="s">
        <v>108</v>
      </c>
      <c r="K664" t="s">
        <v>74</v>
      </c>
      <c r="L664" t="s">
        <v>74</v>
      </c>
      <c r="M664" t="s">
        <v>78</v>
      </c>
      <c r="N664" t="s">
        <v>79</v>
      </c>
      <c r="O664" t="s">
        <v>74</v>
      </c>
      <c r="P664" t="s">
        <v>74</v>
      </c>
      <c r="Q664" t="s">
        <v>74</v>
      </c>
      <c r="R664" t="s">
        <v>74</v>
      </c>
      <c r="S664" t="s">
        <v>74</v>
      </c>
      <c r="T664" t="s">
        <v>74</v>
      </c>
      <c r="U664" t="s">
        <v>12148</v>
      </c>
      <c r="V664" t="s">
        <v>12149</v>
      </c>
      <c r="W664" t="s">
        <v>12150</v>
      </c>
      <c r="X664" t="s">
        <v>12151</v>
      </c>
      <c r="Y664" t="s">
        <v>12152</v>
      </c>
      <c r="Z664" t="s">
        <v>12153</v>
      </c>
      <c r="AA664" t="s">
        <v>12154</v>
      </c>
      <c r="AB664" t="s">
        <v>12155</v>
      </c>
      <c r="AC664" t="s">
        <v>12156</v>
      </c>
      <c r="AD664" t="s">
        <v>12157</v>
      </c>
      <c r="AE664" t="s">
        <v>12158</v>
      </c>
      <c r="AF664" t="s">
        <v>74</v>
      </c>
      <c r="AG664">
        <v>18</v>
      </c>
      <c r="AH664">
        <v>53</v>
      </c>
      <c r="AI664">
        <v>56</v>
      </c>
      <c r="AJ664">
        <v>1</v>
      </c>
      <c r="AK664">
        <v>5</v>
      </c>
      <c r="AL664" t="s">
        <v>120</v>
      </c>
      <c r="AM664" t="s">
        <v>121</v>
      </c>
      <c r="AN664" t="s">
        <v>122</v>
      </c>
      <c r="AO664" t="s">
        <v>123</v>
      </c>
      <c r="AP664" t="s">
        <v>74</v>
      </c>
      <c r="AQ664" t="s">
        <v>74</v>
      </c>
      <c r="AR664" t="s">
        <v>125</v>
      </c>
      <c r="AS664" t="s">
        <v>126</v>
      </c>
      <c r="AT664" t="s">
        <v>12159</v>
      </c>
      <c r="AU664">
        <v>2011</v>
      </c>
      <c r="AV664">
        <v>38</v>
      </c>
      <c r="AW664" t="s">
        <v>74</v>
      </c>
      <c r="AX664" t="s">
        <v>74</v>
      </c>
      <c r="AY664" t="s">
        <v>74</v>
      </c>
      <c r="AZ664" t="s">
        <v>74</v>
      </c>
      <c r="BA664" t="s">
        <v>74</v>
      </c>
      <c r="BB664" t="s">
        <v>74</v>
      </c>
      <c r="BC664" t="s">
        <v>74</v>
      </c>
      <c r="BD664" t="s">
        <v>12160</v>
      </c>
      <c r="BE664" t="s">
        <v>12161</v>
      </c>
      <c r="BF664" t="str">
        <f>HYPERLINK("http://dx.doi.org/10.1029/2011GL046724","http://dx.doi.org/10.1029/2011GL046724")</f>
        <v>http://dx.doi.org/10.1029/2011GL046724</v>
      </c>
      <c r="BG664" t="s">
        <v>74</v>
      </c>
      <c r="BH664" t="s">
        <v>74</v>
      </c>
      <c r="BI664">
        <v>7</v>
      </c>
      <c r="BJ664" t="s">
        <v>130</v>
      </c>
      <c r="BK664" t="s">
        <v>100</v>
      </c>
      <c r="BL664" t="s">
        <v>131</v>
      </c>
      <c r="BM664" t="s">
        <v>12162</v>
      </c>
      <c r="BN664" t="s">
        <v>74</v>
      </c>
      <c r="BO664" t="s">
        <v>74</v>
      </c>
      <c r="BP664" t="s">
        <v>74</v>
      </c>
      <c r="BQ664" t="s">
        <v>74</v>
      </c>
      <c r="BR664" t="s">
        <v>103</v>
      </c>
      <c r="BS664" t="s">
        <v>12163</v>
      </c>
      <c r="BT664" t="str">
        <f>HYPERLINK("https%3A%2F%2Fwww.webofscience.com%2Fwos%2Fwoscc%2Ffull-record%2FWOS:000289854100001","View Full Record in Web of Science")</f>
        <v>View Full Record in Web of Science</v>
      </c>
    </row>
    <row r="665" spans="1:72" x14ac:dyDescent="0.15">
      <c r="A665" t="s">
        <v>72</v>
      </c>
      <c r="B665" t="s">
        <v>12164</v>
      </c>
      <c r="C665" t="s">
        <v>74</v>
      </c>
      <c r="D665" t="s">
        <v>74</v>
      </c>
      <c r="E665" t="s">
        <v>74</v>
      </c>
      <c r="F665" t="s">
        <v>12165</v>
      </c>
      <c r="G665" t="s">
        <v>74</v>
      </c>
      <c r="H665" t="s">
        <v>74</v>
      </c>
      <c r="I665" t="s">
        <v>12166</v>
      </c>
      <c r="J665" t="s">
        <v>373</v>
      </c>
      <c r="K665" t="s">
        <v>74</v>
      </c>
      <c r="L665" t="s">
        <v>74</v>
      </c>
      <c r="M665" t="s">
        <v>78</v>
      </c>
      <c r="N665" t="s">
        <v>79</v>
      </c>
      <c r="O665" t="s">
        <v>74</v>
      </c>
      <c r="P665" t="s">
        <v>74</v>
      </c>
      <c r="Q665" t="s">
        <v>74</v>
      </c>
      <c r="R665" t="s">
        <v>74</v>
      </c>
      <c r="S665" t="s">
        <v>74</v>
      </c>
      <c r="T665" t="s">
        <v>74</v>
      </c>
      <c r="U665" t="s">
        <v>12167</v>
      </c>
      <c r="V665" t="s">
        <v>12168</v>
      </c>
      <c r="W665" t="s">
        <v>12169</v>
      </c>
      <c r="X665" t="s">
        <v>12170</v>
      </c>
      <c r="Y665" t="s">
        <v>12171</v>
      </c>
      <c r="Z665" t="s">
        <v>6441</v>
      </c>
      <c r="AA665" t="s">
        <v>12172</v>
      </c>
      <c r="AB665" t="s">
        <v>12173</v>
      </c>
      <c r="AC665" t="s">
        <v>12174</v>
      </c>
      <c r="AD665" t="s">
        <v>12175</v>
      </c>
      <c r="AE665" t="s">
        <v>12176</v>
      </c>
      <c r="AF665" t="s">
        <v>74</v>
      </c>
      <c r="AG665">
        <v>128</v>
      </c>
      <c r="AH665">
        <v>171</v>
      </c>
      <c r="AI665">
        <v>178</v>
      </c>
      <c r="AJ665">
        <v>0</v>
      </c>
      <c r="AK665">
        <v>14</v>
      </c>
      <c r="AL665" t="s">
        <v>120</v>
      </c>
      <c r="AM665" t="s">
        <v>121</v>
      </c>
      <c r="AN665" t="s">
        <v>122</v>
      </c>
      <c r="AO665" t="s">
        <v>385</v>
      </c>
      <c r="AP665" t="s">
        <v>386</v>
      </c>
      <c r="AQ665" t="s">
        <v>74</v>
      </c>
      <c r="AR665" t="s">
        <v>387</v>
      </c>
      <c r="AS665" t="s">
        <v>388</v>
      </c>
      <c r="AT665" t="s">
        <v>12159</v>
      </c>
      <c r="AU665">
        <v>2011</v>
      </c>
      <c r="AV665">
        <v>116</v>
      </c>
      <c r="AW665" t="s">
        <v>74</v>
      </c>
      <c r="AX665" t="s">
        <v>74</v>
      </c>
      <c r="AY665" t="s">
        <v>74</v>
      </c>
      <c r="AZ665" t="s">
        <v>74</v>
      </c>
      <c r="BA665" t="s">
        <v>74</v>
      </c>
      <c r="BB665" t="s">
        <v>74</v>
      </c>
      <c r="BC665" t="s">
        <v>74</v>
      </c>
      <c r="BD665" t="s">
        <v>12177</v>
      </c>
      <c r="BE665" t="s">
        <v>12178</v>
      </c>
      <c r="BF665" t="str">
        <f>HYPERLINK("http://dx.doi.org/10.1029/2010JA016233","http://dx.doi.org/10.1029/2010JA016233")</f>
        <v>http://dx.doi.org/10.1029/2010JA016233</v>
      </c>
      <c r="BG665" t="s">
        <v>74</v>
      </c>
      <c r="BH665" t="s">
        <v>74</v>
      </c>
      <c r="BI665">
        <v>17</v>
      </c>
      <c r="BJ665" t="s">
        <v>391</v>
      </c>
      <c r="BK665" t="s">
        <v>100</v>
      </c>
      <c r="BL665" t="s">
        <v>391</v>
      </c>
      <c r="BM665" t="s">
        <v>12179</v>
      </c>
      <c r="BN665" t="s">
        <v>74</v>
      </c>
      <c r="BO665" t="s">
        <v>594</v>
      </c>
      <c r="BP665" t="s">
        <v>74</v>
      </c>
      <c r="BQ665" t="s">
        <v>74</v>
      </c>
      <c r="BR665" t="s">
        <v>103</v>
      </c>
      <c r="BS665" t="s">
        <v>12180</v>
      </c>
      <c r="BT665" t="str">
        <f>HYPERLINK("https%3A%2F%2Fwww.webofscience.com%2Fwos%2Fwoscc%2Ffull-record%2FWOS:000289854600008","View Full Record in Web of Science")</f>
        <v>View Full Record in Web of Science</v>
      </c>
    </row>
    <row r="666" spans="1:72" x14ac:dyDescent="0.15">
      <c r="A666" t="s">
        <v>72</v>
      </c>
      <c r="B666" t="s">
        <v>12181</v>
      </c>
      <c r="C666" t="s">
        <v>74</v>
      </c>
      <c r="D666" t="s">
        <v>74</v>
      </c>
      <c r="E666" t="s">
        <v>74</v>
      </c>
      <c r="F666" t="s">
        <v>12182</v>
      </c>
      <c r="G666" t="s">
        <v>74</v>
      </c>
      <c r="H666" t="s">
        <v>74</v>
      </c>
      <c r="I666" t="s">
        <v>12183</v>
      </c>
      <c r="J666" t="s">
        <v>373</v>
      </c>
      <c r="K666" t="s">
        <v>74</v>
      </c>
      <c r="L666" t="s">
        <v>74</v>
      </c>
      <c r="M666" t="s">
        <v>78</v>
      </c>
      <c r="N666" t="s">
        <v>79</v>
      </c>
      <c r="O666" t="s">
        <v>74</v>
      </c>
      <c r="P666" t="s">
        <v>74</v>
      </c>
      <c r="Q666" t="s">
        <v>74</v>
      </c>
      <c r="R666" t="s">
        <v>74</v>
      </c>
      <c r="S666" t="s">
        <v>74</v>
      </c>
      <c r="T666" t="s">
        <v>74</v>
      </c>
      <c r="U666" t="s">
        <v>12184</v>
      </c>
      <c r="V666" t="s">
        <v>12185</v>
      </c>
      <c r="W666" t="s">
        <v>12186</v>
      </c>
      <c r="X666" t="s">
        <v>12187</v>
      </c>
      <c r="Y666" t="s">
        <v>12171</v>
      </c>
      <c r="Z666" t="s">
        <v>6441</v>
      </c>
      <c r="AA666" t="s">
        <v>12188</v>
      </c>
      <c r="AB666" t="s">
        <v>11850</v>
      </c>
      <c r="AC666" t="s">
        <v>12189</v>
      </c>
      <c r="AD666" t="s">
        <v>12190</v>
      </c>
      <c r="AE666" t="s">
        <v>12191</v>
      </c>
      <c r="AF666" t="s">
        <v>74</v>
      </c>
      <c r="AG666">
        <v>59</v>
      </c>
      <c r="AH666">
        <v>103</v>
      </c>
      <c r="AI666">
        <v>107</v>
      </c>
      <c r="AJ666">
        <v>0</v>
      </c>
      <c r="AK666">
        <v>9</v>
      </c>
      <c r="AL666" t="s">
        <v>120</v>
      </c>
      <c r="AM666" t="s">
        <v>121</v>
      </c>
      <c r="AN666" t="s">
        <v>122</v>
      </c>
      <c r="AO666" t="s">
        <v>385</v>
      </c>
      <c r="AP666" t="s">
        <v>386</v>
      </c>
      <c r="AQ666" t="s">
        <v>74</v>
      </c>
      <c r="AR666" t="s">
        <v>387</v>
      </c>
      <c r="AS666" t="s">
        <v>388</v>
      </c>
      <c r="AT666" t="s">
        <v>12159</v>
      </c>
      <c r="AU666">
        <v>2011</v>
      </c>
      <c r="AV666">
        <v>116</v>
      </c>
      <c r="AW666" t="s">
        <v>74</v>
      </c>
      <c r="AX666" t="s">
        <v>74</v>
      </c>
      <c r="AY666" t="s">
        <v>74</v>
      </c>
      <c r="AZ666" t="s">
        <v>74</v>
      </c>
      <c r="BA666" t="s">
        <v>74</v>
      </c>
      <c r="BB666" t="s">
        <v>74</v>
      </c>
      <c r="BC666" t="s">
        <v>74</v>
      </c>
      <c r="BD666" t="s">
        <v>12192</v>
      </c>
      <c r="BE666" t="s">
        <v>12193</v>
      </c>
      <c r="BF666" t="str">
        <f>HYPERLINK("http://dx.doi.org/10.1029/2010JA016232","http://dx.doi.org/10.1029/2010JA016232")</f>
        <v>http://dx.doi.org/10.1029/2010JA016232</v>
      </c>
      <c r="BG666" t="s">
        <v>74</v>
      </c>
      <c r="BH666" t="s">
        <v>74</v>
      </c>
      <c r="BI666">
        <v>18</v>
      </c>
      <c r="BJ666" t="s">
        <v>391</v>
      </c>
      <c r="BK666" t="s">
        <v>100</v>
      </c>
      <c r="BL666" t="s">
        <v>391</v>
      </c>
      <c r="BM666" t="s">
        <v>12179</v>
      </c>
      <c r="BN666" t="s">
        <v>74</v>
      </c>
      <c r="BO666" t="s">
        <v>594</v>
      </c>
      <c r="BP666" t="s">
        <v>74</v>
      </c>
      <c r="BQ666" t="s">
        <v>74</v>
      </c>
      <c r="BR666" t="s">
        <v>103</v>
      </c>
      <c r="BS666" t="s">
        <v>12194</v>
      </c>
      <c r="BT666" t="str">
        <f>HYPERLINK("https%3A%2F%2Fwww.webofscience.com%2Fwos%2Fwoscc%2Ffull-record%2FWOS:000289854600007","View Full Record in Web of Science")</f>
        <v>View Full Record in Web of Science</v>
      </c>
    </row>
    <row r="667" spans="1:72" x14ac:dyDescent="0.15">
      <c r="A667" t="s">
        <v>72</v>
      </c>
      <c r="B667" t="s">
        <v>12195</v>
      </c>
      <c r="C667" t="s">
        <v>74</v>
      </c>
      <c r="D667" t="s">
        <v>74</v>
      </c>
      <c r="E667" t="s">
        <v>74</v>
      </c>
      <c r="F667" t="s">
        <v>12196</v>
      </c>
      <c r="G667" t="s">
        <v>74</v>
      </c>
      <c r="H667" t="s">
        <v>74</v>
      </c>
      <c r="I667" t="s">
        <v>12197</v>
      </c>
      <c r="J667" t="s">
        <v>157</v>
      </c>
      <c r="K667" t="s">
        <v>74</v>
      </c>
      <c r="L667" t="s">
        <v>74</v>
      </c>
      <c r="M667" t="s">
        <v>78</v>
      </c>
      <c r="N667" t="s">
        <v>79</v>
      </c>
      <c r="O667" t="s">
        <v>74</v>
      </c>
      <c r="P667" t="s">
        <v>74</v>
      </c>
      <c r="Q667" t="s">
        <v>74</v>
      </c>
      <c r="R667" t="s">
        <v>74</v>
      </c>
      <c r="S667" t="s">
        <v>74</v>
      </c>
      <c r="T667" t="s">
        <v>74</v>
      </c>
      <c r="U667" t="s">
        <v>12198</v>
      </c>
      <c r="V667" t="s">
        <v>12199</v>
      </c>
      <c r="W667" t="s">
        <v>12200</v>
      </c>
      <c r="X667" t="s">
        <v>12201</v>
      </c>
      <c r="Y667" t="s">
        <v>12202</v>
      </c>
      <c r="Z667" t="s">
        <v>12203</v>
      </c>
      <c r="AA667" t="s">
        <v>12204</v>
      </c>
      <c r="AB667" t="s">
        <v>12205</v>
      </c>
      <c r="AC667" t="s">
        <v>12206</v>
      </c>
      <c r="AD667" t="s">
        <v>12207</v>
      </c>
      <c r="AE667" t="s">
        <v>12208</v>
      </c>
      <c r="AF667" t="s">
        <v>74</v>
      </c>
      <c r="AG667">
        <v>80</v>
      </c>
      <c r="AH667">
        <v>36</v>
      </c>
      <c r="AI667">
        <v>37</v>
      </c>
      <c r="AJ667">
        <v>2</v>
      </c>
      <c r="AK667">
        <v>25</v>
      </c>
      <c r="AL667" t="s">
        <v>169</v>
      </c>
      <c r="AM667" t="s">
        <v>170</v>
      </c>
      <c r="AN667" t="s">
        <v>171</v>
      </c>
      <c r="AO667" t="s">
        <v>172</v>
      </c>
      <c r="AP667" t="s">
        <v>74</v>
      </c>
      <c r="AQ667" t="s">
        <v>74</v>
      </c>
      <c r="AR667" t="s">
        <v>157</v>
      </c>
      <c r="AS667" t="s">
        <v>173</v>
      </c>
      <c r="AT667" t="s">
        <v>12159</v>
      </c>
      <c r="AU667">
        <v>2011</v>
      </c>
      <c r="AV667">
        <v>6</v>
      </c>
      <c r="AW667">
        <v>4</v>
      </c>
      <c r="AX667" t="s">
        <v>74</v>
      </c>
      <c r="AY667" t="s">
        <v>74</v>
      </c>
      <c r="AZ667" t="s">
        <v>74</v>
      </c>
      <c r="BA667" t="s">
        <v>74</v>
      </c>
      <c r="BB667" t="s">
        <v>74</v>
      </c>
      <c r="BC667" t="s">
        <v>74</v>
      </c>
      <c r="BD667" t="s">
        <v>12209</v>
      </c>
      <c r="BE667" t="s">
        <v>12210</v>
      </c>
      <c r="BF667" t="str">
        <f>HYPERLINK("http://dx.doi.org/10.1371/journal.pone.0018912","http://dx.doi.org/10.1371/journal.pone.0018912")</f>
        <v>http://dx.doi.org/10.1371/journal.pone.0018912</v>
      </c>
      <c r="BG667" t="s">
        <v>74</v>
      </c>
      <c r="BH667" t="s">
        <v>74</v>
      </c>
      <c r="BI667">
        <v>12</v>
      </c>
      <c r="BJ667" t="s">
        <v>177</v>
      </c>
      <c r="BK667" t="s">
        <v>100</v>
      </c>
      <c r="BL667" t="s">
        <v>178</v>
      </c>
      <c r="BM667" t="s">
        <v>12211</v>
      </c>
      <c r="BN667">
        <v>21526147</v>
      </c>
      <c r="BO667" t="s">
        <v>198</v>
      </c>
      <c r="BP667" t="s">
        <v>74</v>
      </c>
      <c r="BQ667" t="s">
        <v>74</v>
      </c>
      <c r="BR667" t="s">
        <v>103</v>
      </c>
      <c r="BS667" t="s">
        <v>12212</v>
      </c>
      <c r="BT667" t="str">
        <f>HYPERLINK("https%3A%2F%2Fwww.webofscience.com%2Fwos%2Fwoscc%2Ffull-record%2FWOS:000289671100037","View Full Record in Web of Science")</f>
        <v>View Full Record in Web of Science</v>
      </c>
    </row>
    <row r="668" spans="1:72" x14ac:dyDescent="0.15">
      <c r="A668" t="s">
        <v>72</v>
      </c>
      <c r="B668" t="s">
        <v>12213</v>
      </c>
      <c r="C668" t="s">
        <v>74</v>
      </c>
      <c r="D668" t="s">
        <v>74</v>
      </c>
      <c r="E668" t="s">
        <v>74</v>
      </c>
      <c r="F668" t="s">
        <v>12214</v>
      </c>
      <c r="G668" t="s">
        <v>74</v>
      </c>
      <c r="H668" t="s">
        <v>74</v>
      </c>
      <c r="I668" t="s">
        <v>12215</v>
      </c>
      <c r="J668" t="s">
        <v>157</v>
      </c>
      <c r="K668" t="s">
        <v>74</v>
      </c>
      <c r="L668" t="s">
        <v>74</v>
      </c>
      <c r="M668" t="s">
        <v>78</v>
      </c>
      <c r="N668" t="s">
        <v>79</v>
      </c>
      <c r="O668" t="s">
        <v>74</v>
      </c>
      <c r="P668" t="s">
        <v>74</v>
      </c>
      <c r="Q668" t="s">
        <v>74</v>
      </c>
      <c r="R668" t="s">
        <v>74</v>
      </c>
      <c r="S668" t="s">
        <v>74</v>
      </c>
      <c r="T668" t="s">
        <v>74</v>
      </c>
      <c r="U668" t="s">
        <v>12216</v>
      </c>
      <c r="V668" t="s">
        <v>12217</v>
      </c>
      <c r="W668" t="s">
        <v>12218</v>
      </c>
      <c r="X668" t="s">
        <v>12219</v>
      </c>
      <c r="Y668" t="s">
        <v>12220</v>
      </c>
      <c r="Z668" t="s">
        <v>12221</v>
      </c>
      <c r="AA668" t="s">
        <v>12222</v>
      </c>
      <c r="AB668" t="s">
        <v>12223</v>
      </c>
      <c r="AC668" t="s">
        <v>12224</v>
      </c>
      <c r="AD668" t="s">
        <v>12225</v>
      </c>
      <c r="AE668" t="s">
        <v>12226</v>
      </c>
      <c r="AF668" t="s">
        <v>74</v>
      </c>
      <c r="AG668">
        <v>69</v>
      </c>
      <c r="AH668">
        <v>99</v>
      </c>
      <c r="AI668">
        <v>103</v>
      </c>
      <c r="AJ668">
        <v>0</v>
      </c>
      <c r="AK668">
        <v>40</v>
      </c>
      <c r="AL668" t="s">
        <v>169</v>
      </c>
      <c r="AM668" t="s">
        <v>170</v>
      </c>
      <c r="AN668" t="s">
        <v>171</v>
      </c>
      <c r="AO668" t="s">
        <v>172</v>
      </c>
      <c r="AP668" t="s">
        <v>74</v>
      </c>
      <c r="AQ668" t="s">
        <v>74</v>
      </c>
      <c r="AR668" t="s">
        <v>157</v>
      </c>
      <c r="AS668" t="s">
        <v>173</v>
      </c>
      <c r="AT668" t="s">
        <v>12227</v>
      </c>
      <c r="AU668">
        <v>2011</v>
      </c>
      <c r="AV668">
        <v>6</v>
      </c>
      <c r="AW668">
        <v>4</v>
      </c>
      <c r="AX668" t="s">
        <v>74</v>
      </c>
      <c r="AY668" t="s">
        <v>74</v>
      </c>
      <c r="AZ668" t="s">
        <v>74</v>
      </c>
      <c r="BA668" t="s">
        <v>74</v>
      </c>
      <c r="BB668" t="s">
        <v>74</v>
      </c>
      <c r="BC668" t="s">
        <v>74</v>
      </c>
      <c r="BD668" t="s">
        <v>12228</v>
      </c>
      <c r="BE668" t="s">
        <v>12229</v>
      </c>
      <c r="BF668" t="str">
        <f>HYPERLINK("http://dx.doi.org/10.1371/journal.pone.0018911","http://dx.doi.org/10.1371/journal.pone.0018911")</f>
        <v>http://dx.doi.org/10.1371/journal.pone.0018911</v>
      </c>
      <c r="BG668" t="s">
        <v>74</v>
      </c>
      <c r="BH668" t="s">
        <v>74</v>
      </c>
      <c r="BI668">
        <v>9</v>
      </c>
      <c r="BJ668" t="s">
        <v>177</v>
      </c>
      <c r="BK668" t="s">
        <v>100</v>
      </c>
      <c r="BL668" t="s">
        <v>178</v>
      </c>
      <c r="BM668" t="s">
        <v>12230</v>
      </c>
      <c r="BN668">
        <v>21533117</v>
      </c>
      <c r="BO668" t="s">
        <v>198</v>
      </c>
      <c r="BP668" t="s">
        <v>74</v>
      </c>
      <c r="BQ668" t="s">
        <v>74</v>
      </c>
      <c r="BR668" t="s">
        <v>103</v>
      </c>
      <c r="BS668" t="s">
        <v>12231</v>
      </c>
      <c r="BT668" t="str">
        <f>HYPERLINK("https%3A%2F%2Fwww.webofscience.com%2Fwos%2Fwoscc%2Ffull-record%2FWOS:000289620100028","View Full Record in Web of Science")</f>
        <v>View Full Record in Web of Science</v>
      </c>
    </row>
    <row r="669" spans="1:72" x14ac:dyDescent="0.15">
      <c r="A669" t="s">
        <v>72</v>
      </c>
      <c r="B669" t="s">
        <v>12232</v>
      </c>
      <c r="C669" t="s">
        <v>74</v>
      </c>
      <c r="D669" t="s">
        <v>74</v>
      </c>
      <c r="E669" t="s">
        <v>74</v>
      </c>
      <c r="F669" t="s">
        <v>12233</v>
      </c>
      <c r="G669" t="s">
        <v>74</v>
      </c>
      <c r="H669" t="s">
        <v>74</v>
      </c>
      <c r="I669" t="s">
        <v>12234</v>
      </c>
      <c r="J669" t="s">
        <v>2229</v>
      </c>
      <c r="K669" t="s">
        <v>74</v>
      </c>
      <c r="L669" t="s">
        <v>74</v>
      </c>
      <c r="M669" t="s">
        <v>78</v>
      </c>
      <c r="N669" t="s">
        <v>79</v>
      </c>
      <c r="O669" t="s">
        <v>74</v>
      </c>
      <c r="P669" t="s">
        <v>74</v>
      </c>
      <c r="Q669" t="s">
        <v>74</v>
      </c>
      <c r="R669" t="s">
        <v>74</v>
      </c>
      <c r="S669" t="s">
        <v>74</v>
      </c>
      <c r="T669" t="s">
        <v>12235</v>
      </c>
      <c r="U669" t="s">
        <v>12236</v>
      </c>
      <c r="V669" t="s">
        <v>12237</v>
      </c>
      <c r="W669" t="s">
        <v>12238</v>
      </c>
      <c r="X669" t="s">
        <v>12239</v>
      </c>
      <c r="Y669" t="s">
        <v>12240</v>
      </c>
      <c r="Z669" t="s">
        <v>12241</v>
      </c>
      <c r="AA669" t="s">
        <v>12242</v>
      </c>
      <c r="AB669" t="s">
        <v>12243</v>
      </c>
      <c r="AC669" t="s">
        <v>12244</v>
      </c>
      <c r="AD669" t="s">
        <v>12245</v>
      </c>
      <c r="AE669" t="s">
        <v>12246</v>
      </c>
      <c r="AF669" t="s">
        <v>74</v>
      </c>
      <c r="AG669">
        <v>58</v>
      </c>
      <c r="AH669">
        <v>94</v>
      </c>
      <c r="AI669">
        <v>111</v>
      </c>
      <c r="AJ669">
        <v>2</v>
      </c>
      <c r="AK669">
        <v>38</v>
      </c>
      <c r="AL669" t="s">
        <v>308</v>
      </c>
      <c r="AM669" t="s">
        <v>309</v>
      </c>
      <c r="AN669" t="s">
        <v>310</v>
      </c>
      <c r="AO669" t="s">
        <v>2242</v>
      </c>
      <c r="AP669" t="s">
        <v>2243</v>
      </c>
      <c r="AQ669" t="s">
        <v>74</v>
      </c>
      <c r="AR669" t="s">
        <v>2244</v>
      </c>
      <c r="AS669" t="s">
        <v>2245</v>
      </c>
      <c r="AT669" t="s">
        <v>12247</v>
      </c>
      <c r="AU669">
        <v>2011</v>
      </c>
      <c r="AV669">
        <v>304</v>
      </c>
      <c r="AW669" t="s">
        <v>315</v>
      </c>
      <c r="AX669" t="s">
        <v>74</v>
      </c>
      <c r="AY669" t="s">
        <v>74</v>
      </c>
      <c r="AZ669" t="s">
        <v>74</v>
      </c>
      <c r="BA669" t="s">
        <v>74</v>
      </c>
      <c r="BB669">
        <v>455</v>
      </c>
      <c r="BC669">
        <v>467</v>
      </c>
      <c r="BD669" t="s">
        <v>74</v>
      </c>
      <c r="BE669" t="s">
        <v>12248</v>
      </c>
      <c r="BF669" t="str">
        <f>HYPERLINK("http://dx.doi.org/10.1016/j.epsl.2011.02.013","http://dx.doi.org/10.1016/j.epsl.2011.02.013")</f>
        <v>http://dx.doi.org/10.1016/j.epsl.2011.02.013</v>
      </c>
      <c r="BG669" t="s">
        <v>74</v>
      </c>
      <c r="BH669" t="s">
        <v>74</v>
      </c>
      <c r="BI669">
        <v>13</v>
      </c>
      <c r="BJ669" t="s">
        <v>488</v>
      </c>
      <c r="BK669" t="s">
        <v>100</v>
      </c>
      <c r="BL669" t="s">
        <v>488</v>
      </c>
      <c r="BM669" t="s">
        <v>12249</v>
      </c>
      <c r="BN669" t="s">
        <v>74</v>
      </c>
      <c r="BO669" t="s">
        <v>74</v>
      </c>
      <c r="BP669" t="s">
        <v>74</v>
      </c>
      <c r="BQ669" t="s">
        <v>74</v>
      </c>
      <c r="BR669" t="s">
        <v>103</v>
      </c>
      <c r="BS669" t="s">
        <v>12250</v>
      </c>
      <c r="BT669" t="str">
        <f>HYPERLINK("https%3A%2F%2Fwww.webofscience.com%2Fwos%2Fwoscc%2Ffull-record%2FWOS:000290839000016","View Full Record in Web of Science")</f>
        <v>View Full Record in Web of Science</v>
      </c>
    </row>
    <row r="670" spans="1:72" x14ac:dyDescent="0.15">
      <c r="A670" t="s">
        <v>72</v>
      </c>
      <c r="B670" t="s">
        <v>12251</v>
      </c>
      <c r="C670" t="s">
        <v>74</v>
      </c>
      <c r="D670" t="s">
        <v>74</v>
      </c>
      <c r="E670" t="s">
        <v>74</v>
      </c>
      <c r="F670" t="s">
        <v>12252</v>
      </c>
      <c r="G670" t="s">
        <v>74</v>
      </c>
      <c r="H670" t="s">
        <v>74</v>
      </c>
      <c r="I670" t="s">
        <v>12253</v>
      </c>
      <c r="J670" t="s">
        <v>1263</v>
      </c>
      <c r="K670" t="s">
        <v>74</v>
      </c>
      <c r="L670" t="s">
        <v>74</v>
      </c>
      <c r="M670" t="s">
        <v>78</v>
      </c>
      <c r="N670" t="s">
        <v>79</v>
      </c>
      <c r="O670" t="s">
        <v>74</v>
      </c>
      <c r="P670" t="s">
        <v>74</v>
      </c>
      <c r="Q670" t="s">
        <v>74</v>
      </c>
      <c r="R670" t="s">
        <v>74</v>
      </c>
      <c r="S670" t="s">
        <v>74</v>
      </c>
      <c r="T670" t="s">
        <v>74</v>
      </c>
      <c r="U670" t="s">
        <v>12254</v>
      </c>
      <c r="V670" t="s">
        <v>12255</v>
      </c>
      <c r="W670" t="s">
        <v>74</v>
      </c>
      <c r="X670" t="s">
        <v>74</v>
      </c>
      <c r="Y670" t="s">
        <v>12256</v>
      </c>
      <c r="Z670" t="s">
        <v>12257</v>
      </c>
      <c r="AA670" t="s">
        <v>74</v>
      </c>
      <c r="AB670" t="s">
        <v>74</v>
      </c>
      <c r="AC670" t="s">
        <v>74</v>
      </c>
      <c r="AD670" t="s">
        <v>74</v>
      </c>
      <c r="AE670" t="s">
        <v>74</v>
      </c>
      <c r="AF670" t="s">
        <v>74</v>
      </c>
      <c r="AG670">
        <v>23</v>
      </c>
      <c r="AH670">
        <v>61</v>
      </c>
      <c r="AI670">
        <v>67</v>
      </c>
      <c r="AJ670">
        <v>0</v>
      </c>
      <c r="AK670">
        <v>20</v>
      </c>
      <c r="AL670" t="s">
        <v>1275</v>
      </c>
      <c r="AM670" t="s">
        <v>1276</v>
      </c>
      <c r="AN670" t="s">
        <v>1277</v>
      </c>
      <c r="AO670" t="s">
        <v>1278</v>
      </c>
      <c r="AP670" t="s">
        <v>1279</v>
      </c>
      <c r="AQ670" t="s">
        <v>74</v>
      </c>
      <c r="AR670" t="s">
        <v>1280</v>
      </c>
      <c r="AS670" t="s">
        <v>1281</v>
      </c>
      <c r="AT670" t="s">
        <v>12247</v>
      </c>
      <c r="AU670">
        <v>2011</v>
      </c>
      <c r="AV670">
        <v>24</v>
      </c>
      <c r="AW670">
        <v>8</v>
      </c>
      <c r="AX670" t="s">
        <v>74</v>
      </c>
      <c r="AY670" t="s">
        <v>74</v>
      </c>
      <c r="AZ670" t="s">
        <v>74</v>
      </c>
      <c r="BA670" t="s">
        <v>74</v>
      </c>
      <c r="BB670">
        <v>2099</v>
      </c>
      <c r="BC670">
        <v>2115</v>
      </c>
      <c r="BD670" t="s">
        <v>74</v>
      </c>
      <c r="BE670" t="s">
        <v>12258</v>
      </c>
      <c r="BF670" t="str">
        <f>HYPERLINK("http://dx.doi.org/10.1175/2010JCLI3656.1","http://dx.doi.org/10.1175/2010JCLI3656.1")</f>
        <v>http://dx.doi.org/10.1175/2010JCLI3656.1</v>
      </c>
      <c r="BG670" t="s">
        <v>74</v>
      </c>
      <c r="BH670" t="s">
        <v>74</v>
      </c>
      <c r="BI670">
        <v>17</v>
      </c>
      <c r="BJ670" t="s">
        <v>248</v>
      </c>
      <c r="BK670" t="s">
        <v>100</v>
      </c>
      <c r="BL670" t="s">
        <v>248</v>
      </c>
      <c r="BM670" t="s">
        <v>12259</v>
      </c>
      <c r="BN670" t="s">
        <v>74</v>
      </c>
      <c r="BO670" t="s">
        <v>152</v>
      </c>
      <c r="BP670" t="s">
        <v>74</v>
      </c>
      <c r="BQ670" t="s">
        <v>74</v>
      </c>
      <c r="BR670" t="s">
        <v>103</v>
      </c>
      <c r="BS670" t="s">
        <v>12260</v>
      </c>
      <c r="BT670" t="str">
        <f>HYPERLINK("https%3A%2F%2Fwww.webofscience.com%2Fwos%2Fwoscc%2Ffull-record%2FWOS:000290000800005","View Full Record in Web of Science")</f>
        <v>View Full Record in Web of Science</v>
      </c>
    </row>
    <row r="671" spans="1:72" x14ac:dyDescent="0.15">
      <c r="A671" t="s">
        <v>72</v>
      </c>
      <c r="B671" t="s">
        <v>12261</v>
      </c>
      <c r="C671" t="s">
        <v>74</v>
      </c>
      <c r="D671" t="s">
        <v>74</v>
      </c>
      <c r="E671" t="s">
        <v>74</v>
      </c>
      <c r="F671" t="s">
        <v>12262</v>
      </c>
      <c r="G671" t="s">
        <v>74</v>
      </c>
      <c r="H671" t="s">
        <v>74</v>
      </c>
      <c r="I671" t="s">
        <v>12263</v>
      </c>
      <c r="J671" t="s">
        <v>12264</v>
      </c>
      <c r="K671" t="s">
        <v>74</v>
      </c>
      <c r="L671" t="s">
        <v>74</v>
      </c>
      <c r="M671" t="s">
        <v>78</v>
      </c>
      <c r="N671" t="s">
        <v>79</v>
      </c>
      <c r="O671" t="s">
        <v>74</v>
      </c>
      <c r="P671" t="s">
        <v>74</v>
      </c>
      <c r="Q671" t="s">
        <v>74</v>
      </c>
      <c r="R671" t="s">
        <v>74</v>
      </c>
      <c r="S671" t="s">
        <v>74</v>
      </c>
      <c r="T671" t="s">
        <v>12265</v>
      </c>
      <c r="U671" t="s">
        <v>12266</v>
      </c>
      <c r="V671" t="s">
        <v>12267</v>
      </c>
      <c r="W671" t="s">
        <v>12268</v>
      </c>
      <c r="X671" t="s">
        <v>12269</v>
      </c>
      <c r="Y671" t="s">
        <v>12270</v>
      </c>
      <c r="Z671" t="s">
        <v>12271</v>
      </c>
      <c r="AA671" t="s">
        <v>12272</v>
      </c>
      <c r="AB671" t="s">
        <v>12273</v>
      </c>
      <c r="AC671" t="s">
        <v>12274</v>
      </c>
      <c r="AD671" t="s">
        <v>12275</v>
      </c>
      <c r="AE671" t="s">
        <v>12276</v>
      </c>
      <c r="AF671" t="s">
        <v>74</v>
      </c>
      <c r="AG671">
        <v>61</v>
      </c>
      <c r="AH671">
        <v>17</v>
      </c>
      <c r="AI671">
        <v>25</v>
      </c>
      <c r="AJ671">
        <v>2</v>
      </c>
      <c r="AK671">
        <v>25</v>
      </c>
      <c r="AL671" t="s">
        <v>12277</v>
      </c>
      <c r="AM671" t="s">
        <v>4873</v>
      </c>
      <c r="AN671" t="s">
        <v>12278</v>
      </c>
      <c r="AO671" t="s">
        <v>12279</v>
      </c>
      <c r="AP671" t="s">
        <v>74</v>
      </c>
      <c r="AQ671" t="s">
        <v>74</v>
      </c>
      <c r="AR671" t="s">
        <v>12280</v>
      </c>
      <c r="AS671" t="s">
        <v>12281</v>
      </c>
      <c r="AT671" t="s">
        <v>12247</v>
      </c>
      <c r="AU671">
        <v>2011</v>
      </c>
      <c r="AV671">
        <v>92</v>
      </c>
      <c r="AW671">
        <v>2</v>
      </c>
      <c r="AX671" t="s">
        <v>74</v>
      </c>
      <c r="AY671" t="s">
        <v>74</v>
      </c>
      <c r="AZ671" t="s">
        <v>74</v>
      </c>
      <c r="BA671" t="s">
        <v>74</v>
      </c>
      <c r="BB671">
        <v>352</v>
      </c>
      <c r="BC671">
        <v>366</v>
      </c>
      <c r="BD671" t="s">
        <v>74</v>
      </c>
      <c r="BE671" t="s">
        <v>12282</v>
      </c>
      <c r="BF671" t="str">
        <f>HYPERLINK("http://dx.doi.org/10.1644/10-MAMM-A-194.1","http://dx.doi.org/10.1644/10-MAMM-A-194.1")</f>
        <v>http://dx.doi.org/10.1644/10-MAMM-A-194.1</v>
      </c>
      <c r="BG671" t="s">
        <v>74</v>
      </c>
      <c r="BH671" t="s">
        <v>74</v>
      </c>
      <c r="BI671">
        <v>15</v>
      </c>
      <c r="BJ671" t="s">
        <v>3232</v>
      </c>
      <c r="BK671" t="s">
        <v>100</v>
      </c>
      <c r="BL671" t="s">
        <v>3232</v>
      </c>
      <c r="BM671" t="s">
        <v>12283</v>
      </c>
      <c r="BN671" t="s">
        <v>74</v>
      </c>
      <c r="BO671" t="s">
        <v>152</v>
      </c>
      <c r="BP671" t="s">
        <v>74</v>
      </c>
      <c r="BQ671" t="s">
        <v>74</v>
      </c>
      <c r="BR671" t="s">
        <v>103</v>
      </c>
      <c r="BS671" t="s">
        <v>12284</v>
      </c>
      <c r="BT671" t="str">
        <f>HYPERLINK("https%3A%2F%2Fwww.webofscience.com%2Fwos%2Fwoscc%2Ffull-record%2FWOS:000289869700010","View Full Record in Web of Science")</f>
        <v>View Full Record in Web of Science</v>
      </c>
    </row>
    <row r="672" spans="1:72" x14ac:dyDescent="0.15">
      <c r="A672" t="s">
        <v>72</v>
      </c>
      <c r="B672" t="s">
        <v>12285</v>
      </c>
      <c r="C672" t="s">
        <v>74</v>
      </c>
      <c r="D672" t="s">
        <v>74</v>
      </c>
      <c r="E672" t="s">
        <v>74</v>
      </c>
      <c r="F672" t="s">
        <v>12286</v>
      </c>
      <c r="G672" t="s">
        <v>74</v>
      </c>
      <c r="H672" t="s">
        <v>74</v>
      </c>
      <c r="I672" t="s">
        <v>12287</v>
      </c>
      <c r="J672" t="s">
        <v>108</v>
      </c>
      <c r="K672" t="s">
        <v>74</v>
      </c>
      <c r="L672" t="s">
        <v>74</v>
      </c>
      <c r="M672" t="s">
        <v>78</v>
      </c>
      <c r="N672" t="s">
        <v>79</v>
      </c>
      <c r="O672" t="s">
        <v>74</v>
      </c>
      <c r="P672" t="s">
        <v>74</v>
      </c>
      <c r="Q672" t="s">
        <v>74</v>
      </c>
      <c r="R672" t="s">
        <v>74</v>
      </c>
      <c r="S672" t="s">
        <v>74</v>
      </c>
      <c r="T672" t="s">
        <v>74</v>
      </c>
      <c r="U672" t="s">
        <v>12288</v>
      </c>
      <c r="V672" t="s">
        <v>12289</v>
      </c>
      <c r="W672" t="s">
        <v>12290</v>
      </c>
      <c r="X672" t="s">
        <v>12291</v>
      </c>
      <c r="Y672" t="s">
        <v>12292</v>
      </c>
      <c r="Z672" t="s">
        <v>12293</v>
      </c>
      <c r="AA672" t="s">
        <v>12294</v>
      </c>
      <c r="AB672" t="s">
        <v>12295</v>
      </c>
      <c r="AC672" t="s">
        <v>12296</v>
      </c>
      <c r="AD672" t="s">
        <v>12297</v>
      </c>
      <c r="AE672" t="s">
        <v>12298</v>
      </c>
      <c r="AF672" t="s">
        <v>74</v>
      </c>
      <c r="AG672">
        <v>35</v>
      </c>
      <c r="AH672">
        <v>63</v>
      </c>
      <c r="AI672">
        <v>66</v>
      </c>
      <c r="AJ672">
        <v>1</v>
      </c>
      <c r="AK672">
        <v>54</v>
      </c>
      <c r="AL672" t="s">
        <v>120</v>
      </c>
      <c r="AM672" t="s">
        <v>121</v>
      </c>
      <c r="AN672" t="s">
        <v>122</v>
      </c>
      <c r="AO672" t="s">
        <v>123</v>
      </c>
      <c r="AP672" t="s">
        <v>124</v>
      </c>
      <c r="AQ672" t="s">
        <v>74</v>
      </c>
      <c r="AR672" t="s">
        <v>125</v>
      </c>
      <c r="AS672" t="s">
        <v>126</v>
      </c>
      <c r="AT672" t="s">
        <v>12247</v>
      </c>
      <c r="AU672">
        <v>2011</v>
      </c>
      <c r="AV672">
        <v>38</v>
      </c>
      <c r="AW672" t="s">
        <v>74</v>
      </c>
      <c r="AX672" t="s">
        <v>74</v>
      </c>
      <c r="AY672" t="s">
        <v>74</v>
      </c>
      <c r="AZ672" t="s">
        <v>74</v>
      </c>
      <c r="BA672" t="s">
        <v>74</v>
      </c>
      <c r="BB672" t="s">
        <v>74</v>
      </c>
      <c r="BC672" t="s">
        <v>74</v>
      </c>
      <c r="BD672" t="s">
        <v>12299</v>
      </c>
      <c r="BE672" t="s">
        <v>12300</v>
      </c>
      <c r="BF672" t="str">
        <f>HYPERLINK("http://dx.doi.org/10.1029/2011GL047069","http://dx.doi.org/10.1029/2011GL047069")</f>
        <v>http://dx.doi.org/10.1029/2011GL047069</v>
      </c>
      <c r="BG672" t="s">
        <v>74</v>
      </c>
      <c r="BH672" t="s">
        <v>74</v>
      </c>
      <c r="BI672">
        <v>5</v>
      </c>
      <c r="BJ672" t="s">
        <v>130</v>
      </c>
      <c r="BK672" t="s">
        <v>100</v>
      </c>
      <c r="BL672" t="s">
        <v>131</v>
      </c>
      <c r="BM672" t="s">
        <v>12301</v>
      </c>
      <c r="BN672" t="s">
        <v>74</v>
      </c>
      <c r="BO672" t="s">
        <v>1025</v>
      </c>
      <c r="BP672" t="s">
        <v>74</v>
      </c>
      <c r="BQ672" t="s">
        <v>74</v>
      </c>
      <c r="BR672" t="s">
        <v>103</v>
      </c>
      <c r="BS672" t="s">
        <v>12302</v>
      </c>
      <c r="BT672" t="str">
        <f>HYPERLINK("https%3A%2F%2Fwww.webofscience.com%2Fwos%2Fwoscc%2Ffull-record%2FWOS:000289649800005","View Full Record in Web of Science")</f>
        <v>View Full Record in Web of Science</v>
      </c>
    </row>
    <row r="673" spans="1:72" x14ac:dyDescent="0.15">
      <c r="A673" t="s">
        <v>72</v>
      </c>
      <c r="B673" t="s">
        <v>12303</v>
      </c>
      <c r="C673" t="s">
        <v>74</v>
      </c>
      <c r="D673" t="s">
        <v>74</v>
      </c>
      <c r="E673" t="s">
        <v>74</v>
      </c>
      <c r="F673" t="s">
        <v>12304</v>
      </c>
      <c r="G673" t="s">
        <v>74</v>
      </c>
      <c r="H673" t="s">
        <v>74</v>
      </c>
      <c r="I673" t="s">
        <v>12305</v>
      </c>
      <c r="J673" t="s">
        <v>3115</v>
      </c>
      <c r="K673" t="s">
        <v>74</v>
      </c>
      <c r="L673" t="s">
        <v>74</v>
      </c>
      <c r="M673" t="s">
        <v>78</v>
      </c>
      <c r="N673" t="s">
        <v>79</v>
      </c>
      <c r="O673" t="s">
        <v>74</v>
      </c>
      <c r="P673" t="s">
        <v>74</v>
      </c>
      <c r="Q673" t="s">
        <v>74</v>
      </c>
      <c r="R673" t="s">
        <v>74</v>
      </c>
      <c r="S673" t="s">
        <v>74</v>
      </c>
      <c r="T673" t="s">
        <v>74</v>
      </c>
      <c r="U673" t="s">
        <v>12306</v>
      </c>
      <c r="V673" t="s">
        <v>12307</v>
      </c>
      <c r="W673" t="s">
        <v>12308</v>
      </c>
      <c r="X673" t="s">
        <v>12309</v>
      </c>
      <c r="Y673" t="s">
        <v>12310</v>
      </c>
      <c r="Z673" t="s">
        <v>12311</v>
      </c>
      <c r="AA673" t="s">
        <v>74</v>
      </c>
      <c r="AB673" t="s">
        <v>74</v>
      </c>
      <c r="AC673" t="s">
        <v>12312</v>
      </c>
      <c r="AD673" t="s">
        <v>12313</v>
      </c>
      <c r="AE673" t="s">
        <v>12314</v>
      </c>
      <c r="AF673" t="s">
        <v>74</v>
      </c>
      <c r="AG673">
        <v>23</v>
      </c>
      <c r="AH673">
        <v>341</v>
      </c>
      <c r="AI673">
        <v>372</v>
      </c>
      <c r="AJ673">
        <v>9</v>
      </c>
      <c r="AK673">
        <v>112</v>
      </c>
      <c r="AL673" t="s">
        <v>3127</v>
      </c>
      <c r="AM673" t="s">
        <v>121</v>
      </c>
      <c r="AN673" t="s">
        <v>3128</v>
      </c>
      <c r="AO673" t="s">
        <v>3129</v>
      </c>
      <c r="AP673" t="s">
        <v>3130</v>
      </c>
      <c r="AQ673" t="s">
        <v>74</v>
      </c>
      <c r="AR673" t="s">
        <v>3115</v>
      </c>
      <c r="AS673" t="s">
        <v>3131</v>
      </c>
      <c r="AT673" t="s">
        <v>12247</v>
      </c>
      <c r="AU673">
        <v>2011</v>
      </c>
      <c r="AV673">
        <v>332</v>
      </c>
      <c r="AW673">
        <v>6027</v>
      </c>
      <c r="AX673" t="s">
        <v>74</v>
      </c>
      <c r="AY673" t="s">
        <v>74</v>
      </c>
      <c r="AZ673" t="s">
        <v>74</v>
      </c>
      <c r="BA673" t="s">
        <v>74</v>
      </c>
      <c r="BB673">
        <v>318</v>
      </c>
      <c r="BC673">
        <v>322</v>
      </c>
      <c r="BD673" t="s">
        <v>74</v>
      </c>
      <c r="BE673" t="s">
        <v>12315</v>
      </c>
      <c r="BF673" t="str">
        <f>HYPERLINK("http://dx.doi.org/10.1126/science.1201515","http://dx.doi.org/10.1126/science.1201515")</f>
        <v>http://dx.doi.org/10.1126/science.1201515</v>
      </c>
      <c r="BG673" t="s">
        <v>74</v>
      </c>
      <c r="BH673" t="s">
        <v>74</v>
      </c>
      <c r="BI673">
        <v>5</v>
      </c>
      <c r="BJ673" t="s">
        <v>177</v>
      </c>
      <c r="BK673" t="s">
        <v>100</v>
      </c>
      <c r="BL673" t="s">
        <v>178</v>
      </c>
      <c r="BM673" t="s">
        <v>12316</v>
      </c>
      <c r="BN673">
        <v>21393512</v>
      </c>
      <c r="BO673" t="s">
        <v>74</v>
      </c>
      <c r="BP673" t="s">
        <v>74</v>
      </c>
      <c r="BQ673" t="s">
        <v>74</v>
      </c>
      <c r="BR673" t="s">
        <v>103</v>
      </c>
      <c r="BS673" t="s">
        <v>12317</v>
      </c>
      <c r="BT673" t="str">
        <f>HYPERLINK("https%3A%2F%2Fwww.webofscience.com%2Fwos%2Fwoscc%2Ffull-record%2FWOS:000289516600035","View Full Record in Web of Science")</f>
        <v>View Full Record in Web of Science</v>
      </c>
    </row>
    <row r="674" spans="1:72" x14ac:dyDescent="0.15">
      <c r="A674" t="s">
        <v>72</v>
      </c>
      <c r="B674" t="s">
        <v>12318</v>
      </c>
      <c r="C674" t="s">
        <v>74</v>
      </c>
      <c r="D674" t="s">
        <v>74</v>
      </c>
      <c r="E674" t="s">
        <v>74</v>
      </c>
      <c r="F674" t="s">
        <v>12319</v>
      </c>
      <c r="G674" t="s">
        <v>74</v>
      </c>
      <c r="H674" t="s">
        <v>74</v>
      </c>
      <c r="I674" t="s">
        <v>12320</v>
      </c>
      <c r="J674" t="s">
        <v>6981</v>
      </c>
      <c r="K674" t="s">
        <v>74</v>
      </c>
      <c r="L674" t="s">
        <v>74</v>
      </c>
      <c r="M674" t="s">
        <v>78</v>
      </c>
      <c r="N674" t="s">
        <v>4724</v>
      </c>
      <c r="O674" t="s">
        <v>74</v>
      </c>
      <c r="P674" t="s">
        <v>74</v>
      </c>
      <c r="Q674" t="s">
        <v>74</v>
      </c>
      <c r="R674" t="s">
        <v>74</v>
      </c>
      <c r="S674" t="s">
        <v>74</v>
      </c>
      <c r="T674" t="s">
        <v>74</v>
      </c>
      <c r="U674" t="s">
        <v>74</v>
      </c>
      <c r="V674" t="s">
        <v>74</v>
      </c>
      <c r="W674" t="s">
        <v>74</v>
      </c>
      <c r="X674" t="s">
        <v>74</v>
      </c>
      <c r="Y674" t="s">
        <v>74</v>
      </c>
      <c r="Z674" t="s">
        <v>74</v>
      </c>
      <c r="AA674" t="s">
        <v>74</v>
      </c>
      <c r="AB674" t="s">
        <v>74</v>
      </c>
      <c r="AC674" t="s">
        <v>74</v>
      </c>
      <c r="AD674" t="s">
        <v>74</v>
      </c>
      <c r="AE674" t="s">
        <v>74</v>
      </c>
      <c r="AF674" t="s">
        <v>74</v>
      </c>
      <c r="AG674">
        <v>1</v>
      </c>
      <c r="AH674">
        <v>0</v>
      </c>
      <c r="AI674">
        <v>0</v>
      </c>
      <c r="AJ674">
        <v>1</v>
      </c>
      <c r="AK674">
        <v>25</v>
      </c>
      <c r="AL674" t="s">
        <v>2577</v>
      </c>
      <c r="AM674" t="s">
        <v>1490</v>
      </c>
      <c r="AN674" t="s">
        <v>6989</v>
      </c>
      <c r="AO674" t="s">
        <v>6990</v>
      </c>
      <c r="AP674" t="s">
        <v>74</v>
      </c>
      <c r="AQ674" t="s">
        <v>74</v>
      </c>
      <c r="AR674" t="s">
        <v>6981</v>
      </c>
      <c r="AS674" t="s">
        <v>6991</v>
      </c>
      <c r="AT674" t="s">
        <v>12321</v>
      </c>
      <c r="AU674">
        <v>2011</v>
      </c>
      <c r="AV674">
        <v>472</v>
      </c>
      <c r="AW674">
        <v>7342</v>
      </c>
      <c r="AX674" t="s">
        <v>74</v>
      </c>
      <c r="AY674" t="s">
        <v>74</v>
      </c>
      <c r="AZ674" t="s">
        <v>74</v>
      </c>
      <c r="BA674" t="s">
        <v>74</v>
      </c>
      <c r="BB674" t="s">
        <v>74</v>
      </c>
      <c r="BC674" t="s">
        <v>74</v>
      </c>
      <c r="BD674" t="s">
        <v>74</v>
      </c>
      <c r="BE674" t="s">
        <v>12322</v>
      </c>
      <c r="BF674" t="str">
        <f>HYPERLINK("http://dx.doi.org/10.1038/nature09931","http://dx.doi.org/10.1038/nature09931")</f>
        <v>http://dx.doi.org/10.1038/nature09931</v>
      </c>
      <c r="BG674" t="s">
        <v>74</v>
      </c>
      <c r="BH674" t="s">
        <v>74</v>
      </c>
      <c r="BI674">
        <v>1</v>
      </c>
      <c r="BJ674" t="s">
        <v>177</v>
      </c>
      <c r="BK674" t="s">
        <v>100</v>
      </c>
      <c r="BL674" t="s">
        <v>178</v>
      </c>
      <c r="BM674" t="s">
        <v>12323</v>
      </c>
      <c r="BN674" t="s">
        <v>74</v>
      </c>
      <c r="BO674" t="s">
        <v>152</v>
      </c>
      <c r="BP674" t="s">
        <v>74</v>
      </c>
      <c r="BQ674" t="s">
        <v>74</v>
      </c>
      <c r="BR674" t="s">
        <v>103</v>
      </c>
      <c r="BS674" t="s">
        <v>12324</v>
      </c>
      <c r="BT674" t="str">
        <f>HYPERLINK("https%3A%2F%2Fwww.webofscience.com%2Fwos%2Fwoscc%2Ffull-record%2FWOS:000289469100050","View Full Record in Web of Science")</f>
        <v>View Full Record in Web of Science</v>
      </c>
    </row>
    <row r="675" spans="1:72" x14ac:dyDescent="0.15">
      <c r="A675" t="s">
        <v>72</v>
      </c>
      <c r="B675" t="s">
        <v>12325</v>
      </c>
      <c r="C675" t="s">
        <v>74</v>
      </c>
      <c r="D675" t="s">
        <v>74</v>
      </c>
      <c r="E675" t="s">
        <v>74</v>
      </c>
      <c r="F675" t="s">
        <v>12326</v>
      </c>
      <c r="G675" t="s">
        <v>74</v>
      </c>
      <c r="H675" t="s">
        <v>74</v>
      </c>
      <c r="I675" t="s">
        <v>12327</v>
      </c>
      <c r="J675" t="s">
        <v>230</v>
      </c>
      <c r="K675" t="s">
        <v>74</v>
      </c>
      <c r="L675" t="s">
        <v>74</v>
      </c>
      <c r="M675" t="s">
        <v>78</v>
      </c>
      <c r="N675" t="s">
        <v>79</v>
      </c>
      <c r="O675" t="s">
        <v>74</v>
      </c>
      <c r="P675" t="s">
        <v>74</v>
      </c>
      <c r="Q675" t="s">
        <v>74</v>
      </c>
      <c r="R675" t="s">
        <v>74</v>
      </c>
      <c r="S675" t="s">
        <v>74</v>
      </c>
      <c r="T675" t="s">
        <v>74</v>
      </c>
      <c r="U675" t="s">
        <v>12328</v>
      </c>
      <c r="V675" t="s">
        <v>12329</v>
      </c>
      <c r="W675" t="s">
        <v>12330</v>
      </c>
      <c r="X675" t="s">
        <v>12331</v>
      </c>
      <c r="Y675" t="s">
        <v>12332</v>
      </c>
      <c r="Z675" t="s">
        <v>12333</v>
      </c>
      <c r="AA675" t="s">
        <v>12334</v>
      </c>
      <c r="AB675" t="s">
        <v>12335</v>
      </c>
      <c r="AC675" t="s">
        <v>12336</v>
      </c>
      <c r="AD675" t="s">
        <v>12337</v>
      </c>
      <c r="AE675" t="s">
        <v>12338</v>
      </c>
      <c r="AF675" t="s">
        <v>74</v>
      </c>
      <c r="AG675">
        <v>87</v>
      </c>
      <c r="AH675">
        <v>41</v>
      </c>
      <c r="AI675">
        <v>50</v>
      </c>
      <c r="AJ675">
        <v>1</v>
      </c>
      <c r="AK675">
        <v>6</v>
      </c>
      <c r="AL675" t="s">
        <v>120</v>
      </c>
      <c r="AM675" t="s">
        <v>121</v>
      </c>
      <c r="AN675" t="s">
        <v>122</v>
      </c>
      <c r="AO675" t="s">
        <v>242</v>
      </c>
      <c r="AP675" t="s">
        <v>243</v>
      </c>
      <c r="AQ675" t="s">
        <v>74</v>
      </c>
      <c r="AR675" t="s">
        <v>244</v>
      </c>
      <c r="AS675" t="s">
        <v>245</v>
      </c>
      <c r="AT675" t="s">
        <v>12321</v>
      </c>
      <c r="AU675">
        <v>2011</v>
      </c>
      <c r="AV675">
        <v>116</v>
      </c>
      <c r="AW675" t="s">
        <v>74</v>
      </c>
      <c r="AX675" t="s">
        <v>74</v>
      </c>
      <c r="AY675" t="s">
        <v>74</v>
      </c>
      <c r="AZ675" t="s">
        <v>74</v>
      </c>
      <c r="BA675" t="s">
        <v>74</v>
      </c>
      <c r="BB675" t="s">
        <v>74</v>
      </c>
      <c r="BC675" t="s">
        <v>74</v>
      </c>
      <c r="BD675" t="s">
        <v>12339</v>
      </c>
      <c r="BE675" t="s">
        <v>12340</v>
      </c>
      <c r="BF675" t="str">
        <f>HYPERLINK("http://dx.doi.org/10.1029/2010JD015358","http://dx.doi.org/10.1029/2010JD015358")</f>
        <v>http://dx.doi.org/10.1029/2010JD015358</v>
      </c>
      <c r="BG675" t="s">
        <v>74</v>
      </c>
      <c r="BH675" t="s">
        <v>74</v>
      </c>
      <c r="BI675">
        <v>14</v>
      </c>
      <c r="BJ675" t="s">
        <v>248</v>
      </c>
      <c r="BK675" t="s">
        <v>100</v>
      </c>
      <c r="BL675" t="s">
        <v>248</v>
      </c>
      <c r="BM675" t="s">
        <v>12341</v>
      </c>
      <c r="BN675" t="s">
        <v>74</v>
      </c>
      <c r="BO675" t="s">
        <v>368</v>
      </c>
      <c r="BP675" t="s">
        <v>74</v>
      </c>
      <c r="BQ675" t="s">
        <v>74</v>
      </c>
      <c r="BR675" t="s">
        <v>103</v>
      </c>
      <c r="BS675" t="s">
        <v>12342</v>
      </c>
      <c r="BT675" t="str">
        <f>HYPERLINK("https%3A%2F%2Fwww.webofscience.com%2Fwos%2Fwoscc%2Ffull-record%2FWOS:000289648000004","View Full Record in Web of Science")</f>
        <v>View Full Record in Web of Science</v>
      </c>
    </row>
    <row r="676" spans="1:72" x14ac:dyDescent="0.15">
      <c r="A676" t="s">
        <v>72</v>
      </c>
      <c r="B676" t="s">
        <v>12343</v>
      </c>
      <c r="C676" t="s">
        <v>74</v>
      </c>
      <c r="D676" t="s">
        <v>74</v>
      </c>
      <c r="E676" t="s">
        <v>74</v>
      </c>
      <c r="F676" t="s">
        <v>12344</v>
      </c>
      <c r="G676" t="s">
        <v>74</v>
      </c>
      <c r="H676" t="s">
        <v>74</v>
      </c>
      <c r="I676" t="s">
        <v>12345</v>
      </c>
      <c r="J676" t="s">
        <v>230</v>
      </c>
      <c r="K676" t="s">
        <v>74</v>
      </c>
      <c r="L676" t="s">
        <v>74</v>
      </c>
      <c r="M676" t="s">
        <v>78</v>
      </c>
      <c r="N676" t="s">
        <v>79</v>
      </c>
      <c r="O676" t="s">
        <v>74</v>
      </c>
      <c r="P676" t="s">
        <v>74</v>
      </c>
      <c r="Q676" t="s">
        <v>74</v>
      </c>
      <c r="R676" t="s">
        <v>74</v>
      </c>
      <c r="S676" t="s">
        <v>74</v>
      </c>
      <c r="T676" t="s">
        <v>74</v>
      </c>
      <c r="U676" t="s">
        <v>12346</v>
      </c>
      <c r="V676" t="s">
        <v>12347</v>
      </c>
      <c r="W676" t="s">
        <v>12348</v>
      </c>
      <c r="X676" t="s">
        <v>12349</v>
      </c>
      <c r="Y676" t="s">
        <v>12350</v>
      </c>
      <c r="Z676" t="s">
        <v>12351</v>
      </c>
      <c r="AA676" t="s">
        <v>12352</v>
      </c>
      <c r="AB676" t="s">
        <v>12353</v>
      </c>
      <c r="AC676" t="s">
        <v>12354</v>
      </c>
      <c r="AD676" t="s">
        <v>12355</v>
      </c>
      <c r="AE676" t="s">
        <v>12356</v>
      </c>
      <c r="AF676" t="s">
        <v>74</v>
      </c>
      <c r="AG676">
        <v>27</v>
      </c>
      <c r="AH676">
        <v>74</v>
      </c>
      <c r="AI676">
        <v>75</v>
      </c>
      <c r="AJ676">
        <v>0</v>
      </c>
      <c r="AK676">
        <v>14</v>
      </c>
      <c r="AL676" t="s">
        <v>120</v>
      </c>
      <c r="AM676" t="s">
        <v>121</v>
      </c>
      <c r="AN676" t="s">
        <v>122</v>
      </c>
      <c r="AO676" t="s">
        <v>242</v>
      </c>
      <c r="AP676" t="s">
        <v>243</v>
      </c>
      <c r="AQ676" t="s">
        <v>74</v>
      </c>
      <c r="AR676" t="s">
        <v>244</v>
      </c>
      <c r="AS676" t="s">
        <v>245</v>
      </c>
      <c r="AT676" t="s">
        <v>12321</v>
      </c>
      <c r="AU676">
        <v>2011</v>
      </c>
      <c r="AV676">
        <v>116</v>
      </c>
      <c r="AW676" t="s">
        <v>74</v>
      </c>
      <c r="AX676" t="s">
        <v>74</v>
      </c>
      <c r="AY676" t="s">
        <v>74</v>
      </c>
      <c r="AZ676" t="s">
        <v>74</v>
      </c>
      <c r="BA676" t="s">
        <v>74</v>
      </c>
      <c r="BB676" t="s">
        <v>74</v>
      </c>
      <c r="BC676" t="s">
        <v>74</v>
      </c>
      <c r="BD676" t="s">
        <v>12357</v>
      </c>
      <c r="BE676" t="s">
        <v>12358</v>
      </c>
      <c r="BF676" t="str">
        <f>HYPERLINK("http://dx.doi.org/10.1029/2010JD014965","http://dx.doi.org/10.1029/2010JD014965")</f>
        <v>http://dx.doi.org/10.1029/2010JD014965</v>
      </c>
      <c r="BG676" t="s">
        <v>74</v>
      </c>
      <c r="BH676" t="s">
        <v>74</v>
      </c>
      <c r="BI676">
        <v>12</v>
      </c>
      <c r="BJ676" t="s">
        <v>248</v>
      </c>
      <c r="BK676" t="s">
        <v>100</v>
      </c>
      <c r="BL676" t="s">
        <v>248</v>
      </c>
      <c r="BM676" t="s">
        <v>12341</v>
      </c>
      <c r="BN676" t="s">
        <v>74</v>
      </c>
      <c r="BO676" t="s">
        <v>393</v>
      </c>
      <c r="BP676" t="s">
        <v>74</v>
      </c>
      <c r="BQ676" t="s">
        <v>74</v>
      </c>
      <c r="BR676" t="s">
        <v>103</v>
      </c>
      <c r="BS676" t="s">
        <v>12359</v>
      </c>
      <c r="BT676" t="str">
        <f>HYPERLINK("https%3A%2F%2Fwww.webofscience.com%2Fwos%2Fwoscc%2Ffull-record%2FWOS:000289648000003","View Full Record in Web of Science")</f>
        <v>View Full Record in Web of Science</v>
      </c>
    </row>
    <row r="677" spans="1:72" x14ac:dyDescent="0.15">
      <c r="A677" t="s">
        <v>72</v>
      </c>
      <c r="B677" t="s">
        <v>12360</v>
      </c>
      <c r="C677" t="s">
        <v>74</v>
      </c>
      <c r="D677" t="s">
        <v>74</v>
      </c>
      <c r="E677" t="s">
        <v>74</v>
      </c>
      <c r="F677" t="s">
        <v>12361</v>
      </c>
      <c r="G677" t="s">
        <v>74</v>
      </c>
      <c r="H677" t="s">
        <v>74</v>
      </c>
      <c r="I677" t="s">
        <v>12362</v>
      </c>
      <c r="J677" t="s">
        <v>3214</v>
      </c>
      <c r="K677" t="s">
        <v>74</v>
      </c>
      <c r="L677" t="s">
        <v>74</v>
      </c>
      <c r="M677" t="s">
        <v>78</v>
      </c>
      <c r="N677" t="s">
        <v>79</v>
      </c>
      <c r="O677" t="s">
        <v>74</v>
      </c>
      <c r="P677" t="s">
        <v>74</v>
      </c>
      <c r="Q677" t="s">
        <v>74</v>
      </c>
      <c r="R677" t="s">
        <v>74</v>
      </c>
      <c r="S677" t="s">
        <v>74</v>
      </c>
      <c r="T677" t="s">
        <v>12363</v>
      </c>
      <c r="U677" t="s">
        <v>12364</v>
      </c>
      <c r="V677" t="s">
        <v>12365</v>
      </c>
      <c r="W677" t="s">
        <v>12366</v>
      </c>
      <c r="X677" t="s">
        <v>12367</v>
      </c>
      <c r="Y677" t="s">
        <v>12368</v>
      </c>
      <c r="Z677" t="s">
        <v>12369</v>
      </c>
      <c r="AA677" t="s">
        <v>12370</v>
      </c>
      <c r="AB677" t="s">
        <v>12371</v>
      </c>
      <c r="AC677" t="s">
        <v>74</v>
      </c>
      <c r="AD677" t="s">
        <v>74</v>
      </c>
      <c r="AE677" t="s">
        <v>74</v>
      </c>
      <c r="AF677" t="s">
        <v>74</v>
      </c>
      <c r="AG677">
        <v>86</v>
      </c>
      <c r="AH677">
        <v>113</v>
      </c>
      <c r="AI677">
        <v>116</v>
      </c>
      <c r="AJ677">
        <v>2</v>
      </c>
      <c r="AK677">
        <v>8</v>
      </c>
      <c r="AL677" t="s">
        <v>3225</v>
      </c>
      <c r="AM677" t="s">
        <v>3226</v>
      </c>
      <c r="AN677" t="s">
        <v>3227</v>
      </c>
      <c r="AO677" t="s">
        <v>3228</v>
      </c>
      <c r="AP677" t="s">
        <v>3229</v>
      </c>
      <c r="AQ677" t="s">
        <v>74</v>
      </c>
      <c r="AR677" t="s">
        <v>3214</v>
      </c>
      <c r="AS677" t="s">
        <v>3230</v>
      </c>
      <c r="AT677" t="s">
        <v>12321</v>
      </c>
      <c r="AU677">
        <v>2011</v>
      </c>
      <c r="AV677" t="s">
        <v>74</v>
      </c>
      <c r="AW677">
        <v>2819</v>
      </c>
      <c r="AX677" t="s">
        <v>74</v>
      </c>
      <c r="AY677" t="s">
        <v>74</v>
      </c>
      <c r="AZ677" t="s">
        <v>74</v>
      </c>
      <c r="BA677" t="s">
        <v>74</v>
      </c>
      <c r="BB677">
        <v>51</v>
      </c>
      <c r="BC677">
        <v>64</v>
      </c>
      <c r="BD677" t="s">
        <v>74</v>
      </c>
      <c r="BE677" t="s">
        <v>12372</v>
      </c>
      <c r="BF677" t="str">
        <f>HYPERLINK("http://dx.doi.org/10.11646/zootaxa.2819.1.2","http://dx.doi.org/10.11646/zootaxa.2819.1.2")</f>
        <v>http://dx.doi.org/10.11646/zootaxa.2819.1.2</v>
      </c>
      <c r="BG677" t="s">
        <v>74</v>
      </c>
      <c r="BH677" t="s">
        <v>74</v>
      </c>
      <c r="BI677">
        <v>14</v>
      </c>
      <c r="BJ677" t="s">
        <v>3232</v>
      </c>
      <c r="BK677" t="s">
        <v>100</v>
      </c>
      <c r="BL677" t="s">
        <v>3232</v>
      </c>
      <c r="BM677" t="s">
        <v>12373</v>
      </c>
      <c r="BN677" t="s">
        <v>74</v>
      </c>
      <c r="BO677" t="s">
        <v>393</v>
      </c>
      <c r="BP677" t="s">
        <v>74</v>
      </c>
      <c r="BQ677" t="s">
        <v>74</v>
      </c>
      <c r="BR677" t="s">
        <v>103</v>
      </c>
      <c r="BS677" t="s">
        <v>12374</v>
      </c>
      <c r="BT677" t="str">
        <f>HYPERLINK("https%3A%2F%2Fwww.webofscience.com%2Fwos%2Fwoscc%2Ffull-record%2FWOS:000289457400002","View Full Record in Web of Science")</f>
        <v>View Full Record in Web of Science</v>
      </c>
    </row>
    <row r="678" spans="1:72" x14ac:dyDescent="0.15">
      <c r="A678" t="s">
        <v>72</v>
      </c>
      <c r="B678" t="s">
        <v>12375</v>
      </c>
      <c r="C678" t="s">
        <v>74</v>
      </c>
      <c r="D678" t="s">
        <v>74</v>
      </c>
      <c r="E678" t="s">
        <v>74</v>
      </c>
      <c r="F678" t="s">
        <v>12376</v>
      </c>
      <c r="G678" t="s">
        <v>74</v>
      </c>
      <c r="H678" t="s">
        <v>74</v>
      </c>
      <c r="I678" t="s">
        <v>12377</v>
      </c>
      <c r="J678" t="s">
        <v>230</v>
      </c>
      <c r="K678" t="s">
        <v>74</v>
      </c>
      <c r="L678" t="s">
        <v>74</v>
      </c>
      <c r="M678" t="s">
        <v>78</v>
      </c>
      <c r="N678" t="s">
        <v>79</v>
      </c>
      <c r="O678" t="s">
        <v>74</v>
      </c>
      <c r="P678" t="s">
        <v>74</v>
      </c>
      <c r="Q678" t="s">
        <v>74</v>
      </c>
      <c r="R678" t="s">
        <v>74</v>
      </c>
      <c r="S678" t="s">
        <v>74</v>
      </c>
      <c r="T678" t="s">
        <v>74</v>
      </c>
      <c r="U678" t="s">
        <v>12378</v>
      </c>
      <c r="V678" t="s">
        <v>12379</v>
      </c>
      <c r="W678" t="s">
        <v>12380</v>
      </c>
      <c r="X678" t="s">
        <v>1435</v>
      </c>
      <c r="Y678" t="s">
        <v>12381</v>
      </c>
      <c r="Z678" t="s">
        <v>12382</v>
      </c>
      <c r="AA678" t="s">
        <v>74</v>
      </c>
      <c r="AB678" t="s">
        <v>12383</v>
      </c>
      <c r="AC678" t="s">
        <v>12384</v>
      </c>
      <c r="AD678" t="s">
        <v>12385</v>
      </c>
      <c r="AE678" t="s">
        <v>12386</v>
      </c>
      <c r="AF678" t="s">
        <v>74</v>
      </c>
      <c r="AG678">
        <v>46</v>
      </c>
      <c r="AH678">
        <v>9</v>
      </c>
      <c r="AI678">
        <v>9</v>
      </c>
      <c r="AJ678">
        <v>2</v>
      </c>
      <c r="AK678">
        <v>16</v>
      </c>
      <c r="AL678" t="s">
        <v>120</v>
      </c>
      <c r="AM678" t="s">
        <v>121</v>
      </c>
      <c r="AN678" t="s">
        <v>122</v>
      </c>
      <c r="AO678" t="s">
        <v>242</v>
      </c>
      <c r="AP678" t="s">
        <v>243</v>
      </c>
      <c r="AQ678" t="s">
        <v>74</v>
      </c>
      <c r="AR678" t="s">
        <v>244</v>
      </c>
      <c r="AS678" t="s">
        <v>245</v>
      </c>
      <c r="AT678" t="s">
        <v>12387</v>
      </c>
      <c r="AU678">
        <v>2011</v>
      </c>
      <c r="AV678">
        <v>116</v>
      </c>
      <c r="AW678" t="s">
        <v>74</v>
      </c>
      <c r="AX678" t="s">
        <v>74</v>
      </c>
      <c r="AY678" t="s">
        <v>74</v>
      </c>
      <c r="AZ678" t="s">
        <v>74</v>
      </c>
      <c r="BA678" t="s">
        <v>74</v>
      </c>
      <c r="BB678" t="s">
        <v>74</v>
      </c>
      <c r="BC678" t="s">
        <v>74</v>
      </c>
      <c r="BD678" t="s">
        <v>12388</v>
      </c>
      <c r="BE678" t="s">
        <v>12389</v>
      </c>
      <c r="BF678" t="str">
        <f>HYPERLINK("http://dx.doi.org/10.1029/2010JD015024","http://dx.doi.org/10.1029/2010JD015024")</f>
        <v>http://dx.doi.org/10.1029/2010JD015024</v>
      </c>
      <c r="BG678" t="s">
        <v>74</v>
      </c>
      <c r="BH678" t="s">
        <v>74</v>
      </c>
      <c r="BI678">
        <v>17</v>
      </c>
      <c r="BJ678" t="s">
        <v>248</v>
      </c>
      <c r="BK678" t="s">
        <v>100</v>
      </c>
      <c r="BL678" t="s">
        <v>248</v>
      </c>
      <c r="BM678" t="s">
        <v>12390</v>
      </c>
      <c r="BN678" t="s">
        <v>74</v>
      </c>
      <c r="BO678" t="s">
        <v>152</v>
      </c>
      <c r="BP678" t="s">
        <v>74</v>
      </c>
      <c r="BQ678" t="s">
        <v>74</v>
      </c>
      <c r="BR678" t="s">
        <v>103</v>
      </c>
      <c r="BS678" t="s">
        <v>12391</v>
      </c>
      <c r="BT678" t="str">
        <f>HYPERLINK("https%3A%2F%2Fwww.webofscience.com%2Fwos%2Fwoscc%2Ffull-record%2FWOS:000289647900002","View Full Record in Web of Science")</f>
        <v>View Full Record in Web of Science</v>
      </c>
    </row>
    <row r="679" spans="1:72" x14ac:dyDescent="0.15">
      <c r="A679" t="s">
        <v>72</v>
      </c>
      <c r="B679" t="s">
        <v>12392</v>
      </c>
      <c r="C679" t="s">
        <v>74</v>
      </c>
      <c r="D679" t="s">
        <v>74</v>
      </c>
      <c r="E679" t="s">
        <v>74</v>
      </c>
      <c r="F679" t="s">
        <v>12393</v>
      </c>
      <c r="G679" t="s">
        <v>74</v>
      </c>
      <c r="H679" t="s">
        <v>74</v>
      </c>
      <c r="I679" t="s">
        <v>12394</v>
      </c>
      <c r="J679" t="s">
        <v>3214</v>
      </c>
      <c r="K679" t="s">
        <v>74</v>
      </c>
      <c r="L679" t="s">
        <v>74</v>
      </c>
      <c r="M679" t="s">
        <v>78</v>
      </c>
      <c r="N679" t="s">
        <v>79</v>
      </c>
      <c r="O679" t="s">
        <v>74</v>
      </c>
      <c r="P679" t="s">
        <v>74</v>
      </c>
      <c r="Q679" t="s">
        <v>74</v>
      </c>
      <c r="R679" t="s">
        <v>74</v>
      </c>
      <c r="S679" t="s">
        <v>74</v>
      </c>
      <c r="T679" t="s">
        <v>12395</v>
      </c>
      <c r="U679" t="s">
        <v>12396</v>
      </c>
      <c r="V679" t="s">
        <v>12397</v>
      </c>
      <c r="W679" t="s">
        <v>12398</v>
      </c>
      <c r="X679" t="s">
        <v>12399</v>
      </c>
      <c r="Y679" t="s">
        <v>12400</v>
      </c>
      <c r="Z679" t="s">
        <v>11918</v>
      </c>
      <c r="AA679" t="s">
        <v>1939</v>
      </c>
      <c r="AB679" t="s">
        <v>74</v>
      </c>
      <c r="AC679" t="s">
        <v>12401</v>
      </c>
      <c r="AD679" t="s">
        <v>12402</v>
      </c>
      <c r="AE679" t="s">
        <v>12403</v>
      </c>
      <c r="AF679" t="s">
        <v>74</v>
      </c>
      <c r="AG679">
        <v>60</v>
      </c>
      <c r="AH679">
        <v>20</v>
      </c>
      <c r="AI679">
        <v>25</v>
      </c>
      <c r="AJ679">
        <v>0</v>
      </c>
      <c r="AK679">
        <v>2</v>
      </c>
      <c r="AL679" t="s">
        <v>3225</v>
      </c>
      <c r="AM679" t="s">
        <v>3226</v>
      </c>
      <c r="AN679" t="s">
        <v>9277</v>
      </c>
      <c r="AO679" t="s">
        <v>3228</v>
      </c>
      <c r="AP679" t="s">
        <v>3229</v>
      </c>
      <c r="AQ679" t="s">
        <v>74</v>
      </c>
      <c r="AR679" t="s">
        <v>3214</v>
      </c>
      <c r="AS679" t="s">
        <v>3230</v>
      </c>
      <c r="AT679" t="s">
        <v>12387</v>
      </c>
      <c r="AU679">
        <v>2011</v>
      </c>
      <c r="AV679" t="s">
        <v>74</v>
      </c>
      <c r="AW679">
        <v>2817</v>
      </c>
      <c r="AX679" t="s">
        <v>74</v>
      </c>
      <c r="AY679" t="s">
        <v>74</v>
      </c>
      <c r="AZ679" t="s">
        <v>74</v>
      </c>
      <c r="BA679" t="s">
        <v>74</v>
      </c>
      <c r="BB679">
        <v>1</v>
      </c>
      <c r="BC679">
        <v>54</v>
      </c>
      <c r="BD679" t="s">
        <v>74</v>
      </c>
      <c r="BE679" t="s">
        <v>74</v>
      </c>
      <c r="BF679" t="s">
        <v>74</v>
      </c>
      <c r="BG679" t="s">
        <v>74</v>
      </c>
      <c r="BH679" t="s">
        <v>74</v>
      </c>
      <c r="BI679">
        <v>54</v>
      </c>
      <c r="BJ679" t="s">
        <v>3232</v>
      </c>
      <c r="BK679" t="s">
        <v>100</v>
      </c>
      <c r="BL679" t="s">
        <v>3232</v>
      </c>
      <c r="BM679" t="s">
        <v>12404</v>
      </c>
      <c r="BN679" t="s">
        <v>74</v>
      </c>
      <c r="BO679" t="s">
        <v>74</v>
      </c>
      <c r="BP679" t="s">
        <v>74</v>
      </c>
      <c r="BQ679" t="s">
        <v>74</v>
      </c>
      <c r="BR679" t="s">
        <v>103</v>
      </c>
      <c r="BS679" t="s">
        <v>12405</v>
      </c>
      <c r="BT679" t="str">
        <f>HYPERLINK("https%3A%2F%2Fwww.webofscience.com%2Fwos%2Fwoscc%2Ffull-record%2FWOS:000289403600001","View Full Record in Web of Science")</f>
        <v>View Full Record in Web of Science</v>
      </c>
    </row>
    <row r="680" spans="1:72" x14ac:dyDescent="0.15">
      <c r="A680" t="s">
        <v>72</v>
      </c>
      <c r="B680" t="s">
        <v>12406</v>
      </c>
      <c r="C680" t="s">
        <v>74</v>
      </c>
      <c r="D680" t="s">
        <v>74</v>
      </c>
      <c r="E680" t="s">
        <v>74</v>
      </c>
      <c r="F680" t="s">
        <v>12407</v>
      </c>
      <c r="G680" t="s">
        <v>74</v>
      </c>
      <c r="H680" t="s">
        <v>74</v>
      </c>
      <c r="I680" t="s">
        <v>12408</v>
      </c>
      <c r="J680" t="s">
        <v>12409</v>
      </c>
      <c r="K680" t="s">
        <v>74</v>
      </c>
      <c r="L680" t="s">
        <v>74</v>
      </c>
      <c r="M680" t="s">
        <v>78</v>
      </c>
      <c r="N680" t="s">
        <v>79</v>
      </c>
      <c r="O680" t="s">
        <v>74</v>
      </c>
      <c r="P680" t="s">
        <v>74</v>
      </c>
      <c r="Q680" t="s">
        <v>74</v>
      </c>
      <c r="R680" t="s">
        <v>74</v>
      </c>
      <c r="S680" t="s">
        <v>74</v>
      </c>
      <c r="T680" t="s">
        <v>74</v>
      </c>
      <c r="U680" t="s">
        <v>12410</v>
      </c>
      <c r="V680" t="s">
        <v>12411</v>
      </c>
      <c r="W680" t="s">
        <v>12412</v>
      </c>
      <c r="X680" t="s">
        <v>12413</v>
      </c>
      <c r="Y680" t="s">
        <v>12414</v>
      </c>
      <c r="Z680" t="s">
        <v>12415</v>
      </c>
      <c r="AA680" t="s">
        <v>12416</v>
      </c>
      <c r="AB680" t="s">
        <v>12417</v>
      </c>
      <c r="AC680" t="s">
        <v>12418</v>
      </c>
      <c r="AD680" t="s">
        <v>12419</v>
      </c>
      <c r="AE680" t="s">
        <v>12420</v>
      </c>
      <c r="AF680" t="s">
        <v>74</v>
      </c>
      <c r="AG680">
        <v>96</v>
      </c>
      <c r="AH680">
        <v>46</v>
      </c>
      <c r="AI680">
        <v>48</v>
      </c>
      <c r="AJ680">
        <v>0</v>
      </c>
      <c r="AK680">
        <v>37</v>
      </c>
      <c r="AL680" t="s">
        <v>12421</v>
      </c>
      <c r="AM680" t="s">
        <v>1490</v>
      </c>
      <c r="AN680" t="s">
        <v>12422</v>
      </c>
      <c r="AO680" t="s">
        <v>12423</v>
      </c>
      <c r="AP680" t="s">
        <v>74</v>
      </c>
      <c r="AQ680" t="s">
        <v>74</v>
      </c>
      <c r="AR680" t="s">
        <v>12424</v>
      </c>
      <c r="AS680" t="s">
        <v>12425</v>
      </c>
      <c r="AT680" t="s">
        <v>12426</v>
      </c>
      <c r="AU680">
        <v>2011</v>
      </c>
      <c r="AV680">
        <v>12</v>
      </c>
      <c r="AW680" t="s">
        <v>74</v>
      </c>
      <c r="AX680" t="s">
        <v>74</v>
      </c>
      <c r="AY680" t="s">
        <v>74</v>
      </c>
      <c r="AZ680" t="s">
        <v>74</v>
      </c>
      <c r="BA680" t="s">
        <v>74</v>
      </c>
      <c r="BB680" t="s">
        <v>74</v>
      </c>
      <c r="BC680" t="s">
        <v>74</v>
      </c>
      <c r="BD680">
        <v>32</v>
      </c>
      <c r="BE680" t="s">
        <v>12427</v>
      </c>
      <c r="BF680" t="str">
        <f>HYPERLINK("http://dx.doi.org/10.1186/1471-2156-12-32","http://dx.doi.org/10.1186/1471-2156-12-32")</f>
        <v>http://dx.doi.org/10.1186/1471-2156-12-32</v>
      </c>
      <c r="BG680" t="s">
        <v>74</v>
      </c>
      <c r="BH680" t="s">
        <v>74</v>
      </c>
      <c r="BI680">
        <v>18</v>
      </c>
      <c r="BJ680" t="s">
        <v>7088</v>
      </c>
      <c r="BK680" t="s">
        <v>100</v>
      </c>
      <c r="BL680" t="s">
        <v>7088</v>
      </c>
      <c r="BM680" t="s">
        <v>12428</v>
      </c>
      <c r="BN680">
        <v>21486439</v>
      </c>
      <c r="BO680" t="s">
        <v>555</v>
      </c>
      <c r="BP680" t="s">
        <v>74</v>
      </c>
      <c r="BQ680" t="s">
        <v>74</v>
      </c>
      <c r="BR680" t="s">
        <v>103</v>
      </c>
      <c r="BS680" t="s">
        <v>12429</v>
      </c>
      <c r="BT680" t="str">
        <f>HYPERLINK("https%3A%2F%2Fwww.webofscience.com%2Fwos%2Fwoscc%2Ffull-record%2FWOS:000290792900001","View Full Record in Web of Science")</f>
        <v>View Full Record in Web of Science</v>
      </c>
    </row>
    <row r="681" spans="1:72" x14ac:dyDescent="0.15">
      <c r="A681" t="s">
        <v>72</v>
      </c>
      <c r="B681" t="s">
        <v>12430</v>
      </c>
      <c r="C681" t="s">
        <v>74</v>
      </c>
      <c r="D681" t="s">
        <v>74</v>
      </c>
      <c r="E681" t="s">
        <v>74</v>
      </c>
      <c r="F681" t="s">
        <v>12431</v>
      </c>
      <c r="G681" t="s">
        <v>74</v>
      </c>
      <c r="H681" t="s">
        <v>74</v>
      </c>
      <c r="I681" t="s">
        <v>12432</v>
      </c>
      <c r="J681" t="s">
        <v>3741</v>
      </c>
      <c r="K681" t="s">
        <v>74</v>
      </c>
      <c r="L681" t="s">
        <v>74</v>
      </c>
      <c r="M681" t="s">
        <v>78</v>
      </c>
      <c r="N681" t="s">
        <v>79</v>
      </c>
      <c r="O681" t="s">
        <v>74</v>
      </c>
      <c r="P681" t="s">
        <v>74</v>
      </c>
      <c r="Q681" t="s">
        <v>74</v>
      </c>
      <c r="R681" t="s">
        <v>74</v>
      </c>
      <c r="S681" t="s">
        <v>74</v>
      </c>
      <c r="T681" t="s">
        <v>12433</v>
      </c>
      <c r="U681" t="s">
        <v>12434</v>
      </c>
      <c r="V681" t="s">
        <v>12435</v>
      </c>
      <c r="W681" t="s">
        <v>12436</v>
      </c>
      <c r="X681" t="s">
        <v>12437</v>
      </c>
      <c r="Y681" t="s">
        <v>1316</v>
      </c>
      <c r="Z681" t="s">
        <v>1317</v>
      </c>
      <c r="AA681" t="s">
        <v>12438</v>
      </c>
      <c r="AB681" t="s">
        <v>12439</v>
      </c>
      <c r="AC681" t="s">
        <v>12440</v>
      </c>
      <c r="AD681" t="s">
        <v>12441</v>
      </c>
      <c r="AE681" t="s">
        <v>12442</v>
      </c>
      <c r="AF681" t="s">
        <v>74</v>
      </c>
      <c r="AG681">
        <v>38</v>
      </c>
      <c r="AH681">
        <v>208</v>
      </c>
      <c r="AI681">
        <v>229</v>
      </c>
      <c r="AJ681">
        <v>2</v>
      </c>
      <c r="AK681">
        <v>108</v>
      </c>
      <c r="AL681" t="s">
        <v>3754</v>
      </c>
      <c r="AM681" t="s">
        <v>121</v>
      </c>
      <c r="AN681" t="s">
        <v>3755</v>
      </c>
      <c r="AO681" t="s">
        <v>3756</v>
      </c>
      <c r="AP681" t="s">
        <v>74</v>
      </c>
      <c r="AQ681" t="s">
        <v>74</v>
      </c>
      <c r="AR681" t="s">
        <v>3757</v>
      </c>
      <c r="AS681" t="s">
        <v>3758</v>
      </c>
      <c r="AT681" t="s">
        <v>12426</v>
      </c>
      <c r="AU681">
        <v>2011</v>
      </c>
      <c r="AV681">
        <v>108</v>
      </c>
      <c r="AW681">
        <v>15</v>
      </c>
      <c r="AX681" t="s">
        <v>74</v>
      </c>
      <c r="AY681" t="s">
        <v>74</v>
      </c>
      <c r="AZ681" t="s">
        <v>74</v>
      </c>
      <c r="BA681" t="s">
        <v>74</v>
      </c>
      <c r="BB681">
        <v>6163</v>
      </c>
      <c r="BC681">
        <v>6168</v>
      </c>
      <c r="BD681" t="s">
        <v>74</v>
      </c>
      <c r="BE681" t="s">
        <v>12443</v>
      </c>
      <c r="BF681" t="str">
        <f>HYPERLINK("http://dx.doi.org/10.1073/pnas.1018221108","http://dx.doi.org/10.1073/pnas.1018221108")</f>
        <v>http://dx.doi.org/10.1073/pnas.1018221108</v>
      </c>
      <c r="BG681" t="s">
        <v>74</v>
      </c>
      <c r="BH681" t="s">
        <v>74</v>
      </c>
      <c r="BI681">
        <v>6</v>
      </c>
      <c r="BJ681" t="s">
        <v>177</v>
      </c>
      <c r="BK681" t="s">
        <v>100</v>
      </c>
      <c r="BL681" t="s">
        <v>178</v>
      </c>
      <c r="BM681" t="s">
        <v>12444</v>
      </c>
      <c r="BN681">
        <v>21444812</v>
      </c>
      <c r="BO681" t="s">
        <v>3761</v>
      </c>
      <c r="BP681" t="s">
        <v>74</v>
      </c>
      <c r="BQ681" t="s">
        <v>74</v>
      </c>
      <c r="BR681" t="s">
        <v>103</v>
      </c>
      <c r="BS681" t="s">
        <v>12445</v>
      </c>
      <c r="BT681" t="str">
        <f>HYPERLINK("https%3A%2F%2Fwww.webofscience.com%2Fwos%2Fwoscc%2Ffull-record%2FWOS:000289413600049","View Full Record in Web of Science")</f>
        <v>View Full Record in Web of Science</v>
      </c>
    </row>
    <row r="682" spans="1:72" x14ac:dyDescent="0.15">
      <c r="A682" t="s">
        <v>72</v>
      </c>
      <c r="B682" t="s">
        <v>12446</v>
      </c>
      <c r="C682" t="s">
        <v>74</v>
      </c>
      <c r="D682" t="s">
        <v>74</v>
      </c>
      <c r="E682" t="s">
        <v>74</v>
      </c>
      <c r="F682" t="s">
        <v>12447</v>
      </c>
      <c r="G682" t="s">
        <v>74</v>
      </c>
      <c r="H682" t="s">
        <v>74</v>
      </c>
      <c r="I682" t="s">
        <v>12448</v>
      </c>
      <c r="J682" t="s">
        <v>6862</v>
      </c>
      <c r="K682" t="s">
        <v>74</v>
      </c>
      <c r="L682" t="s">
        <v>74</v>
      </c>
      <c r="M682" t="s">
        <v>78</v>
      </c>
      <c r="N682" t="s">
        <v>79</v>
      </c>
      <c r="O682" t="s">
        <v>74</v>
      </c>
      <c r="P682" t="s">
        <v>74</v>
      </c>
      <c r="Q682" t="s">
        <v>74</v>
      </c>
      <c r="R682" t="s">
        <v>74</v>
      </c>
      <c r="S682" t="s">
        <v>74</v>
      </c>
      <c r="T682" t="s">
        <v>12449</v>
      </c>
      <c r="U682" t="s">
        <v>12450</v>
      </c>
      <c r="V682" t="s">
        <v>12451</v>
      </c>
      <c r="W682" t="s">
        <v>12452</v>
      </c>
      <c r="X682" t="s">
        <v>12453</v>
      </c>
      <c r="Y682" t="s">
        <v>12454</v>
      </c>
      <c r="Z682" t="s">
        <v>12455</v>
      </c>
      <c r="AA682" t="s">
        <v>12456</v>
      </c>
      <c r="AB682" t="s">
        <v>74</v>
      </c>
      <c r="AC682" t="s">
        <v>74</v>
      </c>
      <c r="AD682" t="s">
        <v>74</v>
      </c>
      <c r="AE682" t="s">
        <v>74</v>
      </c>
      <c r="AF682" t="s">
        <v>74</v>
      </c>
      <c r="AG682">
        <v>18</v>
      </c>
      <c r="AH682">
        <v>1</v>
      </c>
      <c r="AI682">
        <v>1</v>
      </c>
      <c r="AJ682">
        <v>0</v>
      </c>
      <c r="AK682">
        <v>4</v>
      </c>
      <c r="AL682" t="s">
        <v>793</v>
      </c>
      <c r="AM682" t="s">
        <v>794</v>
      </c>
      <c r="AN682" t="s">
        <v>795</v>
      </c>
      <c r="AO682" t="s">
        <v>6869</v>
      </c>
      <c r="AP682" t="s">
        <v>74</v>
      </c>
      <c r="AQ682" t="s">
        <v>74</v>
      </c>
      <c r="AR682" t="s">
        <v>6870</v>
      </c>
      <c r="AS682" t="s">
        <v>6871</v>
      </c>
      <c r="AT682" t="s">
        <v>12457</v>
      </c>
      <c r="AU682">
        <v>2011</v>
      </c>
      <c r="AV682">
        <v>100</v>
      </c>
      <c r="AW682">
        <v>7</v>
      </c>
      <c r="AX682" t="s">
        <v>74</v>
      </c>
      <c r="AY682" t="s">
        <v>74</v>
      </c>
      <c r="AZ682" t="s">
        <v>74</v>
      </c>
      <c r="BA682" t="s">
        <v>74</v>
      </c>
      <c r="BB682">
        <v>1044</v>
      </c>
      <c r="BC682">
        <v>1050</v>
      </c>
      <c r="BD682" t="s">
        <v>74</v>
      </c>
      <c r="BE682" t="s">
        <v>74</v>
      </c>
      <c r="BF682" t="s">
        <v>74</v>
      </c>
      <c r="BG682" t="s">
        <v>74</v>
      </c>
      <c r="BH682" t="s">
        <v>74</v>
      </c>
      <c r="BI682">
        <v>7</v>
      </c>
      <c r="BJ682" t="s">
        <v>177</v>
      </c>
      <c r="BK682" t="s">
        <v>100</v>
      </c>
      <c r="BL682" t="s">
        <v>178</v>
      </c>
      <c r="BM682" t="s">
        <v>12458</v>
      </c>
      <c r="BN682" t="s">
        <v>74</v>
      </c>
      <c r="BO682" t="s">
        <v>74</v>
      </c>
      <c r="BP682" t="s">
        <v>74</v>
      </c>
      <c r="BQ682" t="s">
        <v>74</v>
      </c>
      <c r="BR682" t="s">
        <v>103</v>
      </c>
      <c r="BS682" t="s">
        <v>12459</v>
      </c>
      <c r="BT682" t="str">
        <f>HYPERLINK("https%3A%2F%2Fwww.webofscience.com%2Fwos%2Fwoscc%2Ffull-record%2FWOS:000289313500024","View Full Record in Web of Science")</f>
        <v>View Full Record in Web of Science</v>
      </c>
    </row>
    <row r="683" spans="1:72" x14ac:dyDescent="0.15">
      <c r="A683" t="s">
        <v>72</v>
      </c>
      <c r="B683" t="s">
        <v>12460</v>
      </c>
      <c r="C683" t="s">
        <v>74</v>
      </c>
      <c r="D683" t="s">
        <v>74</v>
      </c>
      <c r="E683" t="s">
        <v>74</v>
      </c>
      <c r="F683" t="s">
        <v>12461</v>
      </c>
      <c r="G683" t="s">
        <v>74</v>
      </c>
      <c r="H683" t="s">
        <v>74</v>
      </c>
      <c r="I683" t="s">
        <v>12462</v>
      </c>
      <c r="J683" t="s">
        <v>6981</v>
      </c>
      <c r="K683" t="s">
        <v>74</v>
      </c>
      <c r="L683" t="s">
        <v>74</v>
      </c>
      <c r="M683" t="s">
        <v>78</v>
      </c>
      <c r="N683" t="s">
        <v>2002</v>
      </c>
      <c r="O683" t="s">
        <v>74</v>
      </c>
      <c r="P683" t="s">
        <v>74</v>
      </c>
      <c r="Q683" t="s">
        <v>74</v>
      </c>
      <c r="R683" t="s">
        <v>74</v>
      </c>
      <c r="S683" t="s">
        <v>74</v>
      </c>
      <c r="T683" t="s">
        <v>74</v>
      </c>
      <c r="U683" t="s">
        <v>12463</v>
      </c>
      <c r="V683" t="s">
        <v>74</v>
      </c>
      <c r="W683" t="s">
        <v>12464</v>
      </c>
      <c r="X683" t="s">
        <v>12465</v>
      </c>
      <c r="Y683" t="s">
        <v>12466</v>
      </c>
      <c r="Z683" t="s">
        <v>12467</v>
      </c>
      <c r="AA683" t="s">
        <v>12468</v>
      </c>
      <c r="AB683" t="s">
        <v>12469</v>
      </c>
      <c r="AC683" t="s">
        <v>12470</v>
      </c>
      <c r="AD683" t="s">
        <v>2081</v>
      </c>
      <c r="AE683" t="s">
        <v>74</v>
      </c>
      <c r="AF683" t="s">
        <v>74</v>
      </c>
      <c r="AG683">
        <v>5</v>
      </c>
      <c r="AH683">
        <v>11</v>
      </c>
      <c r="AI683">
        <v>14</v>
      </c>
      <c r="AJ683">
        <v>1</v>
      </c>
      <c r="AK683">
        <v>16</v>
      </c>
      <c r="AL683" t="s">
        <v>2577</v>
      </c>
      <c r="AM683" t="s">
        <v>1490</v>
      </c>
      <c r="AN683" t="s">
        <v>6989</v>
      </c>
      <c r="AO683" t="s">
        <v>6990</v>
      </c>
      <c r="AP683" t="s">
        <v>74</v>
      </c>
      <c r="AQ683" t="s">
        <v>74</v>
      </c>
      <c r="AR683" t="s">
        <v>6981</v>
      </c>
      <c r="AS683" t="s">
        <v>6991</v>
      </c>
      <c r="AT683" t="s">
        <v>12471</v>
      </c>
      <c r="AU683">
        <v>2011</v>
      </c>
      <c r="AV683">
        <v>472</v>
      </c>
      <c r="AW683">
        <v>7341</v>
      </c>
      <c r="AX683" t="s">
        <v>74</v>
      </c>
      <c r="AY683" t="s">
        <v>74</v>
      </c>
      <c r="AZ683" t="s">
        <v>74</v>
      </c>
      <c r="BA683" t="s">
        <v>74</v>
      </c>
      <c r="BB683">
        <v>43</v>
      </c>
      <c r="BC683">
        <v>44</v>
      </c>
      <c r="BD683" t="s">
        <v>74</v>
      </c>
      <c r="BE683" t="s">
        <v>12472</v>
      </c>
      <c r="BF683" t="str">
        <f>HYPERLINK("http://dx.doi.org/10.1038/472043a","http://dx.doi.org/10.1038/472043a")</f>
        <v>http://dx.doi.org/10.1038/472043a</v>
      </c>
      <c r="BG683" t="s">
        <v>74</v>
      </c>
      <c r="BH683" t="s">
        <v>74</v>
      </c>
      <c r="BI683">
        <v>2</v>
      </c>
      <c r="BJ683" t="s">
        <v>177</v>
      </c>
      <c r="BK683" t="s">
        <v>100</v>
      </c>
      <c r="BL683" t="s">
        <v>178</v>
      </c>
      <c r="BM683" t="s">
        <v>12473</v>
      </c>
      <c r="BN683">
        <v>21475188</v>
      </c>
      <c r="BO683" t="s">
        <v>74</v>
      </c>
      <c r="BP683" t="s">
        <v>74</v>
      </c>
      <c r="BQ683" t="s">
        <v>74</v>
      </c>
      <c r="BR683" t="s">
        <v>103</v>
      </c>
      <c r="BS683" t="s">
        <v>12474</v>
      </c>
      <c r="BT683" t="str">
        <f>HYPERLINK("https%3A%2F%2Fwww.webofscience.com%2Fwos%2Fwoscc%2Ffull-record%2FWOS:000289199400030","View Full Record in Web of Science")</f>
        <v>View Full Record in Web of Science</v>
      </c>
    </row>
    <row r="684" spans="1:72" x14ac:dyDescent="0.15">
      <c r="A684" t="s">
        <v>72</v>
      </c>
      <c r="B684" t="s">
        <v>12475</v>
      </c>
      <c r="C684" t="s">
        <v>74</v>
      </c>
      <c r="D684" t="s">
        <v>74</v>
      </c>
      <c r="E684" t="s">
        <v>74</v>
      </c>
      <c r="F684" t="s">
        <v>12476</v>
      </c>
      <c r="G684" t="s">
        <v>74</v>
      </c>
      <c r="H684" t="s">
        <v>74</v>
      </c>
      <c r="I684" t="s">
        <v>12477</v>
      </c>
      <c r="J684" t="s">
        <v>12478</v>
      </c>
      <c r="K684" t="s">
        <v>74</v>
      </c>
      <c r="L684" t="s">
        <v>74</v>
      </c>
      <c r="M684" t="s">
        <v>78</v>
      </c>
      <c r="N684" t="s">
        <v>79</v>
      </c>
      <c r="O684" t="s">
        <v>74</v>
      </c>
      <c r="P684" t="s">
        <v>74</v>
      </c>
      <c r="Q684" t="s">
        <v>74</v>
      </c>
      <c r="R684" t="s">
        <v>74</v>
      </c>
      <c r="S684" t="s">
        <v>74</v>
      </c>
      <c r="T684" t="s">
        <v>12479</v>
      </c>
      <c r="U684" t="s">
        <v>12480</v>
      </c>
      <c r="V684" t="s">
        <v>12481</v>
      </c>
      <c r="W684" t="s">
        <v>12482</v>
      </c>
      <c r="X684" t="s">
        <v>12483</v>
      </c>
      <c r="Y684" t="s">
        <v>12484</v>
      </c>
      <c r="Z684" t="s">
        <v>12485</v>
      </c>
      <c r="AA684" t="s">
        <v>74</v>
      </c>
      <c r="AB684" t="s">
        <v>74</v>
      </c>
      <c r="AC684" t="s">
        <v>12486</v>
      </c>
      <c r="AD684" t="s">
        <v>12487</v>
      </c>
      <c r="AE684" t="s">
        <v>12488</v>
      </c>
      <c r="AF684" t="s">
        <v>74</v>
      </c>
      <c r="AG684">
        <v>81</v>
      </c>
      <c r="AH684">
        <v>8</v>
      </c>
      <c r="AI684">
        <v>12</v>
      </c>
      <c r="AJ684">
        <v>0</v>
      </c>
      <c r="AK684">
        <v>21</v>
      </c>
      <c r="AL684" t="s">
        <v>9877</v>
      </c>
      <c r="AM684" t="s">
        <v>1490</v>
      </c>
      <c r="AN684" t="s">
        <v>9878</v>
      </c>
      <c r="AO684" t="s">
        <v>12489</v>
      </c>
      <c r="AP684" t="s">
        <v>12490</v>
      </c>
      <c r="AQ684" t="s">
        <v>74</v>
      </c>
      <c r="AR684" t="s">
        <v>12491</v>
      </c>
      <c r="AS684" t="s">
        <v>12492</v>
      </c>
      <c r="AT684" t="s">
        <v>12471</v>
      </c>
      <c r="AU684">
        <v>2011</v>
      </c>
      <c r="AV684">
        <v>274</v>
      </c>
      <c r="AW684">
        <v>1</v>
      </c>
      <c r="AX684" t="s">
        <v>74</v>
      </c>
      <c r="AY684" t="s">
        <v>74</v>
      </c>
      <c r="AZ684" t="s">
        <v>74</v>
      </c>
      <c r="BA684" t="s">
        <v>74</v>
      </c>
      <c r="BB684">
        <v>74</v>
      </c>
      <c r="BC684">
        <v>83</v>
      </c>
      <c r="BD684" t="s">
        <v>74</v>
      </c>
      <c r="BE684" t="s">
        <v>12493</v>
      </c>
      <c r="BF684" t="str">
        <f>HYPERLINK("http://dx.doi.org/10.1016/j.jtbi.2011.01.015","http://dx.doi.org/10.1016/j.jtbi.2011.01.015")</f>
        <v>http://dx.doi.org/10.1016/j.jtbi.2011.01.015</v>
      </c>
      <c r="BG684" t="s">
        <v>74</v>
      </c>
      <c r="BH684" t="s">
        <v>74</v>
      </c>
      <c r="BI684">
        <v>10</v>
      </c>
      <c r="BJ684" t="s">
        <v>12494</v>
      </c>
      <c r="BK684" t="s">
        <v>100</v>
      </c>
      <c r="BL684" t="s">
        <v>12495</v>
      </c>
      <c r="BM684" t="s">
        <v>12496</v>
      </c>
      <c r="BN684">
        <v>21241711</v>
      </c>
      <c r="BO684" t="s">
        <v>74</v>
      </c>
      <c r="BP684" t="s">
        <v>74</v>
      </c>
      <c r="BQ684" t="s">
        <v>74</v>
      </c>
      <c r="BR684" t="s">
        <v>103</v>
      </c>
      <c r="BS684" t="s">
        <v>12497</v>
      </c>
      <c r="BT684" t="str">
        <f>HYPERLINK("https%3A%2F%2Fwww.webofscience.com%2Fwos%2Fwoscc%2Ffull-record%2FWOS:000288312400009","View Full Record in Web of Science")</f>
        <v>View Full Record in Web of Science</v>
      </c>
    </row>
    <row r="685" spans="1:72" x14ac:dyDescent="0.15">
      <c r="A685" t="s">
        <v>72</v>
      </c>
      <c r="B685" t="s">
        <v>12498</v>
      </c>
      <c r="C685" t="s">
        <v>74</v>
      </c>
      <c r="D685" t="s">
        <v>74</v>
      </c>
      <c r="E685" t="s">
        <v>74</v>
      </c>
      <c r="F685" t="s">
        <v>12499</v>
      </c>
      <c r="G685" t="s">
        <v>74</v>
      </c>
      <c r="H685" t="s">
        <v>74</v>
      </c>
      <c r="I685" t="s">
        <v>12500</v>
      </c>
      <c r="J685" t="s">
        <v>3741</v>
      </c>
      <c r="K685" t="s">
        <v>74</v>
      </c>
      <c r="L685" t="s">
        <v>74</v>
      </c>
      <c r="M685" t="s">
        <v>78</v>
      </c>
      <c r="N685" t="s">
        <v>79</v>
      </c>
      <c r="O685" t="s">
        <v>74</v>
      </c>
      <c r="P685" t="s">
        <v>74</v>
      </c>
      <c r="Q685" t="s">
        <v>74</v>
      </c>
      <c r="R685" t="s">
        <v>74</v>
      </c>
      <c r="S685" t="s">
        <v>74</v>
      </c>
      <c r="T685" t="s">
        <v>12501</v>
      </c>
      <c r="U685" t="s">
        <v>12502</v>
      </c>
      <c r="V685" t="s">
        <v>12503</v>
      </c>
      <c r="W685" t="s">
        <v>12504</v>
      </c>
      <c r="X685" t="s">
        <v>12505</v>
      </c>
      <c r="Y685" t="s">
        <v>12506</v>
      </c>
      <c r="Z685" t="s">
        <v>12507</v>
      </c>
      <c r="AA685" t="s">
        <v>12508</v>
      </c>
      <c r="AB685" t="s">
        <v>12509</v>
      </c>
      <c r="AC685" t="s">
        <v>12510</v>
      </c>
      <c r="AD685" t="s">
        <v>12511</v>
      </c>
      <c r="AE685" t="s">
        <v>12512</v>
      </c>
      <c r="AF685" t="s">
        <v>74</v>
      </c>
      <c r="AG685">
        <v>45</v>
      </c>
      <c r="AH685">
        <v>51</v>
      </c>
      <c r="AI685">
        <v>54</v>
      </c>
      <c r="AJ685">
        <v>2</v>
      </c>
      <c r="AK685">
        <v>43</v>
      </c>
      <c r="AL685" t="s">
        <v>3754</v>
      </c>
      <c r="AM685" t="s">
        <v>121</v>
      </c>
      <c r="AN685" t="s">
        <v>3755</v>
      </c>
      <c r="AO685" t="s">
        <v>3756</v>
      </c>
      <c r="AP685" t="s">
        <v>74</v>
      </c>
      <c r="AQ685" t="s">
        <v>74</v>
      </c>
      <c r="AR685" t="s">
        <v>3757</v>
      </c>
      <c r="AS685" t="s">
        <v>3758</v>
      </c>
      <c r="AT685" t="s">
        <v>12513</v>
      </c>
      <c r="AU685">
        <v>2011</v>
      </c>
      <c r="AV685">
        <v>108</v>
      </c>
      <c r="AW685">
        <v>14</v>
      </c>
      <c r="AX685" t="s">
        <v>74</v>
      </c>
      <c r="AY685" t="s">
        <v>74</v>
      </c>
      <c r="AZ685" t="s">
        <v>74</v>
      </c>
      <c r="BA685" t="s">
        <v>74</v>
      </c>
      <c r="BB685">
        <v>5537</v>
      </c>
      <c r="BC685">
        <v>5541</v>
      </c>
      <c r="BD685" t="s">
        <v>74</v>
      </c>
      <c r="BE685" t="s">
        <v>12514</v>
      </c>
      <c r="BF685" t="str">
        <f>HYPERLINK("http://dx.doi.org/10.1073/pnas.1009761108","http://dx.doi.org/10.1073/pnas.1009761108")</f>
        <v>http://dx.doi.org/10.1073/pnas.1009761108</v>
      </c>
      <c r="BG685" t="s">
        <v>74</v>
      </c>
      <c r="BH685" t="s">
        <v>74</v>
      </c>
      <c r="BI685">
        <v>5</v>
      </c>
      <c r="BJ685" t="s">
        <v>177</v>
      </c>
      <c r="BK685" t="s">
        <v>100</v>
      </c>
      <c r="BL685" t="s">
        <v>178</v>
      </c>
      <c r="BM685" t="s">
        <v>12515</v>
      </c>
      <c r="BN685">
        <v>21422283</v>
      </c>
      <c r="BO685" t="s">
        <v>3761</v>
      </c>
      <c r="BP685" t="s">
        <v>74</v>
      </c>
      <c r="BQ685" t="s">
        <v>74</v>
      </c>
      <c r="BR685" t="s">
        <v>103</v>
      </c>
      <c r="BS685" t="s">
        <v>12516</v>
      </c>
      <c r="BT685" t="str">
        <f>HYPERLINK("https%3A%2F%2Fwww.webofscience.com%2Fwos%2Fwoscc%2Ffull-record%2FWOS:000289265300015","View Full Record in Web of Science")</f>
        <v>View Full Record in Web of Science</v>
      </c>
    </row>
    <row r="686" spans="1:72" x14ac:dyDescent="0.15">
      <c r="A686" t="s">
        <v>72</v>
      </c>
      <c r="B686" t="s">
        <v>12517</v>
      </c>
      <c r="C686" t="s">
        <v>74</v>
      </c>
      <c r="D686" t="s">
        <v>74</v>
      </c>
      <c r="E686" t="s">
        <v>74</v>
      </c>
      <c r="F686" t="s">
        <v>12518</v>
      </c>
      <c r="G686" t="s">
        <v>74</v>
      </c>
      <c r="H686" t="s">
        <v>74</v>
      </c>
      <c r="I686" t="s">
        <v>12519</v>
      </c>
      <c r="J686" t="s">
        <v>296</v>
      </c>
      <c r="K686" t="s">
        <v>74</v>
      </c>
      <c r="L686" t="s">
        <v>74</v>
      </c>
      <c r="M686" t="s">
        <v>78</v>
      </c>
      <c r="N686" t="s">
        <v>79</v>
      </c>
      <c r="O686" t="s">
        <v>74</v>
      </c>
      <c r="P686" t="s">
        <v>74</v>
      </c>
      <c r="Q686" t="s">
        <v>74</v>
      </c>
      <c r="R686" t="s">
        <v>74</v>
      </c>
      <c r="S686" t="s">
        <v>74</v>
      </c>
      <c r="T686" t="s">
        <v>12520</v>
      </c>
      <c r="U686" t="s">
        <v>12521</v>
      </c>
      <c r="V686" t="s">
        <v>12522</v>
      </c>
      <c r="W686" t="s">
        <v>12523</v>
      </c>
      <c r="X686" t="s">
        <v>12524</v>
      </c>
      <c r="Y686" t="s">
        <v>12525</v>
      </c>
      <c r="Z686" t="s">
        <v>12526</v>
      </c>
      <c r="AA686" t="s">
        <v>12527</v>
      </c>
      <c r="AB686" t="s">
        <v>12528</v>
      </c>
      <c r="AC686" t="s">
        <v>12529</v>
      </c>
      <c r="AD686" t="s">
        <v>12530</v>
      </c>
      <c r="AE686" t="s">
        <v>12531</v>
      </c>
      <c r="AF686" t="s">
        <v>74</v>
      </c>
      <c r="AG686">
        <v>51</v>
      </c>
      <c r="AH686">
        <v>14</v>
      </c>
      <c r="AI686">
        <v>15</v>
      </c>
      <c r="AJ686">
        <v>0</v>
      </c>
      <c r="AK686">
        <v>15</v>
      </c>
      <c r="AL686" t="s">
        <v>308</v>
      </c>
      <c r="AM686" t="s">
        <v>309</v>
      </c>
      <c r="AN686" t="s">
        <v>310</v>
      </c>
      <c r="AO686" t="s">
        <v>311</v>
      </c>
      <c r="AP686" t="s">
        <v>312</v>
      </c>
      <c r="AQ686" t="s">
        <v>74</v>
      </c>
      <c r="AR686" t="s">
        <v>296</v>
      </c>
      <c r="AS686" t="s">
        <v>313</v>
      </c>
      <c r="AT686" t="s">
        <v>12532</v>
      </c>
      <c r="AU686">
        <v>2011</v>
      </c>
      <c r="AV686">
        <v>314</v>
      </c>
      <c r="AW686" t="s">
        <v>3418</v>
      </c>
      <c r="AX686" t="s">
        <v>74</v>
      </c>
      <c r="AY686" t="s">
        <v>74</v>
      </c>
      <c r="AZ686" t="s">
        <v>74</v>
      </c>
      <c r="BA686" t="s">
        <v>74</v>
      </c>
      <c r="BB686">
        <v>252</v>
      </c>
      <c r="BC686">
        <v>260</v>
      </c>
      <c r="BD686" t="s">
        <v>74</v>
      </c>
      <c r="BE686" t="s">
        <v>12533</v>
      </c>
      <c r="BF686" t="str">
        <f>HYPERLINK("http://dx.doi.org/10.1016/j.aquaculture.2011.01.044","http://dx.doi.org/10.1016/j.aquaculture.2011.01.044")</f>
        <v>http://dx.doi.org/10.1016/j.aquaculture.2011.01.044</v>
      </c>
      <c r="BG686" t="s">
        <v>74</v>
      </c>
      <c r="BH686" t="s">
        <v>74</v>
      </c>
      <c r="BI686">
        <v>9</v>
      </c>
      <c r="BJ686" t="s">
        <v>317</v>
      </c>
      <c r="BK686" t="s">
        <v>100</v>
      </c>
      <c r="BL686" t="s">
        <v>317</v>
      </c>
      <c r="BM686" t="s">
        <v>12534</v>
      </c>
      <c r="BN686" t="s">
        <v>74</v>
      </c>
      <c r="BO686" t="s">
        <v>74</v>
      </c>
      <c r="BP686" t="s">
        <v>74</v>
      </c>
      <c r="BQ686" t="s">
        <v>74</v>
      </c>
      <c r="BR686" t="s">
        <v>103</v>
      </c>
      <c r="BS686" t="s">
        <v>12535</v>
      </c>
      <c r="BT686" t="str">
        <f>HYPERLINK("https%3A%2F%2Fwww.webofscience.com%2Fwos%2Fwoscc%2Ffull-record%2FWOS:000289703100037","View Full Record in Web of Science")</f>
        <v>View Full Record in Web of Science</v>
      </c>
    </row>
    <row r="687" spans="1:72" x14ac:dyDescent="0.15">
      <c r="A687" t="s">
        <v>72</v>
      </c>
      <c r="B687" t="s">
        <v>12536</v>
      </c>
      <c r="C687" t="s">
        <v>74</v>
      </c>
      <c r="D687" t="s">
        <v>74</v>
      </c>
      <c r="E687" t="s">
        <v>74</v>
      </c>
      <c r="F687" t="s">
        <v>12537</v>
      </c>
      <c r="G687" t="s">
        <v>74</v>
      </c>
      <c r="H687" t="s">
        <v>74</v>
      </c>
      <c r="I687" t="s">
        <v>12538</v>
      </c>
      <c r="J687" t="s">
        <v>647</v>
      </c>
      <c r="K687" t="s">
        <v>74</v>
      </c>
      <c r="L687" t="s">
        <v>74</v>
      </c>
      <c r="M687" t="s">
        <v>78</v>
      </c>
      <c r="N687" t="s">
        <v>79</v>
      </c>
      <c r="O687" t="s">
        <v>74</v>
      </c>
      <c r="P687" t="s">
        <v>74</v>
      </c>
      <c r="Q687" t="s">
        <v>74</v>
      </c>
      <c r="R687" t="s">
        <v>74</v>
      </c>
      <c r="S687" t="s">
        <v>74</v>
      </c>
      <c r="T687" t="s">
        <v>74</v>
      </c>
      <c r="U687" t="s">
        <v>12539</v>
      </c>
      <c r="V687" t="s">
        <v>12540</v>
      </c>
      <c r="W687" t="s">
        <v>12541</v>
      </c>
      <c r="X687" t="s">
        <v>651</v>
      </c>
      <c r="Y687" t="s">
        <v>12542</v>
      </c>
      <c r="Z687" t="s">
        <v>12543</v>
      </c>
      <c r="AA687" t="s">
        <v>12544</v>
      </c>
      <c r="AB687" t="s">
        <v>655</v>
      </c>
      <c r="AC687" t="s">
        <v>12545</v>
      </c>
      <c r="AD687" t="s">
        <v>12546</v>
      </c>
      <c r="AE687" t="s">
        <v>12547</v>
      </c>
      <c r="AF687" t="s">
        <v>74</v>
      </c>
      <c r="AG687">
        <v>10</v>
      </c>
      <c r="AH687">
        <v>22</v>
      </c>
      <c r="AI687">
        <v>22</v>
      </c>
      <c r="AJ687">
        <v>0</v>
      </c>
      <c r="AK687">
        <v>4</v>
      </c>
      <c r="AL687" t="s">
        <v>624</v>
      </c>
      <c r="AM687" t="s">
        <v>91</v>
      </c>
      <c r="AN687" t="s">
        <v>625</v>
      </c>
      <c r="AO687" t="s">
        <v>659</v>
      </c>
      <c r="AP687" t="s">
        <v>74</v>
      </c>
      <c r="AQ687" t="s">
        <v>74</v>
      </c>
      <c r="AR687" t="s">
        <v>660</v>
      </c>
      <c r="AS687" t="s">
        <v>661</v>
      </c>
      <c r="AT687" t="s">
        <v>12548</v>
      </c>
      <c r="AU687">
        <v>2011</v>
      </c>
      <c r="AV687">
        <v>51</v>
      </c>
      <c r="AW687">
        <v>2</v>
      </c>
      <c r="AX687" t="s">
        <v>74</v>
      </c>
      <c r="AY687" t="s">
        <v>74</v>
      </c>
      <c r="AZ687" t="s">
        <v>74</v>
      </c>
      <c r="BA687" t="s">
        <v>74</v>
      </c>
      <c r="BB687">
        <v>187</v>
      </c>
      <c r="BC687">
        <v>198</v>
      </c>
      <c r="BD687" t="s">
        <v>74</v>
      </c>
      <c r="BE687" t="s">
        <v>12549</v>
      </c>
      <c r="BF687" t="str">
        <f>HYPERLINK("http://dx.doi.org/10.1134/S000143701102007X","http://dx.doi.org/10.1134/S000143701102007X")</f>
        <v>http://dx.doi.org/10.1134/S000143701102007X</v>
      </c>
      <c r="BG687" t="s">
        <v>74</v>
      </c>
      <c r="BH687" t="s">
        <v>74</v>
      </c>
      <c r="BI687">
        <v>12</v>
      </c>
      <c r="BJ687" t="s">
        <v>271</v>
      </c>
      <c r="BK687" t="s">
        <v>100</v>
      </c>
      <c r="BL687" t="s">
        <v>271</v>
      </c>
      <c r="BM687" t="s">
        <v>12550</v>
      </c>
      <c r="BN687" t="s">
        <v>74</v>
      </c>
      <c r="BO687" t="s">
        <v>74</v>
      </c>
      <c r="BP687" t="s">
        <v>74</v>
      </c>
      <c r="BQ687" t="s">
        <v>74</v>
      </c>
      <c r="BR687" t="s">
        <v>103</v>
      </c>
      <c r="BS687" t="s">
        <v>12551</v>
      </c>
      <c r="BT687" t="str">
        <f>HYPERLINK("https%3A%2F%2Fwww.webofscience.com%2Fwos%2Fwoscc%2Ffull-record%2FWOS:000298562300001","View Full Record in Web of Science")</f>
        <v>View Full Record in Web of Science</v>
      </c>
    </row>
    <row r="688" spans="1:72" x14ac:dyDescent="0.15">
      <c r="A688" t="s">
        <v>72</v>
      </c>
      <c r="B688" t="s">
        <v>12552</v>
      </c>
      <c r="C688" t="s">
        <v>74</v>
      </c>
      <c r="D688" t="s">
        <v>74</v>
      </c>
      <c r="E688" t="s">
        <v>74</v>
      </c>
      <c r="F688" t="s">
        <v>12553</v>
      </c>
      <c r="G688" t="s">
        <v>74</v>
      </c>
      <c r="H688" t="s">
        <v>74</v>
      </c>
      <c r="I688" t="s">
        <v>12554</v>
      </c>
      <c r="J688" t="s">
        <v>647</v>
      </c>
      <c r="K688" t="s">
        <v>74</v>
      </c>
      <c r="L688" t="s">
        <v>74</v>
      </c>
      <c r="M688" t="s">
        <v>78</v>
      </c>
      <c r="N688" t="s">
        <v>79</v>
      </c>
      <c r="O688" t="s">
        <v>74</v>
      </c>
      <c r="P688" t="s">
        <v>74</v>
      </c>
      <c r="Q688" t="s">
        <v>74</v>
      </c>
      <c r="R688" t="s">
        <v>74</v>
      </c>
      <c r="S688" t="s">
        <v>74</v>
      </c>
      <c r="T688" t="s">
        <v>74</v>
      </c>
      <c r="U688" t="s">
        <v>74</v>
      </c>
      <c r="V688" t="s">
        <v>12555</v>
      </c>
      <c r="W688" t="s">
        <v>12556</v>
      </c>
      <c r="X688" t="s">
        <v>621</v>
      </c>
      <c r="Y688" t="s">
        <v>12557</v>
      </c>
      <c r="Z688" t="s">
        <v>12558</v>
      </c>
      <c r="AA688" t="s">
        <v>12559</v>
      </c>
      <c r="AB688" t="s">
        <v>12560</v>
      </c>
      <c r="AC688" t="s">
        <v>12561</v>
      </c>
      <c r="AD688" t="s">
        <v>1753</v>
      </c>
      <c r="AE688" t="s">
        <v>12562</v>
      </c>
      <c r="AF688" t="s">
        <v>74</v>
      </c>
      <c r="AG688">
        <v>19</v>
      </c>
      <c r="AH688">
        <v>3</v>
      </c>
      <c r="AI688">
        <v>3</v>
      </c>
      <c r="AJ688">
        <v>0</v>
      </c>
      <c r="AK688">
        <v>4</v>
      </c>
      <c r="AL688" t="s">
        <v>4220</v>
      </c>
      <c r="AM688" t="s">
        <v>91</v>
      </c>
      <c r="AN688" t="s">
        <v>12563</v>
      </c>
      <c r="AO688" t="s">
        <v>659</v>
      </c>
      <c r="AP688" t="s">
        <v>674</v>
      </c>
      <c r="AQ688" t="s">
        <v>74</v>
      </c>
      <c r="AR688" t="s">
        <v>660</v>
      </c>
      <c r="AS688" t="s">
        <v>661</v>
      </c>
      <c r="AT688" t="s">
        <v>12548</v>
      </c>
      <c r="AU688">
        <v>2011</v>
      </c>
      <c r="AV688">
        <v>51</v>
      </c>
      <c r="AW688">
        <v>2</v>
      </c>
      <c r="AX688" t="s">
        <v>74</v>
      </c>
      <c r="AY688" t="s">
        <v>74</v>
      </c>
      <c r="AZ688" t="s">
        <v>74</v>
      </c>
      <c r="BA688" t="s">
        <v>74</v>
      </c>
      <c r="BB688">
        <v>213</v>
      </c>
      <c r="BC688">
        <v>220</v>
      </c>
      <c r="BD688" t="s">
        <v>74</v>
      </c>
      <c r="BE688" t="s">
        <v>12564</v>
      </c>
      <c r="BF688" t="str">
        <f>HYPERLINK("http://dx.doi.org/10.1134/S0001437011020020","http://dx.doi.org/10.1134/S0001437011020020")</f>
        <v>http://dx.doi.org/10.1134/S0001437011020020</v>
      </c>
      <c r="BG688" t="s">
        <v>74</v>
      </c>
      <c r="BH688" t="s">
        <v>74</v>
      </c>
      <c r="BI688">
        <v>8</v>
      </c>
      <c r="BJ688" t="s">
        <v>271</v>
      </c>
      <c r="BK688" t="s">
        <v>100</v>
      </c>
      <c r="BL688" t="s">
        <v>271</v>
      </c>
      <c r="BM688" t="s">
        <v>12550</v>
      </c>
      <c r="BN688" t="s">
        <v>74</v>
      </c>
      <c r="BO688" t="s">
        <v>74</v>
      </c>
      <c r="BP688" t="s">
        <v>74</v>
      </c>
      <c r="BQ688" t="s">
        <v>74</v>
      </c>
      <c r="BR688" t="s">
        <v>103</v>
      </c>
      <c r="BS688" t="s">
        <v>12565</v>
      </c>
      <c r="BT688" t="str">
        <f>HYPERLINK("https%3A%2F%2Fwww.webofscience.com%2Fwos%2Fwoscc%2Ffull-record%2FWOS:000298562300003","View Full Record in Web of Science")</f>
        <v>View Full Record in Web of Science</v>
      </c>
    </row>
    <row r="689" spans="1:72" x14ac:dyDescent="0.15">
      <c r="A689" t="s">
        <v>72</v>
      </c>
      <c r="B689" t="s">
        <v>12566</v>
      </c>
      <c r="C689" t="s">
        <v>74</v>
      </c>
      <c r="D689" t="s">
        <v>74</v>
      </c>
      <c r="E689" t="s">
        <v>74</v>
      </c>
      <c r="F689" t="s">
        <v>12567</v>
      </c>
      <c r="G689" t="s">
        <v>74</v>
      </c>
      <c r="H689" t="s">
        <v>74</v>
      </c>
      <c r="I689" t="s">
        <v>12568</v>
      </c>
      <c r="J689" t="s">
        <v>647</v>
      </c>
      <c r="K689" t="s">
        <v>74</v>
      </c>
      <c r="L689" t="s">
        <v>74</v>
      </c>
      <c r="M689" t="s">
        <v>78</v>
      </c>
      <c r="N689" t="s">
        <v>79</v>
      </c>
      <c r="O689" t="s">
        <v>74</v>
      </c>
      <c r="P689" t="s">
        <v>74</v>
      </c>
      <c r="Q689" t="s">
        <v>74</v>
      </c>
      <c r="R689" t="s">
        <v>74</v>
      </c>
      <c r="S689" t="s">
        <v>74</v>
      </c>
      <c r="T689" t="s">
        <v>74</v>
      </c>
      <c r="U689" t="s">
        <v>12569</v>
      </c>
      <c r="V689" t="s">
        <v>12570</v>
      </c>
      <c r="W689" t="s">
        <v>12571</v>
      </c>
      <c r="X689" t="s">
        <v>651</v>
      </c>
      <c r="Y689" t="s">
        <v>12572</v>
      </c>
      <c r="Z689" t="s">
        <v>12573</v>
      </c>
      <c r="AA689" t="s">
        <v>12574</v>
      </c>
      <c r="AB689" t="s">
        <v>12575</v>
      </c>
      <c r="AC689" t="s">
        <v>12576</v>
      </c>
      <c r="AD689" t="s">
        <v>12577</v>
      </c>
      <c r="AE689" t="s">
        <v>12578</v>
      </c>
      <c r="AF689" t="s">
        <v>74</v>
      </c>
      <c r="AG689">
        <v>76</v>
      </c>
      <c r="AH689">
        <v>11</v>
      </c>
      <c r="AI689">
        <v>12</v>
      </c>
      <c r="AJ689">
        <v>0</v>
      </c>
      <c r="AK689">
        <v>8</v>
      </c>
      <c r="AL689" t="s">
        <v>624</v>
      </c>
      <c r="AM689" t="s">
        <v>91</v>
      </c>
      <c r="AN689" t="s">
        <v>625</v>
      </c>
      <c r="AO689" t="s">
        <v>659</v>
      </c>
      <c r="AP689" t="s">
        <v>674</v>
      </c>
      <c r="AQ689" t="s">
        <v>74</v>
      </c>
      <c r="AR689" t="s">
        <v>660</v>
      </c>
      <c r="AS689" t="s">
        <v>661</v>
      </c>
      <c r="AT689" t="s">
        <v>12548</v>
      </c>
      <c r="AU689">
        <v>2011</v>
      </c>
      <c r="AV689">
        <v>51</v>
      </c>
      <c r="AW689">
        <v>2</v>
      </c>
      <c r="AX689" t="s">
        <v>74</v>
      </c>
      <c r="AY689" t="s">
        <v>74</v>
      </c>
      <c r="AZ689" t="s">
        <v>74</v>
      </c>
      <c r="BA689" t="s">
        <v>74</v>
      </c>
      <c r="BB689">
        <v>281</v>
      </c>
      <c r="BC689">
        <v>294</v>
      </c>
      <c r="BD689" t="s">
        <v>74</v>
      </c>
      <c r="BE689" t="s">
        <v>12579</v>
      </c>
      <c r="BF689" t="str">
        <f>HYPERLINK("http://dx.doi.org/10.1134/S0001437011020056","http://dx.doi.org/10.1134/S0001437011020056")</f>
        <v>http://dx.doi.org/10.1134/S0001437011020056</v>
      </c>
      <c r="BG689" t="s">
        <v>74</v>
      </c>
      <c r="BH689" t="s">
        <v>74</v>
      </c>
      <c r="BI689">
        <v>14</v>
      </c>
      <c r="BJ689" t="s">
        <v>271</v>
      </c>
      <c r="BK689" t="s">
        <v>100</v>
      </c>
      <c r="BL689" t="s">
        <v>271</v>
      </c>
      <c r="BM689" t="s">
        <v>12550</v>
      </c>
      <c r="BN689" t="s">
        <v>74</v>
      </c>
      <c r="BO689" t="s">
        <v>74</v>
      </c>
      <c r="BP689" t="s">
        <v>74</v>
      </c>
      <c r="BQ689" t="s">
        <v>74</v>
      </c>
      <c r="BR689" t="s">
        <v>103</v>
      </c>
      <c r="BS689" t="s">
        <v>12580</v>
      </c>
      <c r="BT689" t="str">
        <f>HYPERLINK("https%3A%2F%2Fwww.webofscience.com%2Fwos%2Fwoscc%2Ffull-record%2FWOS:000298562300011","View Full Record in Web of Science")</f>
        <v>View Full Record in Web of Science</v>
      </c>
    </row>
    <row r="690" spans="1:72" x14ac:dyDescent="0.15">
      <c r="A690" t="s">
        <v>72</v>
      </c>
      <c r="B690" t="s">
        <v>12581</v>
      </c>
      <c r="C690" t="s">
        <v>74</v>
      </c>
      <c r="D690" t="s">
        <v>74</v>
      </c>
      <c r="E690" t="s">
        <v>74</v>
      </c>
      <c r="F690" t="s">
        <v>12582</v>
      </c>
      <c r="G690" t="s">
        <v>74</v>
      </c>
      <c r="H690" t="s">
        <v>74</v>
      </c>
      <c r="I690" t="s">
        <v>12583</v>
      </c>
      <c r="J690" t="s">
        <v>647</v>
      </c>
      <c r="K690" t="s">
        <v>74</v>
      </c>
      <c r="L690" t="s">
        <v>74</v>
      </c>
      <c r="M690" t="s">
        <v>78</v>
      </c>
      <c r="N690" t="s">
        <v>79</v>
      </c>
      <c r="O690" t="s">
        <v>74</v>
      </c>
      <c r="P690" t="s">
        <v>74</v>
      </c>
      <c r="Q690" t="s">
        <v>74</v>
      </c>
      <c r="R690" t="s">
        <v>74</v>
      </c>
      <c r="S690" t="s">
        <v>74</v>
      </c>
      <c r="T690" t="s">
        <v>74</v>
      </c>
      <c r="U690" t="s">
        <v>12584</v>
      </c>
      <c r="V690" t="s">
        <v>12585</v>
      </c>
      <c r="W690" t="s">
        <v>12586</v>
      </c>
      <c r="X690" t="s">
        <v>651</v>
      </c>
      <c r="Y690" t="s">
        <v>12587</v>
      </c>
      <c r="Z690" t="s">
        <v>12588</v>
      </c>
      <c r="AA690" t="s">
        <v>74</v>
      </c>
      <c r="AB690" t="s">
        <v>74</v>
      </c>
      <c r="AC690" t="s">
        <v>74</v>
      </c>
      <c r="AD690" t="s">
        <v>74</v>
      </c>
      <c r="AE690" t="s">
        <v>74</v>
      </c>
      <c r="AF690" t="s">
        <v>74</v>
      </c>
      <c r="AG690">
        <v>40</v>
      </c>
      <c r="AH690">
        <v>3</v>
      </c>
      <c r="AI690">
        <v>3</v>
      </c>
      <c r="AJ690">
        <v>0</v>
      </c>
      <c r="AK690">
        <v>12</v>
      </c>
      <c r="AL690" t="s">
        <v>624</v>
      </c>
      <c r="AM690" t="s">
        <v>91</v>
      </c>
      <c r="AN690" t="s">
        <v>625</v>
      </c>
      <c r="AO690" t="s">
        <v>659</v>
      </c>
      <c r="AP690" t="s">
        <v>674</v>
      </c>
      <c r="AQ690" t="s">
        <v>74</v>
      </c>
      <c r="AR690" t="s">
        <v>660</v>
      </c>
      <c r="AS690" t="s">
        <v>661</v>
      </c>
      <c r="AT690" t="s">
        <v>12548</v>
      </c>
      <c r="AU690">
        <v>2011</v>
      </c>
      <c r="AV690">
        <v>51</v>
      </c>
      <c r="AW690">
        <v>2</v>
      </c>
      <c r="AX690" t="s">
        <v>74</v>
      </c>
      <c r="AY690" t="s">
        <v>74</v>
      </c>
      <c r="AZ690" t="s">
        <v>74</v>
      </c>
      <c r="BA690" t="s">
        <v>74</v>
      </c>
      <c r="BB690">
        <v>306</v>
      </c>
      <c r="BC690">
        <v>314</v>
      </c>
      <c r="BD690" t="s">
        <v>74</v>
      </c>
      <c r="BE690" t="s">
        <v>12589</v>
      </c>
      <c r="BF690" t="str">
        <f>HYPERLINK("http://dx.doi.org/10.1134/S0001437011020019","http://dx.doi.org/10.1134/S0001437011020019")</f>
        <v>http://dx.doi.org/10.1134/S0001437011020019</v>
      </c>
      <c r="BG690" t="s">
        <v>74</v>
      </c>
      <c r="BH690" t="s">
        <v>74</v>
      </c>
      <c r="BI690">
        <v>9</v>
      </c>
      <c r="BJ690" t="s">
        <v>271</v>
      </c>
      <c r="BK690" t="s">
        <v>100</v>
      </c>
      <c r="BL690" t="s">
        <v>271</v>
      </c>
      <c r="BM690" t="s">
        <v>12550</v>
      </c>
      <c r="BN690" t="s">
        <v>74</v>
      </c>
      <c r="BO690" t="s">
        <v>74</v>
      </c>
      <c r="BP690" t="s">
        <v>74</v>
      </c>
      <c r="BQ690" t="s">
        <v>74</v>
      </c>
      <c r="BR690" t="s">
        <v>103</v>
      </c>
      <c r="BS690" t="s">
        <v>12590</v>
      </c>
      <c r="BT690" t="str">
        <f>HYPERLINK("https%3A%2F%2Fwww.webofscience.com%2Fwos%2Fwoscc%2Ffull-record%2FWOS:000298562300013","View Full Record in Web of Science")</f>
        <v>View Full Record in Web of Science</v>
      </c>
    </row>
    <row r="691" spans="1:72" x14ac:dyDescent="0.15">
      <c r="A691" t="s">
        <v>72</v>
      </c>
      <c r="B691" t="s">
        <v>12591</v>
      </c>
      <c r="C691" t="s">
        <v>74</v>
      </c>
      <c r="D691" t="s">
        <v>74</v>
      </c>
      <c r="E691" t="s">
        <v>74</v>
      </c>
      <c r="F691" t="s">
        <v>12592</v>
      </c>
      <c r="G691" t="s">
        <v>74</v>
      </c>
      <c r="H691" t="s">
        <v>74</v>
      </c>
      <c r="I691" t="s">
        <v>12593</v>
      </c>
      <c r="J691" t="s">
        <v>647</v>
      </c>
      <c r="K691" t="s">
        <v>74</v>
      </c>
      <c r="L691" t="s">
        <v>74</v>
      </c>
      <c r="M691" t="s">
        <v>78</v>
      </c>
      <c r="N691" t="s">
        <v>79</v>
      </c>
      <c r="O691" t="s">
        <v>74</v>
      </c>
      <c r="P691" t="s">
        <v>74</v>
      </c>
      <c r="Q691" t="s">
        <v>74</v>
      </c>
      <c r="R691" t="s">
        <v>74</v>
      </c>
      <c r="S691" t="s">
        <v>74</v>
      </c>
      <c r="T691" t="s">
        <v>74</v>
      </c>
      <c r="U691" t="s">
        <v>12594</v>
      </c>
      <c r="V691" t="s">
        <v>12595</v>
      </c>
      <c r="W691" t="s">
        <v>12596</v>
      </c>
      <c r="X691" t="s">
        <v>651</v>
      </c>
      <c r="Y691" t="s">
        <v>12597</v>
      </c>
      <c r="Z691" t="s">
        <v>12598</v>
      </c>
      <c r="AA691" t="s">
        <v>12599</v>
      </c>
      <c r="AB691" t="s">
        <v>74</v>
      </c>
      <c r="AC691" t="s">
        <v>74</v>
      </c>
      <c r="AD691" t="s">
        <v>74</v>
      </c>
      <c r="AE691" t="s">
        <v>74</v>
      </c>
      <c r="AF691" t="s">
        <v>74</v>
      </c>
      <c r="AG691">
        <v>33</v>
      </c>
      <c r="AH691">
        <v>1</v>
      </c>
      <c r="AI691">
        <v>1</v>
      </c>
      <c r="AJ691">
        <v>0</v>
      </c>
      <c r="AK691">
        <v>3</v>
      </c>
      <c r="AL691" t="s">
        <v>624</v>
      </c>
      <c r="AM691" t="s">
        <v>91</v>
      </c>
      <c r="AN691" t="s">
        <v>625</v>
      </c>
      <c r="AO691" t="s">
        <v>659</v>
      </c>
      <c r="AP691" t="s">
        <v>74</v>
      </c>
      <c r="AQ691" t="s">
        <v>74</v>
      </c>
      <c r="AR691" t="s">
        <v>660</v>
      </c>
      <c r="AS691" t="s">
        <v>661</v>
      </c>
      <c r="AT691" t="s">
        <v>12548</v>
      </c>
      <c r="AU691">
        <v>2011</v>
      </c>
      <c r="AV691">
        <v>51</v>
      </c>
      <c r="AW691">
        <v>2</v>
      </c>
      <c r="AX691" t="s">
        <v>74</v>
      </c>
      <c r="AY691" t="s">
        <v>74</v>
      </c>
      <c r="AZ691" t="s">
        <v>74</v>
      </c>
      <c r="BA691" t="s">
        <v>74</v>
      </c>
      <c r="BB691">
        <v>329</v>
      </c>
      <c r="BC691">
        <v>334</v>
      </c>
      <c r="BD691" t="s">
        <v>74</v>
      </c>
      <c r="BE691" t="s">
        <v>12600</v>
      </c>
      <c r="BF691" t="str">
        <f>HYPERLINK("http://dx.doi.org/10.1134/S0001437011020160","http://dx.doi.org/10.1134/S0001437011020160")</f>
        <v>http://dx.doi.org/10.1134/S0001437011020160</v>
      </c>
      <c r="BG691" t="s">
        <v>74</v>
      </c>
      <c r="BH691" t="s">
        <v>74</v>
      </c>
      <c r="BI691">
        <v>6</v>
      </c>
      <c r="BJ691" t="s">
        <v>271</v>
      </c>
      <c r="BK691" t="s">
        <v>100</v>
      </c>
      <c r="BL691" t="s">
        <v>271</v>
      </c>
      <c r="BM691" t="s">
        <v>12550</v>
      </c>
      <c r="BN691" t="s">
        <v>74</v>
      </c>
      <c r="BO691" t="s">
        <v>74</v>
      </c>
      <c r="BP691" t="s">
        <v>74</v>
      </c>
      <c r="BQ691" t="s">
        <v>74</v>
      </c>
      <c r="BR691" t="s">
        <v>103</v>
      </c>
      <c r="BS691" t="s">
        <v>12601</v>
      </c>
      <c r="BT691" t="str">
        <f>HYPERLINK("https%3A%2F%2Fwww.webofscience.com%2Fwos%2Fwoscc%2Ffull-record%2FWOS:000298562300015","View Full Record in Web of Science")</f>
        <v>View Full Record in Web of Science</v>
      </c>
    </row>
    <row r="692" spans="1:72" x14ac:dyDescent="0.15">
      <c r="A692" t="s">
        <v>72</v>
      </c>
      <c r="B692" t="s">
        <v>12602</v>
      </c>
      <c r="C692" t="s">
        <v>74</v>
      </c>
      <c r="D692" t="s">
        <v>74</v>
      </c>
      <c r="E692" t="s">
        <v>74</v>
      </c>
      <c r="F692" t="s">
        <v>12603</v>
      </c>
      <c r="G692" t="s">
        <v>74</v>
      </c>
      <c r="H692" t="s">
        <v>74</v>
      </c>
      <c r="I692" t="s">
        <v>12604</v>
      </c>
      <c r="J692" t="s">
        <v>1289</v>
      </c>
      <c r="K692" t="s">
        <v>74</v>
      </c>
      <c r="L692" t="s">
        <v>74</v>
      </c>
      <c r="M692" t="s">
        <v>78</v>
      </c>
      <c r="N692" t="s">
        <v>79</v>
      </c>
      <c r="O692" t="s">
        <v>74</v>
      </c>
      <c r="P692" t="s">
        <v>74</v>
      </c>
      <c r="Q692" t="s">
        <v>74</v>
      </c>
      <c r="R692" t="s">
        <v>74</v>
      </c>
      <c r="S692" t="s">
        <v>74</v>
      </c>
      <c r="T692" t="s">
        <v>74</v>
      </c>
      <c r="U692" t="s">
        <v>12605</v>
      </c>
      <c r="V692" t="s">
        <v>12606</v>
      </c>
      <c r="W692" t="s">
        <v>12607</v>
      </c>
      <c r="X692" t="s">
        <v>12608</v>
      </c>
      <c r="Y692" t="s">
        <v>12609</v>
      </c>
      <c r="Z692" t="s">
        <v>12610</v>
      </c>
      <c r="AA692" t="s">
        <v>12611</v>
      </c>
      <c r="AB692" t="s">
        <v>12612</v>
      </c>
      <c r="AC692" t="s">
        <v>12613</v>
      </c>
      <c r="AD692" t="s">
        <v>4493</v>
      </c>
      <c r="AE692" t="s">
        <v>12614</v>
      </c>
      <c r="AF692" t="s">
        <v>74</v>
      </c>
      <c r="AG692">
        <v>54</v>
      </c>
      <c r="AH692">
        <v>22</v>
      </c>
      <c r="AI692">
        <v>23</v>
      </c>
      <c r="AJ692">
        <v>0</v>
      </c>
      <c r="AK692">
        <v>4</v>
      </c>
      <c r="AL692" t="s">
        <v>1275</v>
      </c>
      <c r="AM692" t="s">
        <v>1276</v>
      </c>
      <c r="AN692" t="s">
        <v>1277</v>
      </c>
      <c r="AO692" t="s">
        <v>1301</v>
      </c>
      <c r="AP692" t="s">
        <v>74</v>
      </c>
      <c r="AQ692" t="s">
        <v>74</v>
      </c>
      <c r="AR692" t="s">
        <v>1303</v>
      </c>
      <c r="AS692" t="s">
        <v>1304</v>
      </c>
      <c r="AT692" t="s">
        <v>12548</v>
      </c>
      <c r="AU692">
        <v>2011</v>
      </c>
      <c r="AV692">
        <v>41</v>
      </c>
      <c r="AW692">
        <v>4</v>
      </c>
      <c r="AX692" t="s">
        <v>74</v>
      </c>
      <c r="AY692" t="s">
        <v>74</v>
      </c>
      <c r="AZ692" t="s">
        <v>74</v>
      </c>
      <c r="BA692" t="s">
        <v>74</v>
      </c>
      <c r="BB692">
        <v>757</v>
      </c>
      <c r="BC692">
        <v>780</v>
      </c>
      <c r="BD692" t="s">
        <v>74</v>
      </c>
      <c r="BE692" t="s">
        <v>12615</v>
      </c>
      <c r="BF692" t="str">
        <f>HYPERLINK("http://dx.doi.org/10.1175/2010JPO4538.1","http://dx.doi.org/10.1175/2010JPO4538.1")</f>
        <v>http://dx.doi.org/10.1175/2010JPO4538.1</v>
      </c>
      <c r="BG692" t="s">
        <v>74</v>
      </c>
      <c r="BH692" t="s">
        <v>74</v>
      </c>
      <c r="BI692">
        <v>24</v>
      </c>
      <c r="BJ692" t="s">
        <v>271</v>
      </c>
      <c r="BK692" t="s">
        <v>100</v>
      </c>
      <c r="BL692" t="s">
        <v>271</v>
      </c>
      <c r="BM692" t="s">
        <v>12616</v>
      </c>
      <c r="BN692" t="s">
        <v>74</v>
      </c>
      <c r="BO692" t="s">
        <v>1284</v>
      </c>
      <c r="BP692" t="s">
        <v>74</v>
      </c>
      <c r="BQ692" t="s">
        <v>74</v>
      </c>
      <c r="BR692" t="s">
        <v>103</v>
      </c>
      <c r="BS692" t="s">
        <v>12617</v>
      </c>
      <c r="BT692" t="str">
        <f>HYPERLINK("https%3A%2F%2Fwww.webofscience.com%2Fwos%2Fwoscc%2Ffull-record%2FWOS:000290057200007","View Full Record in Web of Science")</f>
        <v>View Full Record in Web of Science</v>
      </c>
    </row>
    <row r="693" spans="1:72" x14ac:dyDescent="0.15">
      <c r="A693" t="s">
        <v>72</v>
      </c>
      <c r="B693" t="s">
        <v>12618</v>
      </c>
      <c r="C693" t="s">
        <v>74</v>
      </c>
      <c r="D693" t="s">
        <v>74</v>
      </c>
      <c r="E693" t="s">
        <v>74</v>
      </c>
      <c r="F693" t="s">
        <v>12619</v>
      </c>
      <c r="G693" t="s">
        <v>74</v>
      </c>
      <c r="H693" t="s">
        <v>74</v>
      </c>
      <c r="I693" t="s">
        <v>12620</v>
      </c>
      <c r="J693" t="s">
        <v>12621</v>
      </c>
      <c r="K693" t="s">
        <v>74</v>
      </c>
      <c r="L693" t="s">
        <v>74</v>
      </c>
      <c r="M693" t="s">
        <v>78</v>
      </c>
      <c r="N693" t="s">
        <v>79</v>
      </c>
      <c r="O693" t="s">
        <v>74</v>
      </c>
      <c r="P693" t="s">
        <v>74</v>
      </c>
      <c r="Q693" t="s">
        <v>74</v>
      </c>
      <c r="R693" t="s">
        <v>74</v>
      </c>
      <c r="S693" t="s">
        <v>74</v>
      </c>
      <c r="T693" t="s">
        <v>12622</v>
      </c>
      <c r="U693" t="s">
        <v>12623</v>
      </c>
      <c r="V693" t="s">
        <v>12624</v>
      </c>
      <c r="W693" t="s">
        <v>12625</v>
      </c>
      <c r="X693" t="s">
        <v>12626</v>
      </c>
      <c r="Y693" t="s">
        <v>12627</v>
      </c>
      <c r="Z693" t="s">
        <v>12628</v>
      </c>
      <c r="AA693" t="s">
        <v>74</v>
      </c>
      <c r="AB693" t="s">
        <v>74</v>
      </c>
      <c r="AC693" t="s">
        <v>74</v>
      </c>
      <c r="AD693" t="s">
        <v>74</v>
      </c>
      <c r="AE693" t="s">
        <v>74</v>
      </c>
      <c r="AF693" t="s">
        <v>74</v>
      </c>
      <c r="AG693">
        <v>39</v>
      </c>
      <c r="AH693">
        <v>14</v>
      </c>
      <c r="AI693">
        <v>14</v>
      </c>
      <c r="AJ693">
        <v>0</v>
      </c>
      <c r="AK693">
        <v>13</v>
      </c>
      <c r="AL693" t="s">
        <v>12629</v>
      </c>
      <c r="AM693" t="s">
        <v>5521</v>
      </c>
      <c r="AN693" t="s">
        <v>12630</v>
      </c>
      <c r="AO693" t="s">
        <v>12631</v>
      </c>
      <c r="AP693" t="s">
        <v>12632</v>
      </c>
      <c r="AQ693" t="s">
        <v>74</v>
      </c>
      <c r="AR693" t="s">
        <v>12633</v>
      </c>
      <c r="AS693" t="s">
        <v>12634</v>
      </c>
      <c r="AT693" t="s">
        <v>12548</v>
      </c>
      <c r="AU693">
        <v>2011</v>
      </c>
      <c r="AV693">
        <v>311</v>
      </c>
      <c r="AW693">
        <v>4</v>
      </c>
      <c r="AX693" t="s">
        <v>74</v>
      </c>
      <c r="AY693" t="s">
        <v>74</v>
      </c>
      <c r="AZ693" t="s">
        <v>74</v>
      </c>
      <c r="BA693" t="s">
        <v>74</v>
      </c>
      <c r="BB693">
        <v>315</v>
      </c>
      <c r="BC693">
        <v>334</v>
      </c>
      <c r="BD693" t="s">
        <v>74</v>
      </c>
      <c r="BE693" t="s">
        <v>12635</v>
      </c>
      <c r="BF693" t="str">
        <f>HYPERLINK("http://dx.doi.org/10.2475/04.2011.02","http://dx.doi.org/10.2475/04.2011.02")</f>
        <v>http://dx.doi.org/10.2475/04.2011.02</v>
      </c>
      <c r="BG693" t="s">
        <v>74</v>
      </c>
      <c r="BH693" t="s">
        <v>74</v>
      </c>
      <c r="BI693">
        <v>20</v>
      </c>
      <c r="BJ693" t="s">
        <v>130</v>
      </c>
      <c r="BK693" t="s">
        <v>100</v>
      </c>
      <c r="BL693" t="s">
        <v>131</v>
      </c>
      <c r="BM693" t="s">
        <v>12636</v>
      </c>
      <c r="BN693" t="s">
        <v>74</v>
      </c>
      <c r="BO693" t="s">
        <v>152</v>
      </c>
      <c r="BP693" t="s">
        <v>74</v>
      </c>
      <c r="BQ693" t="s">
        <v>74</v>
      </c>
      <c r="BR693" t="s">
        <v>103</v>
      </c>
      <c r="BS693" t="s">
        <v>12637</v>
      </c>
      <c r="BT693" t="str">
        <f>HYPERLINK("https%3A%2F%2Fwww.webofscience.com%2Fwos%2Fwoscc%2Ffull-record%2FWOS:000294093200002","View Full Record in Web of Science")</f>
        <v>View Full Record in Web of Science</v>
      </c>
    </row>
    <row r="694" spans="1:72" x14ac:dyDescent="0.15">
      <c r="A694" t="s">
        <v>72</v>
      </c>
      <c r="B694" t="s">
        <v>12638</v>
      </c>
      <c r="C694" t="s">
        <v>74</v>
      </c>
      <c r="D694" t="s">
        <v>74</v>
      </c>
      <c r="E694" t="s">
        <v>74</v>
      </c>
      <c r="F694" t="s">
        <v>12639</v>
      </c>
      <c r="G694" t="s">
        <v>74</v>
      </c>
      <c r="H694" t="s">
        <v>74</v>
      </c>
      <c r="I694" t="s">
        <v>12640</v>
      </c>
      <c r="J694" t="s">
        <v>12641</v>
      </c>
      <c r="K694" t="s">
        <v>74</v>
      </c>
      <c r="L694" t="s">
        <v>74</v>
      </c>
      <c r="M694" t="s">
        <v>78</v>
      </c>
      <c r="N694" t="s">
        <v>79</v>
      </c>
      <c r="O694" t="s">
        <v>74</v>
      </c>
      <c r="P694" t="s">
        <v>74</v>
      </c>
      <c r="Q694" t="s">
        <v>74</v>
      </c>
      <c r="R694" t="s">
        <v>74</v>
      </c>
      <c r="S694" t="s">
        <v>74</v>
      </c>
      <c r="T694" t="s">
        <v>12642</v>
      </c>
      <c r="U694" t="s">
        <v>12643</v>
      </c>
      <c r="V694" t="s">
        <v>12644</v>
      </c>
      <c r="W694" t="s">
        <v>12645</v>
      </c>
      <c r="X694" t="s">
        <v>12646</v>
      </c>
      <c r="Y694" t="s">
        <v>12647</v>
      </c>
      <c r="Z694" t="s">
        <v>12648</v>
      </c>
      <c r="AA694" t="s">
        <v>12649</v>
      </c>
      <c r="AB694" t="s">
        <v>12650</v>
      </c>
      <c r="AC694" t="s">
        <v>12651</v>
      </c>
      <c r="AD694" t="s">
        <v>12652</v>
      </c>
      <c r="AE694" t="s">
        <v>12653</v>
      </c>
      <c r="AF694" t="s">
        <v>74</v>
      </c>
      <c r="AG694">
        <v>47</v>
      </c>
      <c r="AH694">
        <v>34</v>
      </c>
      <c r="AI694">
        <v>37</v>
      </c>
      <c r="AJ694">
        <v>1</v>
      </c>
      <c r="AK694">
        <v>28</v>
      </c>
      <c r="AL694" t="s">
        <v>1441</v>
      </c>
      <c r="AM694" t="s">
        <v>91</v>
      </c>
      <c r="AN694" t="s">
        <v>1902</v>
      </c>
      <c r="AO694" t="s">
        <v>12654</v>
      </c>
      <c r="AP694" t="s">
        <v>12655</v>
      </c>
      <c r="AQ694" t="s">
        <v>74</v>
      </c>
      <c r="AR694" t="s">
        <v>12656</v>
      </c>
      <c r="AS694" t="s">
        <v>12657</v>
      </c>
      <c r="AT694" t="s">
        <v>12548</v>
      </c>
      <c r="AU694">
        <v>2011</v>
      </c>
      <c r="AV694">
        <v>59</v>
      </c>
      <c r="AW694">
        <v>2</v>
      </c>
      <c r="AX694" t="s">
        <v>74</v>
      </c>
      <c r="AY694" t="s">
        <v>74</v>
      </c>
      <c r="AZ694" t="s">
        <v>74</v>
      </c>
      <c r="BA694" t="s">
        <v>74</v>
      </c>
      <c r="BB694">
        <v>147</v>
      </c>
      <c r="BC694">
        <v>164</v>
      </c>
      <c r="BD694" t="s">
        <v>74</v>
      </c>
      <c r="BE694" t="s">
        <v>12658</v>
      </c>
      <c r="BF694" t="str">
        <f>HYPERLINK("http://dx.doi.org/10.1346/CCMN.2011.0590204","http://dx.doi.org/10.1346/CCMN.2011.0590204")</f>
        <v>http://dx.doi.org/10.1346/CCMN.2011.0590204</v>
      </c>
      <c r="BG694" t="s">
        <v>74</v>
      </c>
      <c r="BH694" t="s">
        <v>74</v>
      </c>
      <c r="BI694">
        <v>18</v>
      </c>
      <c r="BJ694" t="s">
        <v>12659</v>
      </c>
      <c r="BK694" t="s">
        <v>100</v>
      </c>
      <c r="BL694" t="s">
        <v>12660</v>
      </c>
      <c r="BM694" t="s">
        <v>12661</v>
      </c>
      <c r="BN694" t="s">
        <v>74</v>
      </c>
      <c r="BO694" t="s">
        <v>74</v>
      </c>
      <c r="BP694" t="s">
        <v>74</v>
      </c>
      <c r="BQ694" t="s">
        <v>74</v>
      </c>
      <c r="BR694" t="s">
        <v>103</v>
      </c>
      <c r="BS694" t="s">
        <v>12662</v>
      </c>
      <c r="BT694" t="str">
        <f>HYPERLINK("https%3A%2F%2Fwww.webofscience.com%2Fwos%2Fwoscc%2Ffull-record%2FWOS:000293260600004","View Full Record in Web of Science")</f>
        <v>View Full Record in Web of Science</v>
      </c>
    </row>
    <row r="695" spans="1:72" x14ac:dyDescent="0.15">
      <c r="A695" t="s">
        <v>72</v>
      </c>
      <c r="B695" t="s">
        <v>12663</v>
      </c>
      <c r="C695" t="s">
        <v>74</v>
      </c>
      <c r="D695" t="s">
        <v>74</v>
      </c>
      <c r="E695" t="s">
        <v>74</v>
      </c>
      <c r="F695" t="s">
        <v>12664</v>
      </c>
      <c r="G695" t="s">
        <v>74</v>
      </c>
      <c r="H695" t="s">
        <v>74</v>
      </c>
      <c r="I695" t="s">
        <v>12665</v>
      </c>
      <c r="J695" t="s">
        <v>5948</v>
      </c>
      <c r="K695" t="s">
        <v>74</v>
      </c>
      <c r="L695" t="s">
        <v>74</v>
      </c>
      <c r="M695" t="s">
        <v>78</v>
      </c>
      <c r="N695" t="s">
        <v>79</v>
      </c>
      <c r="O695" t="s">
        <v>74</v>
      </c>
      <c r="P695" t="s">
        <v>74</v>
      </c>
      <c r="Q695" t="s">
        <v>74</v>
      </c>
      <c r="R695" t="s">
        <v>74</v>
      </c>
      <c r="S695" t="s">
        <v>74</v>
      </c>
      <c r="T695" t="s">
        <v>74</v>
      </c>
      <c r="U695" t="s">
        <v>74</v>
      </c>
      <c r="V695" t="s">
        <v>12666</v>
      </c>
      <c r="W695" t="s">
        <v>74</v>
      </c>
      <c r="X695" t="s">
        <v>74</v>
      </c>
      <c r="Y695" t="s">
        <v>12667</v>
      </c>
      <c r="Z695" t="s">
        <v>12668</v>
      </c>
      <c r="AA695" t="s">
        <v>74</v>
      </c>
      <c r="AB695" t="s">
        <v>74</v>
      </c>
      <c r="AC695" t="s">
        <v>74</v>
      </c>
      <c r="AD695" t="s">
        <v>74</v>
      </c>
      <c r="AE695" t="s">
        <v>74</v>
      </c>
      <c r="AF695" t="s">
        <v>74</v>
      </c>
      <c r="AG695">
        <v>135</v>
      </c>
      <c r="AH695">
        <v>3</v>
      </c>
      <c r="AI695">
        <v>4</v>
      </c>
      <c r="AJ695">
        <v>0</v>
      </c>
      <c r="AK695">
        <v>7</v>
      </c>
      <c r="AL695" t="s">
        <v>693</v>
      </c>
      <c r="AM695" t="s">
        <v>91</v>
      </c>
      <c r="AN695" t="s">
        <v>694</v>
      </c>
      <c r="AO695" t="s">
        <v>5957</v>
      </c>
      <c r="AP695" t="s">
        <v>74</v>
      </c>
      <c r="AQ695" t="s">
        <v>74</v>
      </c>
      <c r="AR695" t="s">
        <v>5959</v>
      </c>
      <c r="AS695" t="s">
        <v>5960</v>
      </c>
      <c r="AT695" t="s">
        <v>12548</v>
      </c>
      <c r="AU695">
        <v>2011</v>
      </c>
      <c r="AV695">
        <v>47</v>
      </c>
      <c r="AW695">
        <v>241</v>
      </c>
      <c r="AX695" t="s">
        <v>74</v>
      </c>
      <c r="AY695" t="s">
        <v>74</v>
      </c>
      <c r="AZ695" t="s">
        <v>74</v>
      </c>
      <c r="BA695" t="s">
        <v>74</v>
      </c>
      <c r="BB695">
        <v>135</v>
      </c>
      <c r="BC695">
        <v>155</v>
      </c>
      <c r="BD695" t="s">
        <v>74</v>
      </c>
      <c r="BE695" t="s">
        <v>12669</v>
      </c>
      <c r="BF695" t="str">
        <f>HYPERLINK("http://dx.doi.org/10.1017/S003224741000015X","http://dx.doi.org/10.1017/S003224741000015X")</f>
        <v>http://dx.doi.org/10.1017/S003224741000015X</v>
      </c>
      <c r="BG695" t="s">
        <v>74</v>
      </c>
      <c r="BH695" t="s">
        <v>74</v>
      </c>
      <c r="BI695">
        <v>21</v>
      </c>
      <c r="BJ695" t="s">
        <v>5962</v>
      </c>
      <c r="BK695" t="s">
        <v>100</v>
      </c>
      <c r="BL695" t="s">
        <v>5193</v>
      </c>
      <c r="BM695" t="s">
        <v>12670</v>
      </c>
      <c r="BN695" t="s">
        <v>74</v>
      </c>
      <c r="BO695" t="s">
        <v>74</v>
      </c>
      <c r="BP695" t="s">
        <v>74</v>
      </c>
      <c r="BQ695" t="s">
        <v>74</v>
      </c>
      <c r="BR695" t="s">
        <v>103</v>
      </c>
      <c r="BS695" t="s">
        <v>12671</v>
      </c>
      <c r="BT695" t="str">
        <f>HYPERLINK("https%3A%2F%2Fwww.webofscience.com%2Fwos%2Fwoscc%2Ffull-record%2FWOS:000287635200003","View Full Record in Web of Science")</f>
        <v>View Full Record in Web of Science</v>
      </c>
    </row>
    <row r="696" spans="1:72" x14ac:dyDescent="0.15">
      <c r="A696" t="s">
        <v>72</v>
      </c>
      <c r="B696" t="s">
        <v>12672</v>
      </c>
      <c r="C696" t="s">
        <v>74</v>
      </c>
      <c r="D696" t="s">
        <v>74</v>
      </c>
      <c r="E696" t="s">
        <v>74</v>
      </c>
      <c r="F696" t="s">
        <v>12673</v>
      </c>
      <c r="G696" t="s">
        <v>74</v>
      </c>
      <c r="H696" t="s">
        <v>74</v>
      </c>
      <c r="I696" t="s">
        <v>12674</v>
      </c>
      <c r="J696" t="s">
        <v>12675</v>
      </c>
      <c r="K696" t="s">
        <v>74</v>
      </c>
      <c r="L696" t="s">
        <v>74</v>
      </c>
      <c r="M696" t="s">
        <v>78</v>
      </c>
      <c r="N696" t="s">
        <v>79</v>
      </c>
      <c r="O696" t="s">
        <v>74</v>
      </c>
      <c r="P696" t="s">
        <v>74</v>
      </c>
      <c r="Q696" t="s">
        <v>74</v>
      </c>
      <c r="R696" t="s">
        <v>74</v>
      </c>
      <c r="S696" t="s">
        <v>74</v>
      </c>
      <c r="T696" t="s">
        <v>12676</v>
      </c>
      <c r="U696" t="s">
        <v>12677</v>
      </c>
      <c r="V696" t="s">
        <v>12678</v>
      </c>
      <c r="W696" t="s">
        <v>12679</v>
      </c>
      <c r="X696" t="s">
        <v>12680</v>
      </c>
      <c r="Y696" t="s">
        <v>12681</v>
      </c>
      <c r="Z696" t="s">
        <v>12682</v>
      </c>
      <c r="AA696" t="s">
        <v>12683</v>
      </c>
      <c r="AB696" t="s">
        <v>12684</v>
      </c>
      <c r="AC696" t="s">
        <v>12685</v>
      </c>
      <c r="AD696" t="s">
        <v>12686</v>
      </c>
      <c r="AE696" t="s">
        <v>12687</v>
      </c>
      <c r="AF696" t="s">
        <v>74</v>
      </c>
      <c r="AG696">
        <v>50</v>
      </c>
      <c r="AH696">
        <v>30</v>
      </c>
      <c r="AI696">
        <v>33</v>
      </c>
      <c r="AJ696">
        <v>0</v>
      </c>
      <c r="AK696">
        <v>46</v>
      </c>
      <c r="AL696" t="s">
        <v>12688</v>
      </c>
      <c r="AM696" t="s">
        <v>12689</v>
      </c>
      <c r="AN696" t="s">
        <v>12690</v>
      </c>
      <c r="AO696" t="s">
        <v>12691</v>
      </c>
      <c r="AP696" t="s">
        <v>12692</v>
      </c>
      <c r="AQ696" t="s">
        <v>74</v>
      </c>
      <c r="AR696" t="s">
        <v>12693</v>
      </c>
      <c r="AS696" t="s">
        <v>12694</v>
      </c>
      <c r="AT696" t="s">
        <v>12695</v>
      </c>
      <c r="AU696">
        <v>2011</v>
      </c>
      <c r="AV696">
        <v>43</v>
      </c>
      <c r="AW696">
        <v>2</v>
      </c>
      <c r="AX696" t="s">
        <v>74</v>
      </c>
      <c r="AY696" t="s">
        <v>74</v>
      </c>
      <c r="AZ696" t="s">
        <v>74</v>
      </c>
      <c r="BA696" t="s">
        <v>74</v>
      </c>
      <c r="BB696">
        <v>94</v>
      </c>
      <c r="BC696">
        <v>103</v>
      </c>
      <c r="BD696" t="s">
        <v>74</v>
      </c>
      <c r="BE696" t="s">
        <v>74</v>
      </c>
      <c r="BF696" t="s">
        <v>74</v>
      </c>
      <c r="BG696" t="s">
        <v>74</v>
      </c>
      <c r="BH696" t="s">
        <v>74</v>
      </c>
      <c r="BI696">
        <v>10</v>
      </c>
      <c r="BJ696" t="s">
        <v>892</v>
      </c>
      <c r="BK696" t="s">
        <v>100</v>
      </c>
      <c r="BL696" t="s">
        <v>892</v>
      </c>
      <c r="BM696" t="s">
        <v>12696</v>
      </c>
      <c r="BN696">
        <v>21731970</v>
      </c>
      <c r="BO696" t="s">
        <v>74</v>
      </c>
      <c r="BP696" t="s">
        <v>74</v>
      </c>
      <c r="BQ696" t="s">
        <v>74</v>
      </c>
      <c r="BR696" t="s">
        <v>103</v>
      </c>
      <c r="BS696" t="s">
        <v>12697</v>
      </c>
      <c r="BT696" t="str">
        <f>HYPERLINK("https%3A%2F%2Fwww.webofscience.com%2Fwos%2Fwoscc%2Ffull-record%2FWOS:000292416100005","View Full Record in Web of Science")</f>
        <v>View Full Record in Web of Science</v>
      </c>
    </row>
    <row r="697" spans="1:72" x14ac:dyDescent="0.15">
      <c r="A697" t="s">
        <v>72</v>
      </c>
      <c r="B697" t="s">
        <v>12698</v>
      </c>
      <c r="C697" t="s">
        <v>74</v>
      </c>
      <c r="D697" t="s">
        <v>74</v>
      </c>
      <c r="E697" t="s">
        <v>74</v>
      </c>
      <c r="F697" t="s">
        <v>12699</v>
      </c>
      <c r="G697" t="s">
        <v>74</v>
      </c>
      <c r="H697" t="s">
        <v>74</v>
      </c>
      <c r="I697" t="s">
        <v>12700</v>
      </c>
      <c r="J697" t="s">
        <v>12701</v>
      </c>
      <c r="K697" t="s">
        <v>74</v>
      </c>
      <c r="L697" t="s">
        <v>74</v>
      </c>
      <c r="M697" t="s">
        <v>78</v>
      </c>
      <c r="N697" t="s">
        <v>79</v>
      </c>
      <c r="O697" t="s">
        <v>74</v>
      </c>
      <c r="P697" t="s">
        <v>74</v>
      </c>
      <c r="Q697" t="s">
        <v>74</v>
      </c>
      <c r="R697" t="s">
        <v>74</v>
      </c>
      <c r="S697" t="s">
        <v>74</v>
      </c>
      <c r="T697" t="s">
        <v>74</v>
      </c>
      <c r="U697" t="s">
        <v>74</v>
      </c>
      <c r="V697" t="s">
        <v>12702</v>
      </c>
      <c r="W697" t="s">
        <v>12703</v>
      </c>
      <c r="X697" t="s">
        <v>12704</v>
      </c>
      <c r="Y697" t="s">
        <v>12705</v>
      </c>
      <c r="Z697" t="s">
        <v>74</v>
      </c>
      <c r="AA697" t="s">
        <v>12706</v>
      </c>
      <c r="AB697" t="s">
        <v>12707</v>
      </c>
      <c r="AC697" t="s">
        <v>12708</v>
      </c>
      <c r="AD697" t="s">
        <v>12709</v>
      </c>
      <c r="AE697" t="s">
        <v>12710</v>
      </c>
      <c r="AF697" t="s">
        <v>74</v>
      </c>
      <c r="AG697">
        <v>24</v>
      </c>
      <c r="AH697">
        <v>9</v>
      </c>
      <c r="AI697">
        <v>12</v>
      </c>
      <c r="AJ697">
        <v>0</v>
      </c>
      <c r="AK697">
        <v>9</v>
      </c>
      <c r="AL697" t="s">
        <v>12711</v>
      </c>
      <c r="AM697" t="s">
        <v>3661</v>
      </c>
      <c r="AN697" t="s">
        <v>12712</v>
      </c>
      <c r="AO697" t="s">
        <v>12713</v>
      </c>
      <c r="AP697" t="s">
        <v>12714</v>
      </c>
      <c r="AQ697" t="s">
        <v>74</v>
      </c>
      <c r="AR697" t="s">
        <v>12715</v>
      </c>
      <c r="AS697" t="s">
        <v>12716</v>
      </c>
      <c r="AT697" t="s">
        <v>12548</v>
      </c>
      <c r="AU697">
        <v>2011</v>
      </c>
      <c r="AV697">
        <v>26</v>
      </c>
      <c r="AW697">
        <v>2</v>
      </c>
      <c r="AX697" t="s">
        <v>74</v>
      </c>
      <c r="AY697" t="s">
        <v>74</v>
      </c>
      <c r="AZ697" t="s">
        <v>74</v>
      </c>
      <c r="BA697" t="s">
        <v>74</v>
      </c>
      <c r="BB697">
        <v>161</v>
      </c>
      <c r="BC697">
        <v>178</v>
      </c>
      <c r="BD697" t="s">
        <v>74</v>
      </c>
      <c r="BE697" t="s">
        <v>12717</v>
      </c>
      <c r="BF697" t="str">
        <f>HYPERLINK("http://dx.doi.org/10.1515/RJNAMM.2011.009","http://dx.doi.org/10.1515/RJNAMM.2011.009")</f>
        <v>http://dx.doi.org/10.1515/RJNAMM.2011.009</v>
      </c>
      <c r="BG697" t="s">
        <v>74</v>
      </c>
      <c r="BH697" t="s">
        <v>74</v>
      </c>
      <c r="BI697">
        <v>18</v>
      </c>
      <c r="BJ697" t="s">
        <v>12718</v>
      </c>
      <c r="BK697" t="s">
        <v>100</v>
      </c>
      <c r="BL697" t="s">
        <v>12719</v>
      </c>
      <c r="BM697" t="s">
        <v>12720</v>
      </c>
      <c r="BN697" t="s">
        <v>74</v>
      </c>
      <c r="BO697" t="s">
        <v>74</v>
      </c>
      <c r="BP697" t="s">
        <v>74</v>
      </c>
      <c r="BQ697" t="s">
        <v>74</v>
      </c>
      <c r="BR697" t="s">
        <v>103</v>
      </c>
      <c r="BS697" t="s">
        <v>12721</v>
      </c>
      <c r="BT697" t="str">
        <f>HYPERLINK("https%3A%2F%2Fwww.webofscience.com%2Fwos%2Fwoscc%2Ffull-record%2FWOS:000291863400003","View Full Record in Web of Science")</f>
        <v>View Full Record in Web of Science</v>
      </c>
    </row>
    <row r="698" spans="1:72" x14ac:dyDescent="0.15">
      <c r="A698" t="s">
        <v>72</v>
      </c>
      <c r="B698" t="s">
        <v>12722</v>
      </c>
      <c r="C698" t="s">
        <v>74</v>
      </c>
      <c r="D698" t="s">
        <v>74</v>
      </c>
      <c r="E698" t="s">
        <v>74</v>
      </c>
      <c r="F698" t="s">
        <v>12723</v>
      </c>
      <c r="G698" t="s">
        <v>74</v>
      </c>
      <c r="H698" t="s">
        <v>74</v>
      </c>
      <c r="I698" t="s">
        <v>12724</v>
      </c>
      <c r="J698" t="s">
        <v>12725</v>
      </c>
      <c r="K698" t="s">
        <v>74</v>
      </c>
      <c r="L698" t="s">
        <v>74</v>
      </c>
      <c r="M698" t="s">
        <v>78</v>
      </c>
      <c r="N698" t="s">
        <v>79</v>
      </c>
      <c r="O698" t="s">
        <v>74</v>
      </c>
      <c r="P698" t="s">
        <v>74</v>
      </c>
      <c r="Q698" t="s">
        <v>74</v>
      </c>
      <c r="R698" t="s">
        <v>74</v>
      </c>
      <c r="S698" t="s">
        <v>74</v>
      </c>
      <c r="T698" t="s">
        <v>12726</v>
      </c>
      <c r="U698" t="s">
        <v>74</v>
      </c>
      <c r="V698" t="s">
        <v>12727</v>
      </c>
      <c r="W698" t="s">
        <v>12728</v>
      </c>
      <c r="X698" t="s">
        <v>74</v>
      </c>
      <c r="Y698" t="s">
        <v>12729</v>
      </c>
      <c r="Z698" t="s">
        <v>12730</v>
      </c>
      <c r="AA698" t="s">
        <v>74</v>
      </c>
      <c r="AB698" t="s">
        <v>74</v>
      </c>
      <c r="AC698" t="s">
        <v>12731</v>
      </c>
      <c r="AD698" t="s">
        <v>12732</v>
      </c>
      <c r="AE698" t="s">
        <v>12733</v>
      </c>
      <c r="AF698" t="s">
        <v>74</v>
      </c>
      <c r="AG698">
        <v>3</v>
      </c>
      <c r="AH698">
        <v>4</v>
      </c>
      <c r="AI698">
        <v>4</v>
      </c>
      <c r="AJ698">
        <v>0</v>
      </c>
      <c r="AK698">
        <v>4</v>
      </c>
      <c r="AL698" t="s">
        <v>12734</v>
      </c>
      <c r="AM698" t="s">
        <v>12735</v>
      </c>
      <c r="AN698" t="s">
        <v>12736</v>
      </c>
      <c r="AO698" t="s">
        <v>12737</v>
      </c>
      <c r="AP698" t="s">
        <v>74</v>
      </c>
      <c r="AQ698" t="s">
        <v>74</v>
      </c>
      <c r="AR698" t="s">
        <v>12738</v>
      </c>
      <c r="AS698" t="s">
        <v>12739</v>
      </c>
      <c r="AT698" t="s">
        <v>12548</v>
      </c>
      <c r="AU698">
        <v>2011</v>
      </c>
      <c r="AV698">
        <v>70</v>
      </c>
      <c r="AW698">
        <v>2</v>
      </c>
      <c r="AX698" t="s">
        <v>74</v>
      </c>
      <c r="AY698" t="s">
        <v>74</v>
      </c>
      <c r="AZ698" t="s">
        <v>74</v>
      </c>
      <c r="BA698" t="s">
        <v>74</v>
      </c>
      <c r="BB698">
        <v>109</v>
      </c>
      <c r="BC698">
        <v>112</v>
      </c>
      <c r="BD698" t="s">
        <v>74</v>
      </c>
      <c r="BE698" t="s">
        <v>12740</v>
      </c>
      <c r="BF698" t="str">
        <f>HYPERLINK("http://dx.doi.org/10.3402/ijch.v70i2.17812","http://dx.doi.org/10.3402/ijch.v70i2.17812")</f>
        <v>http://dx.doi.org/10.3402/ijch.v70i2.17812</v>
      </c>
      <c r="BG698" t="s">
        <v>74</v>
      </c>
      <c r="BH698" t="s">
        <v>74</v>
      </c>
      <c r="BI698">
        <v>4</v>
      </c>
      <c r="BJ698" t="s">
        <v>12741</v>
      </c>
      <c r="BK698" t="s">
        <v>867</v>
      </c>
      <c r="BL698" t="s">
        <v>12741</v>
      </c>
      <c r="BM698" t="s">
        <v>12742</v>
      </c>
      <c r="BN698">
        <v>21481302</v>
      </c>
      <c r="BO698" t="s">
        <v>2134</v>
      </c>
      <c r="BP698" t="s">
        <v>74</v>
      </c>
      <c r="BQ698" t="s">
        <v>74</v>
      </c>
      <c r="BR698" t="s">
        <v>103</v>
      </c>
      <c r="BS698" t="s">
        <v>12743</v>
      </c>
      <c r="BT698" t="str">
        <f>HYPERLINK("https%3A%2F%2Fwww.webofscience.com%2Fwos%2Fwoscc%2Ffull-record%2FWOS:000291339800002","View Full Record in Web of Science")</f>
        <v>View Full Record in Web of Science</v>
      </c>
    </row>
    <row r="699" spans="1:72" x14ac:dyDescent="0.15">
      <c r="A699" t="s">
        <v>72</v>
      </c>
      <c r="B699" t="s">
        <v>12744</v>
      </c>
      <c r="C699" t="s">
        <v>74</v>
      </c>
      <c r="D699" t="s">
        <v>74</v>
      </c>
      <c r="E699" t="s">
        <v>74</v>
      </c>
      <c r="F699" t="s">
        <v>12745</v>
      </c>
      <c r="G699" t="s">
        <v>74</v>
      </c>
      <c r="H699" t="s">
        <v>74</v>
      </c>
      <c r="I699" t="s">
        <v>12746</v>
      </c>
      <c r="J699" t="s">
        <v>4274</v>
      </c>
      <c r="K699" t="s">
        <v>74</v>
      </c>
      <c r="L699" t="s">
        <v>74</v>
      </c>
      <c r="M699" t="s">
        <v>78</v>
      </c>
      <c r="N699" t="s">
        <v>79</v>
      </c>
      <c r="O699" t="s">
        <v>74</v>
      </c>
      <c r="P699" t="s">
        <v>74</v>
      </c>
      <c r="Q699" t="s">
        <v>74</v>
      </c>
      <c r="R699" t="s">
        <v>74</v>
      </c>
      <c r="S699" t="s">
        <v>74</v>
      </c>
      <c r="T699" t="s">
        <v>12747</v>
      </c>
      <c r="U699" t="s">
        <v>12748</v>
      </c>
      <c r="V699" t="s">
        <v>12749</v>
      </c>
      <c r="W699" t="s">
        <v>12750</v>
      </c>
      <c r="X699" t="s">
        <v>12751</v>
      </c>
      <c r="Y699" t="s">
        <v>12752</v>
      </c>
      <c r="Z699" t="s">
        <v>12753</v>
      </c>
      <c r="AA699" t="s">
        <v>12754</v>
      </c>
      <c r="AB699" t="s">
        <v>12755</v>
      </c>
      <c r="AC699" t="s">
        <v>12756</v>
      </c>
      <c r="AD699" t="s">
        <v>12757</v>
      </c>
      <c r="AE699" t="s">
        <v>12758</v>
      </c>
      <c r="AF699" t="s">
        <v>74</v>
      </c>
      <c r="AG699">
        <v>64</v>
      </c>
      <c r="AH699">
        <v>12</v>
      </c>
      <c r="AI699">
        <v>13</v>
      </c>
      <c r="AJ699">
        <v>0</v>
      </c>
      <c r="AK699">
        <v>10</v>
      </c>
      <c r="AL699" t="s">
        <v>308</v>
      </c>
      <c r="AM699" t="s">
        <v>309</v>
      </c>
      <c r="AN699" t="s">
        <v>310</v>
      </c>
      <c r="AO699" t="s">
        <v>4283</v>
      </c>
      <c r="AP699" t="s">
        <v>4284</v>
      </c>
      <c r="AQ699" t="s">
        <v>74</v>
      </c>
      <c r="AR699" t="s">
        <v>4285</v>
      </c>
      <c r="AS699" t="s">
        <v>4286</v>
      </c>
      <c r="AT699" t="s">
        <v>12548</v>
      </c>
      <c r="AU699">
        <v>2011</v>
      </c>
      <c r="AV699">
        <v>76</v>
      </c>
      <c r="AW699" t="s">
        <v>315</v>
      </c>
      <c r="AX699" t="s">
        <v>74</v>
      </c>
      <c r="AY699" t="s">
        <v>74</v>
      </c>
      <c r="AZ699" t="s">
        <v>74</v>
      </c>
      <c r="BA699" t="s">
        <v>74</v>
      </c>
      <c r="BB699">
        <v>128</v>
      </c>
      <c r="BC699">
        <v>136</v>
      </c>
      <c r="BD699" t="s">
        <v>74</v>
      </c>
      <c r="BE699" t="s">
        <v>12759</v>
      </c>
      <c r="BF699" t="str">
        <f>HYPERLINK("http://dx.doi.org/10.1016/j.gloplacha.2010.12.004","http://dx.doi.org/10.1016/j.gloplacha.2010.12.004")</f>
        <v>http://dx.doi.org/10.1016/j.gloplacha.2010.12.004</v>
      </c>
      <c r="BG699" t="s">
        <v>74</v>
      </c>
      <c r="BH699" t="s">
        <v>74</v>
      </c>
      <c r="BI699">
        <v>9</v>
      </c>
      <c r="BJ699" t="s">
        <v>1496</v>
      </c>
      <c r="BK699" t="s">
        <v>100</v>
      </c>
      <c r="BL699" t="s">
        <v>1497</v>
      </c>
      <c r="BM699" t="s">
        <v>12760</v>
      </c>
      <c r="BN699" t="s">
        <v>74</v>
      </c>
      <c r="BO699" t="s">
        <v>74</v>
      </c>
      <c r="BP699" t="s">
        <v>74</v>
      </c>
      <c r="BQ699" t="s">
        <v>74</v>
      </c>
      <c r="BR699" t="s">
        <v>103</v>
      </c>
      <c r="BS699" t="s">
        <v>12761</v>
      </c>
      <c r="BT699" t="str">
        <f>HYPERLINK("https%3A%2F%2Fwww.webofscience.com%2Fwos%2Fwoscc%2Ffull-record%2FWOS:000291071600003","View Full Record in Web of Science")</f>
        <v>View Full Record in Web of Science</v>
      </c>
    </row>
    <row r="700" spans="1:72" x14ac:dyDescent="0.15">
      <c r="A700" t="s">
        <v>72</v>
      </c>
      <c r="B700" t="s">
        <v>12762</v>
      </c>
      <c r="C700" t="s">
        <v>74</v>
      </c>
      <c r="D700" t="s">
        <v>74</v>
      </c>
      <c r="E700" t="s">
        <v>74</v>
      </c>
      <c r="F700" t="s">
        <v>12763</v>
      </c>
      <c r="G700" t="s">
        <v>74</v>
      </c>
      <c r="H700" t="s">
        <v>74</v>
      </c>
      <c r="I700" t="s">
        <v>12764</v>
      </c>
      <c r="J700" t="s">
        <v>12765</v>
      </c>
      <c r="K700" t="s">
        <v>74</v>
      </c>
      <c r="L700" t="s">
        <v>74</v>
      </c>
      <c r="M700" t="s">
        <v>78</v>
      </c>
      <c r="N700" t="s">
        <v>79</v>
      </c>
      <c r="O700" t="s">
        <v>74</v>
      </c>
      <c r="P700" t="s">
        <v>74</v>
      </c>
      <c r="Q700" t="s">
        <v>74</v>
      </c>
      <c r="R700" t="s">
        <v>74</v>
      </c>
      <c r="S700" t="s">
        <v>74</v>
      </c>
      <c r="T700" t="s">
        <v>12766</v>
      </c>
      <c r="U700" t="s">
        <v>74</v>
      </c>
      <c r="V700" t="s">
        <v>12767</v>
      </c>
      <c r="W700" t="s">
        <v>12768</v>
      </c>
      <c r="X700" t="s">
        <v>12769</v>
      </c>
      <c r="Y700" t="s">
        <v>12770</v>
      </c>
      <c r="Z700" t="s">
        <v>12771</v>
      </c>
      <c r="AA700" t="s">
        <v>12772</v>
      </c>
      <c r="AB700" t="s">
        <v>12773</v>
      </c>
      <c r="AC700" t="s">
        <v>12774</v>
      </c>
      <c r="AD700" t="s">
        <v>12774</v>
      </c>
      <c r="AE700" t="s">
        <v>12775</v>
      </c>
      <c r="AF700" t="s">
        <v>74</v>
      </c>
      <c r="AG700">
        <v>8</v>
      </c>
      <c r="AH700">
        <v>4</v>
      </c>
      <c r="AI700">
        <v>5</v>
      </c>
      <c r="AJ700">
        <v>0</v>
      </c>
      <c r="AK700">
        <v>10</v>
      </c>
      <c r="AL700" t="s">
        <v>12776</v>
      </c>
      <c r="AM700" t="s">
        <v>12777</v>
      </c>
      <c r="AN700" t="s">
        <v>12778</v>
      </c>
      <c r="AO700" t="s">
        <v>12779</v>
      </c>
      <c r="AP700" t="s">
        <v>74</v>
      </c>
      <c r="AQ700" t="s">
        <v>74</v>
      </c>
      <c r="AR700" t="s">
        <v>12780</v>
      </c>
      <c r="AS700" t="s">
        <v>12781</v>
      </c>
      <c r="AT700" t="s">
        <v>12548</v>
      </c>
      <c r="AU700">
        <v>2011</v>
      </c>
      <c r="AV700">
        <v>36</v>
      </c>
      <c r="AW700">
        <v>2</v>
      </c>
      <c r="AX700" t="s">
        <v>74</v>
      </c>
      <c r="AY700" t="s">
        <v>74</v>
      </c>
      <c r="AZ700" t="s">
        <v>74</v>
      </c>
      <c r="BA700" t="s">
        <v>74</v>
      </c>
      <c r="BB700">
        <v>364</v>
      </c>
      <c r="BC700">
        <v>372</v>
      </c>
      <c r="BD700" t="s">
        <v>74</v>
      </c>
      <c r="BE700" t="s">
        <v>12782</v>
      </c>
      <c r="BF700" t="str">
        <f>HYPERLINK("http://dx.doi.org/10.1109/JOE.2011.2129630","http://dx.doi.org/10.1109/JOE.2011.2129630")</f>
        <v>http://dx.doi.org/10.1109/JOE.2011.2129630</v>
      </c>
      <c r="BG700" t="s">
        <v>74</v>
      </c>
      <c r="BH700" t="s">
        <v>74</v>
      </c>
      <c r="BI700">
        <v>9</v>
      </c>
      <c r="BJ700" t="s">
        <v>12783</v>
      </c>
      <c r="BK700" t="s">
        <v>100</v>
      </c>
      <c r="BL700" t="s">
        <v>7244</v>
      </c>
      <c r="BM700" t="s">
        <v>12784</v>
      </c>
      <c r="BN700" t="s">
        <v>74</v>
      </c>
      <c r="BO700" t="s">
        <v>273</v>
      </c>
      <c r="BP700" t="s">
        <v>74</v>
      </c>
      <c r="BQ700" t="s">
        <v>74</v>
      </c>
      <c r="BR700" t="s">
        <v>103</v>
      </c>
      <c r="BS700" t="s">
        <v>12785</v>
      </c>
      <c r="BT700" t="str">
        <f>HYPERLINK("https%3A%2F%2Fwww.webofscience.com%2Fwos%2Fwoscc%2Ffull-record%2FWOS:000291044400017","View Full Record in Web of Science")</f>
        <v>View Full Record in Web of Science</v>
      </c>
    </row>
    <row r="701" spans="1:72" x14ac:dyDescent="0.15">
      <c r="A701" t="s">
        <v>72</v>
      </c>
      <c r="B701" t="s">
        <v>12786</v>
      </c>
      <c r="C701" t="s">
        <v>74</v>
      </c>
      <c r="D701" t="s">
        <v>74</v>
      </c>
      <c r="E701" t="s">
        <v>74</v>
      </c>
      <c r="F701" t="s">
        <v>12787</v>
      </c>
      <c r="G701" t="s">
        <v>74</v>
      </c>
      <c r="H701" t="s">
        <v>74</v>
      </c>
      <c r="I701" t="s">
        <v>12788</v>
      </c>
      <c r="J701" t="s">
        <v>12789</v>
      </c>
      <c r="K701" t="s">
        <v>74</v>
      </c>
      <c r="L701" t="s">
        <v>74</v>
      </c>
      <c r="M701" t="s">
        <v>78</v>
      </c>
      <c r="N701" t="s">
        <v>278</v>
      </c>
      <c r="O701" t="s">
        <v>74</v>
      </c>
      <c r="P701" t="s">
        <v>74</v>
      </c>
      <c r="Q701" t="s">
        <v>74</v>
      </c>
      <c r="R701" t="s">
        <v>74</v>
      </c>
      <c r="S701" t="s">
        <v>74</v>
      </c>
      <c r="T701" t="s">
        <v>74</v>
      </c>
      <c r="U701" t="s">
        <v>12790</v>
      </c>
      <c r="V701" t="s">
        <v>12791</v>
      </c>
      <c r="W701" t="s">
        <v>12792</v>
      </c>
      <c r="X701" t="s">
        <v>12793</v>
      </c>
      <c r="Y701" t="s">
        <v>12794</v>
      </c>
      <c r="Z701" t="s">
        <v>12795</v>
      </c>
      <c r="AA701" t="s">
        <v>12796</v>
      </c>
      <c r="AB701" t="s">
        <v>12797</v>
      </c>
      <c r="AC701" t="s">
        <v>12798</v>
      </c>
      <c r="AD701" t="s">
        <v>12799</v>
      </c>
      <c r="AE701" t="s">
        <v>12800</v>
      </c>
      <c r="AF701" t="s">
        <v>74</v>
      </c>
      <c r="AG701">
        <v>66</v>
      </c>
      <c r="AH701">
        <v>32</v>
      </c>
      <c r="AI701">
        <v>33</v>
      </c>
      <c r="AJ701">
        <v>0</v>
      </c>
      <c r="AK701">
        <v>15</v>
      </c>
      <c r="AL701" t="s">
        <v>926</v>
      </c>
      <c r="AM701" t="s">
        <v>508</v>
      </c>
      <c r="AN701" t="s">
        <v>927</v>
      </c>
      <c r="AO701" t="s">
        <v>12801</v>
      </c>
      <c r="AP701" t="s">
        <v>74</v>
      </c>
      <c r="AQ701" t="s">
        <v>74</v>
      </c>
      <c r="AR701" t="s">
        <v>12802</v>
      </c>
      <c r="AS701" t="s">
        <v>12803</v>
      </c>
      <c r="AT701" t="s">
        <v>12804</v>
      </c>
      <c r="AU701">
        <v>2011</v>
      </c>
      <c r="AV701">
        <v>89</v>
      </c>
      <c r="AW701" t="s">
        <v>3418</v>
      </c>
      <c r="AX701" t="s">
        <v>74</v>
      </c>
      <c r="AY701" t="s">
        <v>74</v>
      </c>
      <c r="AZ701" t="s">
        <v>864</v>
      </c>
      <c r="BA701" t="s">
        <v>74</v>
      </c>
      <c r="BB701">
        <v>17</v>
      </c>
      <c r="BC701">
        <v>30</v>
      </c>
      <c r="BD701" t="s">
        <v>74</v>
      </c>
      <c r="BE701" t="s">
        <v>12805</v>
      </c>
      <c r="BF701" t="str">
        <f>HYPERLINK("http://dx.doi.org/10.1016/j.pocean.2010.12.004","http://dx.doi.org/10.1016/j.pocean.2010.12.004")</f>
        <v>http://dx.doi.org/10.1016/j.pocean.2010.12.004</v>
      </c>
      <c r="BG701" t="s">
        <v>74</v>
      </c>
      <c r="BH701" t="s">
        <v>74</v>
      </c>
      <c r="BI701">
        <v>14</v>
      </c>
      <c r="BJ701" t="s">
        <v>271</v>
      </c>
      <c r="BK701" t="s">
        <v>100</v>
      </c>
      <c r="BL701" t="s">
        <v>271</v>
      </c>
      <c r="BM701" t="s">
        <v>12806</v>
      </c>
      <c r="BN701" t="s">
        <v>74</v>
      </c>
      <c r="BO701" t="s">
        <v>74</v>
      </c>
      <c r="BP701" t="s">
        <v>74</v>
      </c>
      <c r="BQ701" t="s">
        <v>74</v>
      </c>
      <c r="BR701" t="s">
        <v>103</v>
      </c>
      <c r="BS701" t="s">
        <v>12807</v>
      </c>
      <c r="BT701" t="str">
        <f>HYPERLINK("https%3A%2F%2Fwww.webofscience.com%2Fwos%2Fwoscc%2Ffull-record%2FWOS:000290928800003","View Full Record in Web of Science")</f>
        <v>View Full Record in Web of Science</v>
      </c>
    </row>
    <row r="702" spans="1:72" x14ac:dyDescent="0.15">
      <c r="A702" t="s">
        <v>72</v>
      </c>
      <c r="B702" t="s">
        <v>12808</v>
      </c>
      <c r="C702" t="s">
        <v>74</v>
      </c>
      <c r="D702" t="s">
        <v>74</v>
      </c>
      <c r="E702" t="s">
        <v>74</v>
      </c>
      <c r="F702" t="s">
        <v>12809</v>
      </c>
      <c r="G702" t="s">
        <v>74</v>
      </c>
      <c r="H702" t="s">
        <v>74</v>
      </c>
      <c r="I702" t="s">
        <v>12810</v>
      </c>
      <c r="J702" t="s">
        <v>12789</v>
      </c>
      <c r="K702" t="s">
        <v>74</v>
      </c>
      <c r="L702" t="s">
        <v>74</v>
      </c>
      <c r="M702" t="s">
        <v>78</v>
      </c>
      <c r="N702" t="s">
        <v>278</v>
      </c>
      <c r="O702" t="s">
        <v>74</v>
      </c>
      <c r="P702" t="s">
        <v>74</v>
      </c>
      <c r="Q702" t="s">
        <v>74</v>
      </c>
      <c r="R702" t="s">
        <v>74</v>
      </c>
      <c r="S702" t="s">
        <v>74</v>
      </c>
      <c r="T702" t="s">
        <v>74</v>
      </c>
      <c r="U702" t="s">
        <v>12811</v>
      </c>
      <c r="V702" t="s">
        <v>12812</v>
      </c>
      <c r="W702" t="s">
        <v>12813</v>
      </c>
      <c r="X702" t="s">
        <v>12814</v>
      </c>
      <c r="Y702" t="s">
        <v>12815</v>
      </c>
      <c r="Z702" t="s">
        <v>12816</v>
      </c>
      <c r="AA702" t="s">
        <v>12817</v>
      </c>
      <c r="AB702" t="s">
        <v>12818</v>
      </c>
      <c r="AC702" t="s">
        <v>74</v>
      </c>
      <c r="AD702" t="s">
        <v>74</v>
      </c>
      <c r="AE702" t="s">
        <v>74</v>
      </c>
      <c r="AF702" t="s">
        <v>74</v>
      </c>
      <c r="AG702">
        <v>107</v>
      </c>
      <c r="AH702">
        <v>21</v>
      </c>
      <c r="AI702">
        <v>21</v>
      </c>
      <c r="AJ702">
        <v>0</v>
      </c>
      <c r="AK702">
        <v>14</v>
      </c>
      <c r="AL702" t="s">
        <v>926</v>
      </c>
      <c r="AM702" t="s">
        <v>508</v>
      </c>
      <c r="AN702" t="s">
        <v>927</v>
      </c>
      <c r="AO702" t="s">
        <v>12801</v>
      </c>
      <c r="AP702" t="s">
        <v>74</v>
      </c>
      <c r="AQ702" t="s">
        <v>74</v>
      </c>
      <c r="AR702" t="s">
        <v>12802</v>
      </c>
      <c r="AS702" t="s">
        <v>12803</v>
      </c>
      <c r="AT702" t="s">
        <v>12804</v>
      </c>
      <c r="AU702">
        <v>2011</v>
      </c>
      <c r="AV702">
        <v>89</v>
      </c>
      <c r="AW702" t="s">
        <v>3418</v>
      </c>
      <c r="AX702" t="s">
        <v>74</v>
      </c>
      <c r="AY702" t="s">
        <v>74</v>
      </c>
      <c r="AZ702" t="s">
        <v>864</v>
      </c>
      <c r="BA702" t="s">
        <v>74</v>
      </c>
      <c r="BB702">
        <v>61</v>
      </c>
      <c r="BC702">
        <v>91</v>
      </c>
      <c r="BD702" t="s">
        <v>74</v>
      </c>
      <c r="BE702" t="s">
        <v>12819</v>
      </c>
      <c r="BF702" t="str">
        <f>HYPERLINK("http://dx.doi.org/10.1016/j.pocean.2010.12.008","http://dx.doi.org/10.1016/j.pocean.2010.12.008")</f>
        <v>http://dx.doi.org/10.1016/j.pocean.2010.12.008</v>
      </c>
      <c r="BG702" t="s">
        <v>74</v>
      </c>
      <c r="BH702" t="s">
        <v>74</v>
      </c>
      <c r="BI702">
        <v>31</v>
      </c>
      <c r="BJ702" t="s">
        <v>271</v>
      </c>
      <c r="BK702" t="s">
        <v>100</v>
      </c>
      <c r="BL702" t="s">
        <v>271</v>
      </c>
      <c r="BM702" t="s">
        <v>12806</v>
      </c>
      <c r="BN702" t="s">
        <v>74</v>
      </c>
      <c r="BO702" t="s">
        <v>74</v>
      </c>
      <c r="BP702" t="s">
        <v>74</v>
      </c>
      <c r="BQ702" t="s">
        <v>74</v>
      </c>
      <c r="BR702" t="s">
        <v>103</v>
      </c>
      <c r="BS702" t="s">
        <v>12820</v>
      </c>
      <c r="BT702" t="str">
        <f>HYPERLINK("https%3A%2F%2Fwww.webofscience.com%2Fwos%2Fwoscc%2Ffull-record%2FWOS:000290928800007","View Full Record in Web of Science")</f>
        <v>View Full Record in Web of Science</v>
      </c>
    </row>
    <row r="703" spans="1:72" x14ac:dyDescent="0.15">
      <c r="A703" t="s">
        <v>72</v>
      </c>
      <c r="B703" t="s">
        <v>12821</v>
      </c>
      <c r="C703" t="s">
        <v>74</v>
      </c>
      <c r="D703" t="s">
        <v>74</v>
      </c>
      <c r="E703" t="s">
        <v>74</v>
      </c>
      <c r="F703" t="s">
        <v>12822</v>
      </c>
      <c r="G703" t="s">
        <v>74</v>
      </c>
      <c r="H703" t="s">
        <v>74</v>
      </c>
      <c r="I703" t="s">
        <v>12823</v>
      </c>
      <c r="J703" t="s">
        <v>12824</v>
      </c>
      <c r="K703" t="s">
        <v>74</v>
      </c>
      <c r="L703" t="s">
        <v>74</v>
      </c>
      <c r="M703" t="s">
        <v>78</v>
      </c>
      <c r="N703" t="s">
        <v>79</v>
      </c>
      <c r="O703" t="s">
        <v>74</v>
      </c>
      <c r="P703" t="s">
        <v>74</v>
      </c>
      <c r="Q703" t="s">
        <v>74</v>
      </c>
      <c r="R703" t="s">
        <v>74</v>
      </c>
      <c r="S703" t="s">
        <v>74</v>
      </c>
      <c r="T703" t="s">
        <v>12825</v>
      </c>
      <c r="U703" t="s">
        <v>12826</v>
      </c>
      <c r="V703" t="s">
        <v>12827</v>
      </c>
      <c r="W703" t="s">
        <v>12828</v>
      </c>
      <c r="X703" t="s">
        <v>12829</v>
      </c>
      <c r="Y703" t="s">
        <v>12830</v>
      </c>
      <c r="Z703" t="s">
        <v>12831</v>
      </c>
      <c r="AA703" t="s">
        <v>12832</v>
      </c>
      <c r="AB703" t="s">
        <v>12833</v>
      </c>
      <c r="AC703" t="s">
        <v>12834</v>
      </c>
      <c r="AD703" t="s">
        <v>12835</v>
      </c>
      <c r="AE703" t="s">
        <v>12836</v>
      </c>
      <c r="AF703" t="s">
        <v>74</v>
      </c>
      <c r="AG703">
        <v>13</v>
      </c>
      <c r="AH703">
        <v>3</v>
      </c>
      <c r="AI703">
        <v>3</v>
      </c>
      <c r="AJ703">
        <v>0</v>
      </c>
      <c r="AK703">
        <v>3</v>
      </c>
      <c r="AL703" t="s">
        <v>1441</v>
      </c>
      <c r="AM703" t="s">
        <v>1442</v>
      </c>
      <c r="AN703" t="s">
        <v>1443</v>
      </c>
      <c r="AO703" t="s">
        <v>12837</v>
      </c>
      <c r="AP703" t="s">
        <v>12838</v>
      </c>
      <c r="AQ703" t="s">
        <v>74</v>
      </c>
      <c r="AR703" t="s">
        <v>12839</v>
      </c>
      <c r="AS703" t="s">
        <v>12840</v>
      </c>
      <c r="AT703" t="s">
        <v>12548</v>
      </c>
      <c r="AU703">
        <v>2011</v>
      </c>
      <c r="AV703">
        <v>3</v>
      </c>
      <c r="AW703">
        <v>2</v>
      </c>
      <c r="AX703" t="s">
        <v>74</v>
      </c>
      <c r="AY703" t="s">
        <v>74</v>
      </c>
      <c r="AZ703" t="s">
        <v>74</v>
      </c>
      <c r="BA703" t="s">
        <v>74</v>
      </c>
      <c r="BB703">
        <v>259</v>
      </c>
      <c r="BC703">
        <v>262</v>
      </c>
      <c r="BD703" t="s">
        <v>74</v>
      </c>
      <c r="BE703" t="s">
        <v>12841</v>
      </c>
      <c r="BF703" t="str">
        <f>HYPERLINK("http://dx.doi.org/10.1007/s12686-010-9336-9","http://dx.doi.org/10.1007/s12686-010-9336-9")</f>
        <v>http://dx.doi.org/10.1007/s12686-010-9336-9</v>
      </c>
      <c r="BG703" t="s">
        <v>74</v>
      </c>
      <c r="BH703" t="s">
        <v>74</v>
      </c>
      <c r="BI703">
        <v>4</v>
      </c>
      <c r="BJ703" t="s">
        <v>12842</v>
      </c>
      <c r="BK703" t="s">
        <v>100</v>
      </c>
      <c r="BL703" t="s">
        <v>12843</v>
      </c>
      <c r="BM703" t="s">
        <v>12844</v>
      </c>
      <c r="BN703" t="s">
        <v>74</v>
      </c>
      <c r="BO703" t="s">
        <v>74</v>
      </c>
      <c r="BP703" t="s">
        <v>74</v>
      </c>
      <c r="BQ703" t="s">
        <v>74</v>
      </c>
      <c r="BR703" t="s">
        <v>103</v>
      </c>
      <c r="BS703" t="s">
        <v>12845</v>
      </c>
      <c r="BT703" t="str">
        <f>HYPERLINK("https%3A%2F%2Fwww.webofscience.com%2Fwos%2Fwoscc%2Ffull-record%2FWOS:000290438700016","View Full Record in Web of Science")</f>
        <v>View Full Record in Web of Science</v>
      </c>
    </row>
    <row r="704" spans="1:72" x14ac:dyDescent="0.15">
      <c r="A704" t="s">
        <v>72</v>
      </c>
      <c r="B704" t="s">
        <v>12846</v>
      </c>
      <c r="C704" t="s">
        <v>74</v>
      </c>
      <c r="D704" t="s">
        <v>74</v>
      </c>
      <c r="E704" t="s">
        <v>74</v>
      </c>
      <c r="F704" t="s">
        <v>12847</v>
      </c>
      <c r="G704" t="s">
        <v>74</v>
      </c>
      <c r="H704" t="s">
        <v>74</v>
      </c>
      <c r="I704" t="s">
        <v>12848</v>
      </c>
      <c r="J704" t="s">
        <v>12824</v>
      </c>
      <c r="K704" t="s">
        <v>74</v>
      </c>
      <c r="L704" t="s">
        <v>74</v>
      </c>
      <c r="M704" t="s">
        <v>78</v>
      </c>
      <c r="N704" t="s">
        <v>79</v>
      </c>
      <c r="O704" t="s">
        <v>74</v>
      </c>
      <c r="P704" t="s">
        <v>74</v>
      </c>
      <c r="Q704" t="s">
        <v>74</v>
      </c>
      <c r="R704" t="s">
        <v>74</v>
      </c>
      <c r="S704" t="s">
        <v>74</v>
      </c>
      <c r="T704" t="s">
        <v>12849</v>
      </c>
      <c r="U704" t="s">
        <v>12850</v>
      </c>
      <c r="V704" t="s">
        <v>12851</v>
      </c>
      <c r="W704" t="s">
        <v>12852</v>
      </c>
      <c r="X704" t="s">
        <v>10667</v>
      </c>
      <c r="Y704" t="s">
        <v>12853</v>
      </c>
      <c r="Z704" t="s">
        <v>12050</v>
      </c>
      <c r="AA704" t="s">
        <v>12854</v>
      </c>
      <c r="AB704" t="s">
        <v>12855</v>
      </c>
      <c r="AC704" t="s">
        <v>12856</v>
      </c>
      <c r="AD704" t="s">
        <v>12857</v>
      </c>
      <c r="AE704" t="s">
        <v>12858</v>
      </c>
      <c r="AF704" t="s">
        <v>74</v>
      </c>
      <c r="AG704">
        <v>18</v>
      </c>
      <c r="AH704">
        <v>4</v>
      </c>
      <c r="AI704">
        <v>4</v>
      </c>
      <c r="AJ704">
        <v>0</v>
      </c>
      <c r="AK704">
        <v>4</v>
      </c>
      <c r="AL704" t="s">
        <v>1441</v>
      </c>
      <c r="AM704" t="s">
        <v>1442</v>
      </c>
      <c r="AN704" t="s">
        <v>1443</v>
      </c>
      <c r="AO704" t="s">
        <v>12837</v>
      </c>
      <c r="AP704" t="s">
        <v>74</v>
      </c>
      <c r="AQ704" t="s">
        <v>74</v>
      </c>
      <c r="AR704" t="s">
        <v>12839</v>
      </c>
      <c r="AS704" t="s">
        <v>12840</v>
      </c>
      <c r="AT704" t="s">
        <v>12548</v>
      </c>
      <c r="AU704">
        <v>2011</v>
      </c>
      <c r="AV704">
        <v>3</v>
      </c>
      <c r="AW704">
        <v>2</v>
      </c>
      <c r="AX704" t="s">
        <v>74</v>
      </c>
      <c r="AY704" t="s">
        <v>74</v>
      </c>
      <c r="AZ704" t="s">
        <v>74</v>
      </c>
      <c r="BA704" t="s">
        <v>74</v>
      </c>
      <c r="BB704">
        <v>291</v>
      </c>
      <c r="BC704">
        <v>294</v>
      </c>
      <c r="BD704" t="s">
        <v>74</v>
      </c>
      <c r="BE704" t="s">
        <v>12859</v>
      </c>
      <c r="BF704" t="str">
        <f>HYPERLINK("http://dx.doi.org/10.1007/s12686-010-9344-9","http://dx.doi.org/10.1007/s12686-010-9344-9")</f>
        <v>http://dx.doi.org/10.1007/s12686-010-9344-9</v>
      </c>
      <c r="BG704" t="s">
        <v>74</v>
      </c>
      <c r="BH704" t="s">
        <v>74</v>
      </c>
      <c r="BI704">
        <v>4</v>
      </c>
      <c r="BJ704" t="s">
        <v>12842</v>
      </c>
      <c r="BK704" t="s">
        <v>100</v>
      </c>
      <c r="BL704" t="s">
        <v>12843</v>
      </c>
      <c r="BM704" t="s">
        <v>12844</v>
      </c>
      <c r="BN704" t="s">
        <v>74</v>
      </c>
      <c r="BO704" t="s">
        <v>74</v>
      </c>
      <c r="BP704" t="s">
        <v>74</v>
      </c>
      <c r="BQ704" t="s">
        <v>74</v>
      </c>
      <c r="BR704" t="s">
        <v>103</v>
      </c>
      <c r="BS704" t="s">
        <v>12860</v>
      </c>
      <c r="BT704" t="str">
        <f>HYPERLINK("https%3A%2F%2Fwww.webofscience.com%2Fwos%2Fwoscc%2Ffull-record%2FWOS:000290438700024","View Full Record in Web of Science")</f>
        <v>View Full Record in Web of Science</v>
      </c>
    </row>
    <row r="705" spans="1:72" x14ac:dyDescent="0.15">
      <c r="A705" t="s">
        <v>72</v>
      </c>
      <c r="B705" t="s">
        <v>12861</v>
      </c>
      <c r="C705" t="s">
        <v>74</v>
      </c>
      <c r="D705" t="s">
        <v>74</v>
      </c>
      <c r="E705" t="s">
        <v>74</v>
      </c>
      <c r="F705" t="s">
        <v>12862</v>
      </c>
      <c r="G705" t="s">
        <v>74</v>
      </c>
      <c r="H705" t="s">
        <v>74</v>
      </c>
      <c r="I705" t="s">
        <v>12863</v>
      </c>
      <c r="J705" t="s">
        <v>781</v>
      </c>
      <c r="K705" t="s">
        <v>74</v>
      </c>
      <c r="L705" t="s">
        <v>74</v>
      </c>
      <c r="M705" t="s">
        <v>78</v>
      </c>
      <c r="N705" t="s">
        <v>79</v>
      </c>
      <c r="O705" t="s">
        <v>74</v>
      </c>
      <c r="P705" t="s">
        <v>74</v>
      </c>
      <c r="Q705" t="s">
        <v>74</v>
      </c>
      <c r="R705" t="s">
        <v>74</v>
      </c>
      <c r="S705" t="s">
        <v>74</v>
      </c>
      <c r="T705" t="s">
        <v>12864</v>
      </c>
      <c r="U705" t="s">
        <v>12865</v>
      </c>
      <c r="V705" t="s">
        <v>12866</v>
      </c>
      <c r="W705" t="s">
        <v>12867</v>
      </c>
      <c r="X705" t="s">
        <v>12868</v>
      </c>
      <c r="Y705" t="s">
        <v>12869</v>
      </c>
      <c r="Z705" t="s">
        <v>12870</v>
      </c>
      <c r="AA705" t="s">
        <v>74</v>
      </c>
      <c r="AB705" t="s">
        <v>74</v>
      </c>
      <c r="AC705" t="s">
        <v>74</v>
      </c>
      <c r="AD705" t="s">
        <v>74</v>
      </c>
      <c r="AE705" t="s">
        <v>74</v>
      </c>
      <c r="AF705" t="s">
        <v>74</v>
      </c>
      <c r="AG705">
        <v>35</v>
      </c>
      <c r="AH705">
        <v>7</v>
      </c>
      <c r="AI705">
        <v>7</v>
      </c>
      <c r="AJ705">
        <v>0</v>
      </c>
      <c r="AK705">
        <v>0</v>
      </c>
      <c r="AL705" t="s">
        <v>793</v>
      </c>
      <c r="AM705" t="s">
        <v>794</v>
      </c>
      <c r="AN705" t="s">
        <v>795</v>
      </c>
      <c r="AO705" t="s">
        <v>12871</v>
      </c>
      <c r="AP705" t="s">
        <v>12872</v>
      </c>
      <c r="AQ705" t="s">
        <v>74</v>
      </c>
      <c r="AR705" t="s">
        <v>797</v>
      </c>
      <c r="AS705" t="s">
        <v>798</v>
      </c>
      <c r="AT705" t="s">
        <v>12548</v>
      </c>
      <c r="AU705">
        <v>2011</v>
      </c>
      <c r="AV705">
        <v>120</v>
      </c>
      <c r="AW705">
        <v>2</v>
      </c>
      <c r="AX705" t="s">
        <v>74</v>
      </c>
      <c r="AY705" t="s">
        <v>74</v>
      </c>
      <c r="AZ705" t="s">
        <v>74</v>
      </c>
      <c r="BA705" t="s">
        <v>74</v>
      </c>
      <c r="BB705">
        <v>291</v>
      </c>
      <c r="BC705">
        <v>300</v>
      </c>
      <c r="BD705" t="s">
        <v>74</v>
      </c>
      <c r="BE705" t="s">
        <v>12873</v>
      </c>
      <c r="BF705" t="str">
        <f>HYPERLINK("http://dx.doi.org/10.1007/s12040-011-0047-8","http://dx.doi.org/10.1007/s12040-011-0047-8")</f>
        <v>http://dx.doi.org/10.1007/s12040-011-0047-8</v>
      </c>
      <c r="BG705" t="s">
        <v>74</v>
      </c>
      <c r="BH705" t="s">
        <v>74</v>
      </c>
      <c r="BI705">
        <v>10</v>
      </c>
      <c r="BJ705" t="s">
        <v>800</v>
      </c>
      <c r="BK705" t="s">
        <v>100</v>
      </c>
      <c r="BL705" t="s">
        <v>801</v>
      </c>
      <c r="BM705" t="s">
        <v>12874</v>
      </c>
      <c r="BN705" t="s">
        <v>74</v>
      </c>
      <c r="BO705" t="s">
        <v>152</v>
      </c>
      <c r="BP705" t="s">
        <v>74</v>
      </c>
      <c r="BQ705" t="s">
        <v>74</v>
      </c>
      <c r="BR705" t="s">
        <v>103</v>
      </c>
      <c r="BS705" t="s">
        <v>12875</v>
      </c>
      <c r="BT705" t="str">
        <f>HYPERLINK("https%3A%2F%2Fwww.webofscience.com%2Fwos%2Fwoscc%2Ffull-record%2FWOS:000290810400010","View Full Record in Web of Science")</f>
        <v>View Full Record in Web of Science</v>
      </c>
    </row>
    <row r="706" spans="1:72" x14ac:dyDescent="0.15">
      <c r="A706" t="s">
        <v>72</v>
      </c>
      <c r="B706" t="s">
        <v>12876</v>
      </c>
      <c r="C706" t="s">
        <v>74</v>
      </c>
      <c r="D706" t="s">
        <v>74</v>
      </c>
      <c r="E706" t="s">
        <v>74</v>
      </c>
      <c r="F706" t="s">
        <v>12877</v>
      </c>
      <c r="G706" t="s">
        <v>74</v>
      </c>
      <c r="H706" t="s">
        <v>74</v>
      </c>
      <c r="I706" t="s">
        <v>12878</v>
      </c>
      <c r="J706" t="s">
        <v>781</v>
      </c>
      <c r="K706" t="s">
        <v>74</v>
      </c>
      <c r="L706" t="s">
        <v>74</v>
      </c>
      <c r="M706" t="s">
        <v>78</v>
      </c>
      <c r="N706" t="s">
        <v>79</v>
      </c>
      <c r="O706" t="s">
        <v>74</v>
      </c>
      <c r="P706" t="s">
        <v>74</v>
      </c>
      <c r="Q706" t="s">
        <v>74</v>
      </c>
      <c r="R706" t="s">
        <v>74</v>
      </c>
      <c r="S706" t="s">
        <v>74</v>
      </c>
      <c r="T706" t="s">
        <v>12879</v>
      </c>
      <c r="U706" t="s">
        <v>12880</v>
      </c>
      <c r="V706" t="s">
        <v>12881</v>
      </c>
      <c r="W706" t="s">
        <v>12882</v>
      </c>
      <c r="X706" t="s">
        <v>7120</v>
      </c>
      <c r="Y706" t="s">
        <v>12883</v>
      </c>
      <c r="Z706" t="s">
        <v>7122</v>
      </c>
      <c r="AA706" t="s">
        <v>7123</v>
      </c>
      <c r="AB706" t="s">
        <v>7124</v>
      </c>
      <c r="AC706" t="s">
        <v>12884</v>
      </c>
      <c r="AD706" t="s">
        <v>12884</v>
      </c>
      <c r="AE706" t="s">
        <v>12885</v>
      </c>
      <c r="AF706" t="s">
        <v>74</v>
      </c>
      <c r="AG706">
        <v>33</v>
      </c>
      <c r="AH706">
        <v>21</v>
      </c>
      <c r="AI706">
        <v>22</v>
      </c>
      <c r="AJ706">
        <v>0</v>
      </c>
      <c r="AK706">
        <v>11</v>
      </c>
      <c r="AL706" t="s">
        <v>793</v>
      </c>
      <c r="AM706" t="s">
        <v>794</v>
      </c>
      <c r="AN706" t="s">
        <v>795</v>
      </c>
      <c r="AO706" t="s">
        <v>12871</v>
      </c>
      <c r="AP706" t="s">
        <v>12872</v>
      </c>
      <c r="AQ706" t="s">
        <v>74</v>
      </c>
      <c r="AR706" t="s">
        <v>797</v>
      </c>
      <c r="AS706" t="s">
        <v>798</v>
      </c>
      <c r="AT706" t="s">
        <v>12548</v>
      </c>
      <c r="AU706">
        <v>2011</v>
      </c>
      <c r="AV706">
        <v>120</v>
      </c>
      <c r="AW706">
        <v>2</v>
      </c>
      <c r="AX706" t="s">
        <v>74</v>
      </c>
      <c r="AY706" t="s">
        <v>74</v>
      </c>
      <c r="AZ706" t="s">
        <v>74</v>
      </c>
      <c r="BA706" t="s">
        <v>74</v>
      </c>
      <c r="BB706">
        <v>329</v>
      </c>
      <c r="BC706">
        <v>336</v>
      </c>
      <c r="BD706" t="s">
        <v>74</v>
      </c>
      <c r="BE706" t="s">
        <v>12886</v>
      </c>
      <c r="BF706" t="str">
        <f>HYPERLINK("http://dx.doi.org/10.1007/s12040-011-0055-8","http://dx.doi.org/10.1007/s12040-011-0055-8")</f>
        <v>http://dx.doi.org/10.1007/s12040-011-0055-8</v>
      </c>
      <c r="BG706" t="s">
        <v>74</v>
      </c>
      <c r="BH706" t="s">
        <v>74</v>
      </c>
      <c r="BI706">
        <v>8</v>
      </c>
      <c r="BJ706" t="s">
        <v>800</v>
      </c>
      <c r="BK706" t="s">
        <v>100</v>
      </c>
      <c r="BL706" t="s">
        <v>801</v>
      </c>
      <c r="BM706" t="s">
        <v>12874</v>
      </c>
      <c r="BN706" t="s">
        <v>74</v>
      </c>
      <c r="BO706" t="s">
        <v>152</v>
      </c>
      <c r="BP706" t="s">
        <v>74</v>
      </c>
      <c r="BQ706" t="s">
        <v>74</v>
      </c>
      <c r="BR706" t="s">
        <v>103</v>
      </c>
      <c r="BS706" t="s">
        <v>12887</v>
      </c>
      <c r="BT706" t="str">
        <f>HYPERLINK("https%3A%2F%2Fwww.webofscience.com%2Fwos%2Fwoscc%2Ffull-record%2FWOS:000290810400014","View Full Record in Web of Science")</f>
        <v>View Full Record in Web of Science</v>
      </c>
    </row>
    <row r="707" spans="1:72" x14ac:dyDescent="0.15">
      <c r="A707" t="s">
        <v>72</v>
      </c>
      <c r="B707" t="s">
        <v>10360</v>
      </c>
      <c r="C707" t="s">
        <v>74</v>
      </c>
      <c r="D707" t="s">
        <v>74</v>
      </c>
      <c r="E707" t="s">
        <v>74</v>
      </c>
      <c r="F707" t="s">
        <v>10360</v>
      </c>
      <c r="G707" t="s">
        <v>74</v>
      </c>
      <c r="H707" t="s">
        <v>74</v>
      </c>
      <c r="I707" t="s">
        <v>12888</v>
      </c>
      <c r="J707" t="s">
        <v>10362</v>
      </c>
      <c r="K707" t="s">
        <v>74</v>
      </c>
      <c r="L707" t="s">
        <v>74</v>
      </c>
      <c r="M707" t="s">
        <v>78</v>
      </c>
      <c r="N707" t="s">
        <v>3318</v>
      </c>
      <c r="O707" t="s">
        <v>74</v>
      </c>
      <c r="P707" t="s">
        <v>74</v>
      </c>
      <c r="Q707" t="s">
        <v>74</v>
      </c>
      <c r="R707" t="s">
        <v>74</v>
      </c>
      <c r="S707" t="s">
        <v>74</v>
      </c>
      <c r="T707" t="s">
        <v>74</v>
      </c>
      <c r="U707" t="s">
        <v>74</v>
      </c>
      <c r="V707" t="s">
        <v>74</v>
      </c>
      <c r="W707" t="s">
        <v>74</v>
      </c>
      <c r="X707" t="s">
        <v>74</v>
      </c>
      <c r="Y707" t="s">
        <v>74</v>
      </c>
      <c r="Z707" t="s">
        <v>74</v>
      </c>
      <c r="AA707" t="s">
        <v>74</v>
      </c>
      <c r="AB707" t="s">
        <v>74</v>
      </c>
      <c r="AC707" t="s">
        <v>74</v>
      </c>
      <c r="AD707" t="s">
        <v>74</v>
      </c>
      <c r="AE707" t="s">
        <v>74</v>
      </c>
      <c r="AF707" t="s">
        <v>74</v>
      </c>
      <c r="AG707">
        <v>0</v>
      </c>
      <c r="AH707">
        <v>0</v>
      </c>
      <c r="AI707">
        <v>0</v>
      </c>
      <c r="AJ707">
        <v>0</v>
      </c>
      <c r="AK707">
        <v>1</v>
      </c>
      <c r="AL707" t="s">
        <v>926</v>
      </c>
      <c r="AM707" t="s">
        <v>508</v>
      </c>
      <c r="AN707" t="s">
        <v>927</v>
      </c>
      <c r="AO707" t="s">
        <v>10363</v>
      </c>
      <c r="AP707" t="s">
        <v>10364</v>
      </c>
      <c r="AQ707" t="s">
        <v>74</v>
      </c>
      <c r="AR707" t="s">
        <v>10365</v>
      </c>
      <c r="AS707" t="s">
        <v>10366</v>
      </c>
      <c r="AT707" t="s">
        <v>12548</v>
      </c>
      <c r="AU707">
        <v>2011</v>
      </c>
      <c r="AV707">
        <v>62</v>
      </c>
      <c r="AW707">
        <v>4</v>
      </c>
      <c r="AX707" t="s">
        <v>74</v>
      </c>
      <c r="AY707" t="s">
        <v>74</v>
      </c>
      <c r="AZ707" t="s">
        <v>74</v>
      </c>
      <c r="BA707" t="s">
        <v>74</v>
      </c>
      <c r="BB707">
        <v>658</v>
      </c>
      <c r="BC707">
        <v>658</v>
      </c>
      <c r="BD707" t="s">
        <v>74</v>
      </c>
      <c r="BE707" t="s">
        <v>74</v>
      </c>
      <c r="BF707" t="s">
        <v>74</v>
      </c>
      <c r="BG707" t="s">
        <v>74</v>
      </c>
      <c r="BH707" t="s">
        <v>74</v>
      </c>
      <c r="BI707">
        <v>1</v>
      </c>
      <c r="BJ707" t="s">
        <v>10367</v>
      </c>
      <c r="BK707" t="s">
        <v>100</v>
      </c>
      <c r="BL707" t="s">
        <v>3042</v>
      </c>
      <c r="BM707" t="s">
        <v>12889</v>
      </c>
      <c r="BN707" t="s">
        <v>74</v>
      </c>
      <c r="BO707" t="s">
        <v>74</v>
      </c>
      <c r="BP707" t="s">
        <v>74</v>
      </c>
      <c r="BQ707" t="s">
        <v>74</v>
      </c>
      <c r="BR707" t="s">
        <v>103</v>
      </c>
      <c r="BS707" t="s">
        <v>12890</v>
      </c>
      <c r="BT707" t="str">
        <f>HYPERLINK("https%3A%2F%2Fwww.webofscience.com%2Fwos%2Fwoscc%2Ffull-record%2FWOS:000290842800009","View Full Record in Web of Science")</f>
        <v>View Full Record in Web of Science</v>
      </c>
    </row>
    <row r="708" spans="1:72" x14ac:dyDescent="0.15">
      <c r="A708" t="s">
        <v>72</v>
      </c>
      <c r="B708" t="s">
        <v>12891</v>
      </c>
      <c r="C708" t="s">
        <v>74</v>
      </c>
      <c r="D708" t="s">
        <v>74</v>
      </c>
      <c r="E708" t="s">
        <v>74</v>
      </c>
      <c r="F708" t="s">
        <v>12892</v>
      </c>
      <c r="G708" t="s">
        <v>74</v>
      </c>
      <c r="H708" t="s">
        <v>74</v>
      </c>
      <c r="I708" t="s">
        <v>12893</v>
      </c>
      <c r="J708" t="s">
        <v>7137</v>
      </c>
      <c r="K708" t="s">
        <v>74</v>
      </c>
      <c r="L708" t="s">
        <v>74</v>
      </c>
      <c r="M708" t="s">
        <v>78</v>
      </c>
      <c r="N708" t="s">
        <v>79</v>
      </c>
      <c r="O708" t="s">
        <v>74</v>
      </c>
      <c r="P708" t="s">
        <v>74</v>
      </c>
      <c r="Q708" t="s">
        <v>74</v>
      </c>
      <c r="R708" t="s">
        <v>74</v>
      </c>
      <c r="S708" t="s">
        <v>74</v>
      </c>
      <c r="T708" t="s">
        <v>12894</v>
      </c>
      <c r="U708" t="s">
        <v>12895</v>
      </c>
      <c r="V708" t="s">
        <v>12896</v>
      </c>
      <c r="W708" t="s">
        <v>12897</v>
      </c>
      <c r="X708" t="s">
        <v>12898</v>
      </c>
      <c r="Y708" t="s">
        <v>12899</v>
      </c>
      <c r="Z708" t="s">
        <v>12900</v>
      </c>
      <c r="AA708" t="s">
        <v>12901</v>
      </c>
      <c r="AB708" t="s">
        <v>12902</v>
      </c>
      <c r="AC708" t="s">
        <v>12903</v>
      </c>
      <c r="AD708" t="s">
        <v>12904</v>
      </c>
      <c r="AE708" t="s">
        <v>12905</v>
      </c>
      <c r="AF708" t="s">
        <v>74</v>
      </c>
      <c r="AG708">
        <v>53</v>
      </c>
      <c r="AH708">
        <v>26</v>
      </c>
      <c r="AI708">
        <v>28</v>
      </c>
      <c r="AJ708">
        <v>0</v>
      </c>
      <c r="AK708">
        <v>81</v>
      </c>
      <c r="AL708" t="s">
        <v>4399</v>
      </c>
      <c r="AM708" t="s">
        <v>4400</v>
      </c>
      <c r="AN708" t="s">
        <v>4401</v>
      </c>
      <c r="AO708" t="s">
        <v>7150</v>
      </c>
      <c r="AP708" t="s">
        <v>74</v>
      </c>
      <c r="AQ708" t="s">
        <v>74</v>
      </c>
      <c r="AR708" t="s">
        <v>7137</v>
      </c>
      <c r="AS708" t="s">
        <v>3232</v>
      </c>
      <c r="AT708" t="s">
        <v>12548</v>
      </c>
      <c r="AU708">
        <v>2011</v>
      </c>
      <c r="AV708">
        <v>114</v>
      </c>
      <c r="AW708">
        <v>2</v>
      </c>
      <c r="AX708" t="s">
        <v>74</v>
      </c>
      <c r="AY708" t="s">
        <v>74</v>
      </c>
      <c r="AZ708" t="s">
        <v>74</v>
      </c>
      <c r="BA708" t="s">
        <v>74</v>
      </c>
      <c r="BB708">
        <v>123</v>
      </c>
      <c r="BC708">
        <v>128</v>
      </c>
      <c r="BD708" t="s">
        <v>74</v>
      </c>
      <c r="BE708" t="s">
        <v>12906</v>
      </c>
      <c r="BF708" t="str">
        <f>HYPERLINK("http://dx.doi.org/10.1016/j.zool.2010.11.005","http://dx.doi.org/10.1016/j.zool.2010.11.005")</f>
        <v>http://dx.doi.org/10.1016/j.zool.2010.11.005</v>
      </c>
      <c r="BG708" t="s">
        <v>74</v>
      </c>
      <c r="BH708" t="s">
        <v>74</v>
      </c>
      <c r="BI708">
        <v>6</v>
      </c>
      <c r="BJ708" t="s">
        <v>3232</v>
      </c>
      <c r="BK708" t="s">
        <v>100</v>
      </c>
      <c r="BL708" t="s">
        <v>3232</v>
      </c>
      <c r="BM708" t="s">
        <v>12907</v>
      </c>
      <c r="BN708">
        <v>21429723</v>
      </c>
      <c r="BO708" t="s">
        <v>74</v>
      </c>
      <c r="BP708" t="s">
        <v>74</v>
      </c>
      <c r="BQ708" t="s">
        <v>74</v>
      </c>
      <c r="BR708" t="s">
        <v>103</v>
      </c>
      <c r="BS708" t="s">
        <v>12908</v>
      </c>
      <c r="BT708" t="str">
        <f>HYPERLINK("https%3A%2F%2Fwww.webofscience.com%2Fwos%2Fwoscc%2Ffull-record%2FWOS:000290778800008","View Full Record in Web of Science")</f>
        <v>View Full Record in Web of Science</v>
      </c>
    </row>
    <row r="709" spans="1:72" x14ac:dyDescent="0.15">
      <c r="A709" t="s">
        <v>72</v>
      </c>
      <c r="B709" t="s">
        <v>12909</v>
      </c>
      <c r="C709" t="s">
        <v>74</v>
      </c>
      <c r="D709" t="s">
        <v>74</v>
      </c>
      <c r="E709" t="s">
        <v>74</v>
      </c>
      <c r="F709" t="s">
        <v>12910</v>
      </c>
      <c r="G709" t="s">
        <v>74</v>
      </c>
      <c r="H709" t="s">
        <v>74</v>
      </c>
      <c r="I709" t="s">
        <v>12911</v>
      </c>
      <c r="J709" t="s">
        <v>1226</v>
      </c>
      <c r="K709" t="s">
        <v>74</v>
      </c>
      <c r="L709" t="s">
        <v>74</v>
      </c>
      <c r="M709" t="s">
        <v>1227</v>
      </c>
      <c r="N709" t="s">
        <v>79</v>
      </c>
      <c r="O709" t="s">
        <v>74</v>
      </c>
      <c r="P709" t="s">
        <v>74</v>
      </c>
      <c r="Q709" t="s">
        <v>74</v>
      </c>
      <c r="R709" t="s">
        <v>74</v>
      </c>
      <c r="S709" t="s">
        <v>74</v>
      </c>
      <c r="T709" t="s">
        <v>12912</v>
      </c>
      <c r="U709" t="s">
        <v>12913</v>
      </c>
      <c r="V709" t="s">
        <v>12914</v>
      </c>
      <c r="W709" t="s">
        <v>12915</v>
      </c>
      <c r="X709" t="s">
        <v>12916</v>
      </c>
      <c r="Y709" t="s">
        <v>12917</v>
      </c>
      <c r="Z709" t="s">
        <v>12918</v>
      </c>
      <c r="AA709" t="s">
        <v>12919</v>
      </c>
      <c r="AB709" t="s">
        <v>12920</v>
      </c>
      <c r="AC709" t="s">
        <v>74</v>
      </c>
      <c r="AD709" t="s">
        <v>74</v>
      </c>
      <c r="AE709" t="s">
        <v>74</v>
      </c>
      <c r="AF709" t="s">
        <v>74</v>
      </c>
      <c r="AG709">
        <v>36</v>
      </c>
      <c r="AH709">
        <v>15</v>
      </c>
      <c r="AI709">
        <v>27</v>
      </c>
      <c r="AJ709">
        <v>0</v>
      </c>
      <c r="AK709">
        <v>18</v>
      </c>
      <c r="AL709" t="s">
        <v>1237</v>
      </c>
      <c r="AM709" t="s">
        <v>1238</v>
      </c>
      <c r="AN709" t="s">
        <v>1239</v>
      </c>
      <c r="AO709" t="s">
        <v>1240</v>
      </c>
      <c r="AP709" t="s">
        <v>74</v>
      </c>
      <c r="AQ709" t="s">
        <v>74</v>
      </c>
      <c r="AR709" t="s">
        <v>1241</v>
      </c>
      <c r="AS709" t="s">
        <v>1242</v>
      </c>
      <c r="AT709" t="s">
        <v>12548</v>
      </c>
      <c r="AU709">
        <v>2011</v>
      </c>
      <c r="AV709">
        <v>54</v>
      </c>
      <c r="AW709">
        <v>4</v>
      </c>
      <c r="AX709" t="s">
        <v>74</v>
      </c>
      <c r="AY709" t="s">
        <v>74</v>
      </c>
      <c r="AZ709" t="s">
        <v>74</v>
      </c>
      <c r="BA709" t="s">
        <v>74</v>
      </c>
      <c r="BB709">
        <v>958</v>
      </c>
      <c r="BC709">
        <v>965</v>
      </c>
      <c r="BD709" t="s">
        <v>74</v>
      </c>
      <c r="BE709" t="s">
        <v>12921</v>
      </c>
      <c r="BF709" t="str">
        <f>HYPERLINK("http://dx.doi.org/10.3969/j.issn.0001-5733.2011.04.010","http://dx.doi.org/10.3969/j.issn.0001-5733.2011.04.010")</f>
        <v>http://dx.doi.org/10.3969/j.issn.0001-5733.2011.04.010</v>
      </c>
      <c r="BG709" t="s">
        <v>74</v>
      </c>
      <c r="BH709" t="s">
        <v>74</v>
      </c>
      <c r="BI709">
        <v>8</v>
      </c>
      <c r="BJ709" t="s">
        <v>488</v>
      </c>
      <c r="BK709" t="s">
        <v>100</v>
      </c>
      <c r="BL709" t="s">
        <v>488</v>
      </c>
      <c r="BM709" t="s">
        <v>12922</v>
      </c>
      <c r="BN709" t="s">
        <v>74</v>
      </c>
      <c r="BO709" t="s">
        <v>74</v>
      </c>
      <c r="BP709" t="s">
        <v>74</v>
      </c>
      <c r="BQ709" t="s">
        <v>74</v>
      </c>
      <c r="BR709" t="s">
        <v>103</v>
      </c>
      <c r="BS709" t="s">
        <v>12923</v>
      </c>
      <c r="BT709" t="str">
        <f>HYPERLINK("https%3A%2F%2Fwww.webofscience.com%2Fwos%2Fwoscc%2Ffull-record%2FWOS:000290065400010","View Full Record in Web of Science")</f>
        <v>View Full Record in Web of Science</v>
      </c>
    </row>
    <row r="710" spans="1:72" x14ac:dyDescent="0.15">
      <c r="A710" t="s">
        <v>72</v>
      </c>
      <c r="B710" t="s">
        <v>12924</v>
      </c>
      <c r="C710" t="s">
        <v>74</v>
      </c>
      <c r="D710" t="s">
        <v>74</v>
      </c>
      <c r="E710" t="s">
        <v>74</v>
      </c>
      <c r="F710" t="s">
        <v>12925</v>
      </c>
      <c r="G710" t="s">
        <v>74</v>
      </c>
      <c r="H710" t="s">
        <v>74</v>
      </c>
      <c r="I710" t="s">
        <v>12926</v>
      </c>
      <c r="J710" t="s">
        <v>874</v>
      </c>
      <c r="K710" t="s">
        <v>74</v>
      </c>
      <c r="L710" t="s">
        <v>74</v>
      </c>
      <c r="M710" t="s">
        <v>78</v>
      </c>
      <c r="N710" t="s">
        <v>79</v>
      </c>
      <c r="O710" t="s">
        <v>74</v>
      </c>
      <c r="P710" t="s">
        <v>74</v>
      </c>
      <c r="Q710" t="s">
        <v>74</v>
      </c>
      <c r="R710" t="s">
        <v>74</v>
      </c>
      <c r="S710" t="s">
        <v>74</v>
      </c>
      <c r="T710" t="s">
        <v>74</v>
      </c>
      <c r="U710" t="s">
        <v>12927</v>
      </c>
      <c r="V710" t="s">
        <v>12928</v>
      </c>
      <c r="W710" t="s">
        <v>12929</v>
      </c>
      <c r="X710" t="s">
        <v>12930</v>
      </c>
      <c r="Y710" t="s">
        <v>12931</v>
      </c>
      <c r="Z710" t="s">
        <v>12932</v>
      </c>
      <c r="AA710" t="s">
        <v>74</v>
      </c>
      <c r="AB710" t="s">
        <v>74</v>
      </c>
      <c r="AC710" t="s">
        <v>12933</v>
      </c>
      <c r="AD710" t="s">
        <v>12934</v>
      </c>
      <c r="AE710" t="s">
        <v>12935</v>
      </c>
      <c r="AF710" t="s">
        <v>74</v>
      </c>
      <c r="AG710">
        <v>22</v>
      </c>
      <c r="AH710">
        <v>18</v>
      </c>
      <c r="AI710">
        <v>18</v>
      </c>
      <c r="AJ710">
        <v>0</v>
      </c>
      <c r="AK710">
        <v>0</v>
      </c>
      <c r="AL710" t="s">
        <v>12936</v>
      </c>
      <c r="AM710" t="s">
        <v>1490</v>
      </c>
      <c r="AN710" t="s">
        <v>12937</v>
      </c>
      <c r="AO710" t="s">
        <v>888</v>
      </c>
      <c r="AP710" t="s">
        <v>12938</v>
      </c>
      <c r="AQ710" t="s">
        <v>74</v>
      </c>
      <c r="AR710" t="s">
        <v>889</v>
      </c>
      <c r="AS710" t="s">
        <v>890</v>
      </c>
      <c r="AT710" t="s">
        <v>12548</v>
      </c>
      <c r="AU710">
        <v>2011</v>
      </c>
      <c r="AV710">
        <v>61</v>
      </c>
      <c r="AW710" t="s">
        <v>74</v>
      </c>
      <c r="AX710">
        <v>4</v>
      </c>
      <c r="AY710" t="s">
        <v>74</v>
      </c>
      <c r="AZ710" t="s">
        <v>74</v>
      </c>
      <c r="BA710" t="s">
        <v>74</v>
      </c>
      <c r="BB710">
        <v>850</v>
      </c>
      <c r="BC710">
        <v>853</v>
      </c>
      <c r="BD710" t="s">
        <v>74</v>
      </c>
      <c r="BE710" t="s">
        <v>12939</v>
      </c>
      <c r="BF710" t="str">
        <f>HYPERLINK("http://dx.doi.org/10.1099/ijs.0.022111-0","http://dx.doi.org/10.1099/ijs.0.022111-0")</f>
        <v>http://dx.doi.org/10.1099/ijs.0.022111-0</v>
      </c>
      <c r="BG710" t="s">
        <v>74</v>
      </c>
      <c r="BH710" t="s">
        <v>74</v>
      </c>
      <c r="BI710">
        <v>4</v>
      </c>
      <c r="BJ710" t="s">
        <v>892</v>
      </c>
      <c r="BK710" t="s">
        <v>100</v>
      </c>
      <c r="BL710" t="s">
        <v>892</v>
      </c>
      <c r="BM710" t="s">
        <v>12940</v>
      </c>
      <c r="BN710">
        <v>20495042</v>
      </c>
      <c r="BO710" t="s">
        <v>152</v>
      </c>
      <c r="BP710" t="s">
        <v>74</v>
      </c>
      <c r="BQ710" t="s">
        <v>74</v>
      </c>
      <c r="BR710" t="s">
        <v>103</v>
      </c>
      <c r="BS710" t="s">
        <v>12941</v>
      </c>
      <c r="BT710" t="str">
        <f>HYPERLINK("https%3A%2F%2Fwww.webofscience.com%2Fwos%2Fwoscc%2Ffull-record%2FWOS:000290135000026","View Full Record in Web of Science")</f>
        <v>View Full Record in Web of Science</v>
      </c>
    </row>
    <row r="711" spans="1:72" x14ac:dyDescent="0.15">
      <c r="A711" t="s">
        <v>72</v>
      </c>
      <c r="B711" t="s">
        <v>12942</v>
      </c>
      <c r="C711" t="s">
        <v>74</v>
      </c>
      <c r="D711" t="s">
        <v>74</v>
      </c>
      <c r="E711" t="s">
        <v>74</v>
      </c>
      <c r="F711" t="s">
        <v>12943</v>
      </c>
      <c r="G711" t="s">
        <v>74</v>
      </c>
      <c r="H711" t="s">
        <v>74</v>
      </c>
      <c r="I711" t="s">
        <v>12944</v>
      </c>
      <c r="J711" t="s">
        <v>7588</v>
      </c>
      <c r="K711" t="s">
        <v>74</v>
      </c>
      <c r="L711" t="s">
        <v>74</v>
      </c>
      <c r="M711" t="s">
        <v>78</v>
      </c>
      <c r="N711" t="s">
        <v>79</v>
      </c>
      <c r="O711" t="s">
        <v>74</v>
      </c>
      <c r="P711" t="s">
        <v>74</v>
      </c>
      <c r="Q711" t="s">
        <v>74</v>
      </c>
      <c r="R711" t="s">
        <v>74</v>
      </c>
      <c r="S711" t="s">
        <v>74</v>
      </c>
      <c r="T711" t="s">
        <v>12945</v>
      </c>
      <c r="U711" t="s">
        <v>12946</v>
      </c>
      <c r="V711" t="s">
        <v>12947</v>
      </c>
      <c r="W711" t="s">
        <v>12948</v>
      </c>
      <c r="X711" t="s">
        <v>12949</v>
      </c>
      <c r="Y711" t="s">
        <v>12950</v>
      </c>
      <c r="Z711" t="s">
        <v>12951</v>
      </c>
      <c r="AA711" t="s">
        <v>74</v>
      </c>
      <c r="AB711" t="s">
        <v>12952</v>
      </c>
      <c r="AC711" t="s">
        <v>12953</v>
      </c>
      <c r="AD711" t="s">
        <v>12953</v>
      </c>
      <c r="AE711" t="s">
        <v>12954</v>
      </c>
      <c r="AF711" t="s">
        <v>74</v>
      </c>
      <c r="AG711">
        <v>80</v>
      </c>
      <c r="AH711">
        <v>10</v>
      </c>
      <c r="AI711">
        <v>12</v>
      </c>
      <c r="AJ711">
        <v>1</v>
      </c>
      <c r="AK711">
        <v>34</v>
      </c>
      <c r="AL711" t="s">
        <v>4179</v>
      </c>
      <c r="AM711" t="s">
        <v>4200</v>
      </c>
      <c r="AN711" t="s">
        <v>4201</v>
      </c>
      <c r="AO711" t="s">
        <v>7596</v>
      </c>
      <c r="AP711" t="s">
        <v>74</v>
      </c>
      <c r="AQ711" t="s">
        <v>74</v>
      </c>
      <c r="AR711" t="s">
        <v>7598</v>
      </c>
      <c r="AS711" t="s">
        <v>7599</v>
      </c>
      <c r="AT711" t="s">
        <v>12548</v>
      </c>
      <c r="AU711">
        <v>2011</v>
      </c>
      <c r="AV711">
        <v>102</v>
      </c>
      <c r="AW711">
        <v>4</v>
      </c>
      <c r="AX711" t="s">
        <v>74</v>
      </c>
      <c r="AY711" t="s">
        <v>74</v>
      </c>
      <c r="AZ711" t="s">
        <v>74</v>
      </c>
      <c r="BA711" t="s">
        <v>74</v>
      </c>
      <c r="BB711">
        <v>798</v>
      </c>
      <c r="BC711">
        <v>811</v>
      </c>
      <c r="BD711" t="s">
        <v>74</v>
      </c>
      <c r="BE711" t="s">
        <v>12955</v>
      </c>
      <c r="BF711" t="str">
        <f>HYPERLINK("http://dx.doi.org/10.1111/j.1095-8312.2011.01600.x","http://dx.doi.org/10.1111/j.1095-8312.2011.01600.x")</f>
        <v>http://dx.doi.org/10.1111/j.1095-8312.2011.01600.x</v>
      </c>
      <c r="BG711" t="s">
        <v>74</v>
      </c>
      <c r="BH711" t="s">
        <v>74</v>
      </c>
      <c r="BI711">
        <v>14</v>
      </c>
      <c r="BJ711" t="s">
        <v>7601</v>
      </c>
      <c r="BK711" t="s">
        <v>100</v>
      </c>
      <c r="BL711" t="s">
        <v>7601</v>
      </c>
      <c r="BM711" t="s">
        <v>12956</v>
      </c>
      <c r="BN711" t="s">
        <v>74</v>
      </c>
      <c r="BO711" t="s">
        <v>152</v>
      </c>
      <c r="BP711" t="s">
        <v>74</v>
      </c>
      <c r="BQ711" t="s">
        <v>74</v>
      </c>
      <c r="BR711" t="s">
        <v>103</v>
      </c>
      <c r="BS711" t="s">
        <v>12957</v>
      </c>
      <c r="BT711" t="str">
        <f>HYPERLINK("https%3A%2F%2Fwww.webofscience.com%2Fwos%2Fwoscc%2Ffull-record%2FWOS:000288383700009","View Full Record in Web of Science")</f>
        <v>View Full Record in Web of Science</v>
      </c>
    </row>
    <row r="712" spans="1:72" x14ac:dyDescent="0.15">
      <c r="A712" t="s">
        <v>72</v>
      </c>
      <c r="B712" t="s">
        <v>12958</v>
      </c>
      <c r="C712" t="s">
        <v>74</v>
      </c>
      <c r="D712" t="s">
        <v>74</v>
      </c>
      <c r="E712" t="s">
        <v>74</v>
      </c>
      <c r="F712" t="s">
        <v>12959</v>
      </c>
      <c r="G712" t="s">
        <v>74</v>
      </c>
      <c r="H712" t="s">
        <v>74</v>
      </c>
      <c r="I712" t="s">
        <v>12960</v>
      </c>
      <c r="J712" t="s">
        <v>12961</v>
      </c>
      <c r="K712" t="s">
        <v>74</v>
      </c>
      <c r="L712" t="s">
        <v>74</v>
      </c>
      <c r="M712" t="s">
        <v>78</v>
      </c>
      <c r="N712" t="s">
        <v>79</v>
      </c>
      <c r="O712" t="s">
        <v>74</v>
      </c>
      <c r="P712" t="s">
        <v>74</v>
      </c>
      <c r="Q712" t="s">
        <v>74</v>
      </c>
      <c r="R712" t="s">
        <v>74</v>
      </c>
      <c r="S712" t="s">
        <v>74</v>
      </c>
      <c r="T712" t="s">
        <v>74</v>
      </c>
      <c r="U712" t="s">
        <v>12962</v>
      </c>
      <c r="V712" t="s">
        <v>12963</v>
      </c>
      <c r="W712" t="s">
        <v>12964</v>
      </c>
      <c r="X712" t="s">
        <v>12965</v>
      </c>
      <c r="Y712" t="s">
        <v>12966</v>
      </c>
      <c r="Z712" t="s">
        <v>12967</v>
      </c>
      <c r="AA712" t="s">
        <v>12968</v>
      </c>
      <c r="AB712" t="s">
        <v>12969</v>
      </c>
      <c r="AC712" t="s">
        <v>12970</v>
      </c>
      <c r="AD712" t="s">
        <v>12971</v>
      </c>
      <c r="AE712" t="s">
        <v>12972</v>
      </c>
      <c r="AF712" t="s">
        <v>74</v>
      </c>
      <c r="AG712">
        <v>94</v>
      </c>
      <c r="AH712">
        <v>7</v>
      </c>
      <c r="AI712">
        <v>8</v>
      </c>
      <c r="AJ712">
        <v>0</v>
      </c>
      <c r="AK712">
        <v>22</v>
      </c>
      <c r="AL712" t="s">
        <v>12973</v>
      </c>
      <c r="AM712" t="s">
        <v>12974</v>
      </c>
      <c r="AN712" t="s">
        <v>12975</v>
      </c>
      <c r="AO712" t="s">
        <v>12976</v>
      </c>
      <c r="AP712" t="s">
        <v>12977</v>
      </c>
      <c r="AQ712" t="s">
        <v>74</v>
      </c>
      <c r="AR712" t="s">
        <v>12978</v>
      </c>
      <c r="AS712" t="s">
        <v>12979</v>
      </c>
      <c r="AT712" t="s">
        <v>12548</v>
      </c>
      <c r="AU712">
        <v>2011</v>
      </c>
      <c r="AV712">
        <v>87</v>
      </c>
      <c r="AW712">
        <v>2</v>
      </c>
      <c r="AX712" t="s">
        <v>74</v>
      </c>
      <c r="AY712" t="s">
        <v>74</v>
      </c>
      <c r="AZ712" t="s">
        <v>74</v>
      </c>
      <c r="BA712" t="s">
        <v>74</v>
      </c>
      <c r="BB712">
        <v>177</v>
      </c>
      <c r="BC712">
        <v>195</v>
      </c>
      <c r="BD712" t="s">
        <v>74</v>
      </c>
      <c r="BE712" t="s">
        <v>12980</v>
      </c>
      <c r="BF712" t="str">
        <f>HYPERLINK("http://dx.doi.org/10.5343/bms.2010.1060","http://dx.doi.org/10.5343/bms.2010.1060")</f>
        <v>http://dx.doi.org/10.5343/bms.2010.1060</v>
      </c>
      <c r="BG712" t="s">
        <v>74</v>
      </c>
      <c r="BH712" t="s">
        <v>74</v>
      </c>
      <c r="BI712">
        <v>19</v>
      </c>
      <c r="BJ712" t="s">
        <v>5605</v>
      </c>
      <c r="BK712" t="s">
        <v>100</v>
      </c>
      <c r="BL712" t="s">
        <v>5605</v>
      </c>
      <c r="BM712" t="s">
        <v>12981</v>
      </c>
      <c r="BN712" t="s">
        <v>74</v>
      </c>
      <c r="BO712" t="s">
        <v>1025</v>
      </c>
      <c r="BP712" t="s">
        <v>74</v>
      </c>
      <c r="BQ712" t="s">
        <v>74</v>
      </c>
      <c r="BR712" t="s">
        <v>103</v>
      </c>
      <c r="BS712" t="s">
        <v>12982</v>
      </c>
      <c r="BT712" t="str">
        <f>HYPERLINK("https%3A%2F%2Fwww.webofscience.com%2Fwos%2Fwoscc%2Ffull-record%2FWOS:000290055400004","View Full Record in Web of Science")</f>
        <v>View Full Record in Web of Science</v>
      </c>
    </row>
    <row r="713" spans="1:72" x14ac:dyDescent="0.15">
      <c r="A713" t="s">
        <v>72</v>
      </c>
      <c r="B713" t="s">
        <v>12983</v>
      </c>
      <c r="C713" t="s">
        <v>74</v>
      </c>
      <c r="D713" t="s">
        <v>74</v>
      </c>
      <c r="E713" t="s">
        <v>74</v>
      </c>
      <c r="F713" t="s">
        <v>12984</v>
      </c>
      <c r="G713" t="s">
        <v>74</v>
      </c>
      <c r="H713" t="s">
        <v>74</v>
      </c>
      <c r="I713" t="s">
        <v>12985</v>
      </c>
      <c r="J713" t="s">
        <v>1405</v>
      </c>
      <c r="K713" t="s">
        <v>74</v>
      </c>
      <c r="L713" t="s">
        <v>74</v>
      </c>
      <c r="M713" t="s">
        <v>78</v>
      </c>
      <c r="N713" t="s">
        <v>79</v>
      </c>
      <c r="O713" t="s">
        <v>74</v>
      </c>
      <c r="P713" t="s">
        <v>74</v>
      </c>
      <c r="Q713" t="s">
        <v>74</v>
      </c>
      <c r="R713" t="s">
        <v>74</v>
      </c>
      <c r="S713" t="s">
        <v>74</v>
      </c>
      <c r="T713" t="s">
        <v>74</v>
      </c>
      <c r="U713" t="s">
        <v>12986</v>
      </c>
      <c r="V713" t="s">
        <v>12987</v>
      </c>
      <c r="W713" t="s">
        <v>12988</v>
      </c>
      <c r="X713" t="s">
        <v>12989</v>
      </c>
      <c r="Y713" t="s">
        <v>12990</v>
      </c>
      <c r="Z713" t="s">
        <v>12991</v>
      </c>
      <c r="AA713" t="s">
        <v>12992</v>
      </c>
      <c r="AB713" t="s">
        <v>12993</v>
      </c>
      <c r="AC713" t="s">
        <v>12994</v>
      </c>
      <c r="AD713" t="s">
        <v>12995</v>
      </c>
      <c r="AE713" t="s">
        <v>12996</v>
      </c>
      <c r="AF713" t="s">
        <v>74</v>
      </c>
      <c r="AG713">
        <v>40</v>
      </c>
      <c r="AH713">
        <v>61</v>
      </c>
      <c r="AI713">
        <v>64</v>
      </c>
      <c r="AJ713">
        <v>3</v>
      </c>
      <c r="AK713">
        <v>16</v>
      </c>
      <c r="AL713" t="s">
        <v>1275</v>
      </c>
      <c r="AM713" t="s">
        <v>1276</v>
      </c>
      <c r="AN713" t="s">
        <v>1277</v>
      </c>
      <c r="AO713" t="s">
        <v>1418</v>
      </c>
      <c r="AP713" t="s">
        <v>1419</v>
      </c>
      <c r="AQ713" t="s">
        <v>74</v>
      </c>
      <c r="AR713" t="s">
        <v>1420</v>
      </c>
      <c r="AS713" t="s">
        <v>1421</v>
      </c>
      <c r="AT713" t="s">
        <v>12548</v>
      </c>
      <c r="AU713">
        <v>2011</v>
      </c>
      <c r="AV713">
        <v>28</v>
      </c>
      <c r="AW713">
        <v>4</v>
      </c>
      <c r="AX713" t="s">
        <v>74</v>
      </c>
      <c r="AY713" t="s">
        <v>74</v>
      </c>
      <c r="AZ713" t="s">
        <v>74</v>
      </c>
      <c r="BA713" t="s">
        <v>74</v>
      </c>
      <c r="BB713">
        <v>548</v>
      </c>
      <c r="BC713">
        <v>568</v>
      </c>
      <c r="BD713" t="s">
        <v>74</v>
      </c>
      <c r="BE713" t="s">
        <v>12997</v>
      </c>
      <c r="BF713" t="str">
        <f>HYPERLINK("http://dx.doi.org/10.1175/2010JTECHO790.1","http://dx.doi.org/10.1175/2010JTECHO790.1")</f>
        <v>http://dx.doi.org/10.1175/2010JTECHO790.1</v>
      </c>
      <c r="BG713" t="s">
        <v>74</v>
      </c>
      <c r="BH713" t="s">
        <v>74</v>
      </c>
      <c r="BI713">
        <v>21</v>
      </c>
      <c r="BJ713" t="s">
        <v>1423</v>
      </c>
      <c r="BK713" t="s">
        <v>100</v>
      </c>
      <c r="BL713" t="s">
        <v>1424</v>
      </c>
      <c r="BM713" t="s">
        <v>12998</v>
      </c>
      <c r="BN713" t="s">
        <v>74</v>
      </c>
      <c r="BO713" t="s">
        <v>1284</v>
      </c>
      <c r="BP713" t="s">
        <v>74</v>
      </c>
      <c r="BQ713" t="s">
        <v>74</v>
      </c>
      <c r="BR713" t="s">
        <v>103</v>
      </c>
      <c r="BS713" t="s">
        <v>12999</v>
      </c>
      <c r="BT713" t="str">
        <f>HYPERLINK("https%3A%2F%2Fwww.webofscience.com%2Fwos%2Fwoscc%2Ffull-record%2FWOS:000290057600008","View Full Record in Web of Science")</f>
        <v>View Full Record in Web of Science</v>
      </c>
    </row>
    <row r="714" spans="1:72" x14ac:dyDescent="0.15">
      <c r="A714" t="s">
        <v>72</v>
      </c>
      <c r="B714" t="s">
        <v>13000</v>
      </c>
      <c r="C714" t="s">
        <v>74</v>
      </c>
      <c r="D714" t="s">
        <v>74</v>
      </c>
      <c r="E714" t="s">
        <v>74</v>
      </c>
      <c r="F714" t="s">
        <v>13001</v>
      </c>
      <c r="G714" t="s">
        <v>74</v>
      </c>
      <c r="H714" t="s">
        <v>74</v>
      </c>
      <c r="I714" t="s">
        <v>13002</v>
      </c>
      <c r="J714" t="s">
        <v>1538</v>
      </c>
      <c r="K714" t="s">
        <v>74</v>
      </c>
      <c r="L714" t="s">
        <v>74</v>
      </c>
      <c r="M714" t="s">
        <v>78</v>
      </c>
      <c r="N714" t="s">
        <v>79</v>
      </c>
      <c r="O714" t="s">
        <v>74</v>
      </c>
      <c r="P714" t="s">
        <v>74</v>
      </c>
      <c r="Q714" t="s">
        <v>74</v>
      </c>
      <c r="R714" t="s">
        <v>74</v>
      </c>
      <c r="S714" t="s">
        <v>74</v>
      </c>
      <c r="T714" t="s">
        <v>13003</v>
      </c>
      <c r="U714" t="s">
        <v>74</v>
      </c>
      <c r="V714" t="s">
        <v>13004</v>
      </c>
      <c r="W714" t="s">
        <v>13005</v>
      </c>
      <c r="X714" t="s">
        <v>13006</v>
      </c>
      <c r="Y714" t="s">
        <v>13007</v>
      </c>
      <c r="Z714" t="s">
        <v>13008</v>
      </c>
      <c r="AA714" t="s">
        <v>13009</v>
      </c>
      <c r="AB714" t="s">
        <v>13010</v>
      </c>
      <c r="AC714" t="s">
        <v>13011</v>
      </c>
      <c r="AD714" t="s">
        <v>13012</v>
      </c>
      <c r="AE714" t="s">
        <v>13013</v>
      </c>
      <c r="AF714" t="s">
        <v>74</v>
      </c>
      <c r="AG714">
        <v>27</v>
      </c>
      <c r="AH714">
        <v>8</v>
      </c>
      <c r="AI714">
        <v>15</v>
      </c>
      <c r="AJ714">
        <v>3</v>
      </c>
      <c r="AK714">
        <v>15</v>
      </c>
      <c r="AL714" t="s">
        <v>1237</v>
      </c>
      <c r="AM714" t="s">
        <v>1238</v>
      </c>
      <c r="AN714" t="s">
        <v>1239</v>
      </c>
      <c r="AO714" t="s">
        <v>1551</v>
      </c>
      <c r="AP714" t="s">
        <v>1552</v>
      </c>
      <c r="AQ714" t="s">
        <v>74</v>
      </c>
      <c r="AR714" t="s">
        <v>1553</v>
      </c>
      <c r="AS714" t="s">
        <v>1554</v>
      </c>
      <c r="AT714" t="s">
        <v>12548</v>
      </c>
      <c r="AU714">
        <v>2011</v>
      </c>
      <c r="AV714">
        <v>56</v>
      </c>
      <c r="AW714">
        <v>10</v>
      </c>
      <c r="AX714" t="s">
        <v>74</v>
      </c>
      <c r="AY714" t="s">
        <v>74</v>
      </c>
      <c r="AZ714" t="s">
        <v>74</v>
      </c>
      <c r="BA714" t="s">
        <v>74</v>
      </c>
      <c r="BB714">
        <v>1011</v>
      </c>
      <c r="BC714">
        <v>1019</v>
      </c>
      <c r="BD714" t="s">
        <v>74</v>
      </c>
      <c r="BE714" t="s">
        <v>13014</v>
      </c>
      <c r="BF714" t="str">
        <f>HYPERLINK("http://dx.doi.org/10.1007/s11434-011-4406-2","http://dx.doi.org/10.1007/s11434-011-4406-2")</f>
        <v>http://dx.doi.org/10.1007/s11434-011-4406-2</v>
      </c>
      <c r="BG714" t="s">
        <v>74</v>
      </c>
      <c r="BH714" t="s">
        <v>74</v>
      </c>
      <c r="BI714">
        <v>9</v>
      </c>
      <c r="BJ714" t="s">
        <v>177</v>
      </c>
      <c r="BK714" t="s">
        <v>100</v>
      </c>
      <c r="BL714" t="s">
        <v>178</v>
      </c>
      <c r="BM714" t="s">
        <v>13015</v>
      </c>
      <c r="BN714" t="s">
        <v>74</v>
      </c>
      <c r="BO714" t="s">
        <v>152</v>
      </c>
      <c r="BP714" t="s">
        <v>74</v>
      </c>
      <c r="BQ714" t="s">
        <v>74</v>
      </c>
      <c r="BR714" t="s">
        <v>103</v>
      </c>
      <c r="BS714" t="s">
        <v>13016</v>
      </c>
      <c r="BT714" t="str">
        <f>HYPERLINK("https%3A%2F%2Fwww.webofscience.com%2Fwos%2Fwoscc%2Ffull-record%2FWOS:000289729100010","View Full Record in Web of Science")</f>
        <v>View Full Record in Web of Science</v>
      </c>
    </row>
    <row r="715" spans="1:72" x14ac:dyDescent="0.15">
      <c r="A715" t="s">
        <v>72</v>
      </c>
      <c r="B715" t="s">
        <v>13017</v>
      </c>
      <c r="C715" t="s">
        <v>74</v>
      </c>
      <c r="D715" t="s">
        <v>74</v>
      </c>
      <c r="E715" t="s">
        <v>74</v>
      </c>
      <c r="F715" t="s">
        <v>13018</v>
      </c>
      <c r="G715" t="s">
        <v>74</v>
      </c>
      <c r="H715" t="s">
        <v>74</v>
      </c>
      <c r="I715" t="s">
        <v>13019</v>
      </c>
      <c r="J715" t="s">
        <v>913</v>
      </c>
      <c r="K715" t="s">
        <v>74</v>
      </c>
      <c r="L715" t="s">
        <v>74</v>
      </c>
      <c r="M715" t="s">
        <v>78</v>
      </c>
      <c r="N715" t="s">
        <v>79</v>
      </c>
      <c r="O715" t="s">
        <v>74</v>
      </c>
      <c r="P715" t="s">
        <v>74</v>
      </c>
      <c r="Q715" t="s">
        <v>74</v>
      </c>
      <c r="R715" t="s">
        <v>74</v>
      </c>
      <c r="S715" t="s">
        <v>74</v>
      </c>
      <c r="T715" t="s">
        <v>13020</v>
      </c>
      <c r="U715" t="s">
        <v>13021</v>
      </c>
      <c r="V715" t="s">
        <v>13022</v>
      </c>
      <c r="W715" t="s">
        <v>13023</v>
      </c>
      <c r="X715" t="s">
        <v>621</v>
      </c>
      <c r="Y715" t="s">
        <v>13024</v>
      </c>
      <c r="Z715" t="s">
        <v>13025</v>
      </c>
      <c r="AA715" t="s">
        <v>13026</v>
      </c>
      <c r="AB715" t="s">
        <v>74</v>
      </c>
      <c r="AC715" t="s">
        <v>74</v>
      </c>
      <c r="AD715" t="s">
        <v>74</v>
      </c>
      <c r="AE715" t="s">
        <v>74</v>
      </c>
      <c r="AF715" t="s">
        <v>74</v>
      </c>
      <c r="AG715">
        <v>44</v>
      </c>
      <c r="AH715">
        <v>24</v>
      </c>
      <c r="AI715">
        <v>25</v>
      </c>
      <c r="AJ715">
        <v>0</v>
      </c>
      <c r="AK715">
        <v>5</v>
      </c>
      <c r="AL715" t="s">
        <v>926</v>
      </c>
      <c r="AM715" t="s">
        <v>508</v>
      </c>
      <c r="AN715" t="s">
        <v>927</v>
      </c>
      <c r="AO715" t="s">
        <v>928</v>
      </c>
      <c r="AP715" t="s">
        <v>4067</v>
      </c>
      <c r="AQ715" t="s">
        <v>74</v>
      </c>
      <c r="AR715" t="s">
        <v>929</v>
      </c>
      <c r="AS715" t="s">
        <v>930</v>
      </c>
      <c r="AT715" t="s">
        <v>12548</v>
      </c>
      <c r="AU715">
        <v>2011</v>
      </c>
      <c r="AV715">
        <v>73</v>
      </c>
      <c r="AW715" t="s">
        <v>10386</v>
      </c>
      <c r="AX715" t="s">
        <v>74</v>
      </c>
      <c r="AY715" t="s">
        <v>74</v>
      </c>
      <c r="AZ715" t="s">
        <v>74</v>
      </c>
      <c r="BA715" t="s">
        <v>74</v>
      </c>
      <c r="BB715">
        <v>611</v>
      </c>
      <c r="BC715">
        <v>622</v>
      </c>
      <c r="BD715" t="s">
        <v>74</v>
      </c>
      <c r="BE715" t="s">
        <v>13027</v>
      </c>
      <c r="BF715" t="str">
        <f>HYPERLINK("http://dx.doi.org/10.1016/j.jastp.2010.12.015","http://dx.doi.org/10.1016/j.jastp.2010.12.015")</f>
        <v>http://dx.doi.org/10.1016/j.jastp.2010.12.015</v>
      </c>
      <c r="BG715" t="s">
        <v>74</v>
      </c>
      <c r="BH715" t="s">
        <v>74</v>
      </c>
      <c r="BI715">
        <v>12</v>
      </c>
      <c r="BJ715" t="s">
        <v>932</v>
      </c>
      <c r="BK715" t="s">
        <v>100</v>
      </c>
      <c r="BL715" t="s">
        <v>932</v>
      </c>
      <c r="BM715" t="s">
        <v>13028</v>
      </c>
      <c r="BN715" t="s">
        <v>74</v>
      </c>
      <c r="BO715" t="s">
        <v>74</v>
      </c>
      <c r="BP715" t="s">
        <v>74</v>
      </c>
      <c r="BQ715" t="s">
        <v>74</v>
      </c>
      <c r="BR715" t="s">
        <v>103</v>
      </c>
      <c r="BS715" t="s">
        <v>13029</v>
      </c>
      <c r="BT715" t="str">
        <f>HYPERLINK("https%3A%2F%2Fwww.webofscience.com%2Fwos%2Fwoscc%2Ffull-record%2FWOS:000288889600006","View Full Record in Web of Science")</f>
        <v>View Full Record in Web of Science</v>
      </c>
    </row>
    <row r="716" spans="1:72" x14ac:dyDescent="0.15">
      <c r="A716" t="s">
        <v>72</v>
      </c>
      <c r="B716" t="s">
        <v>13030</v>
      </c>
      <c r="C716" t="s">
        <v>74</v>
      </c>
      <c r="D716" t="s">
        <v>74</v>
      </c>
      <c r="E716" t="s">
        <v>74</v>
      </c>
      <c r="F716" t="s">
        <v>13031</v>
      </c>
      <c r="G716" t="s">
        <v>74</v>
      </c>
      <c r="H716" t="s">
        <v>74</v>
      </c>
      <c r="I716" t="s">
        <v>13032</v>
      </c>
      <c r="J716" t="s">
        <v>1562</v>
      </c>
      <c r="K716" t="s">
        <v>74</v>
      </c>
      <c r="L716" t="s">
        <v>74</v>
      </c>
      <c r="M716" t="s">
        <v>78</v>
      </c>
      <c r="N716" t="s">
        <v>79</v>
      </c>
      <c r="O716" t="s">
        <v>74</v>
      </c>
      <c r="P716" t="s">
        <v>74</v>
      </c>
      <c r="Q716" t="s">
        <v>74</v>
      </c>
      <c r="R716" t="s">
        <v>74</v>
      </c>
      <c r="S716" t="s">
        <v>74</v>
      </c>
      <c r="T716" t="s">
        <v>74</v>
      </c>
      <c r="U716" t="s">
        <v>13033</v>
      </c>
      <c r="V716" t="s">
        <v>13034</v>
      </c>
      <c r="W716" t="s">
        <v>13035</v>
      </c>
      <c r="X716" t="s">
        <v>13036</v>
      </c>
      <c r="Y716" t="s">
        <v>13037</v>
      </c>
      <c r="Z716" t="s">
        <v>13038</v>
      </c>
      <c r="AA716" t="s">
        <v>13039</v>
      </c>
      <c r="AB716" t="s">
        <v>13040</v>
      </c>
      <c r="AC716" t="s">
        <v>13041</v>
      </c>
      <c r="AD716" t="s">
        <v>13042</v>
      </c>
      <c r="AE716" t="s">
        <v>13043</v>
      </c>
      <c r="AF716" t="s">
        <v>74</v>
      </c>
      <c r="AG716">
        <v>45</v>
      </c>
      <c r="AH716">
        <v>19</v>
      </c>
      <c r="AI716">
        <v>19</v>
      </c>
      <c r="AJ716">
        <v>0</v>
      </c>
      <c r="AK716">
        <v>24</v>
      </c>
      <c r="AL716" t="s">
        <v>1441</v>
      </c>
      <c r="AM716" t="s">
        <v>91</v>
      </c>
      <c r="AN716" t="s">
        <v>1595</v>
      </c>
      <c r="AO716" t="s">
        <v>1574</v>
      </c>
      <c r="AP716" t="s">
        <v>74</v>
      </c>
      <c r="AQ716" t="s">
        <v>74</v>
      </c>
      <c r="AR716" t="s">
        <v>1576</v>
      </c>
      <c r="AS716" t="s">
        <v>1577</v>
      </c>
      <c r="AT716" t="s">
        <v>12548</v>
      </c>
      <c r="AU716">
        <v>2011</v>
      </c>
      <c r="AV716">
        <v>158</v>
      </c>
      <c r="AW716">
        <v>4</v>
      </c>
      <c r="AX716" t="s">
        <v>74</v>
      </c>
      <c r="AY716" t="s">
        <v>74</v>
      </c>
      <c r="AZ716" t="s">
        <v>74</v>
      </c>
      <c r="BA716" t="s">
        <v>74</v>
      </c>
      <c r="BB716">
        <v>883</v>
      </c>
      <c r="BC716">
        <v>892</v>
      </c>
      <c r="BD716" t="s">
        <v>74</v>
      </c>
      <c r="BE716" t="s">
        <v>13044</v>
      </c>
      <c r="BF716" t="str">
        <f>HYPERLINK("http://dx.doi.org/10.1007/s00227-010-1615-1","http://dx.doi.org/10.1007/s00227-010-1615-1")</f>
        <v>http://dx.doi.org/10.1007/s00227-010-1615-1</v>
      </c>
      <c r="BG716" t="s">
        <v>74</v>
      </c>
      <c r="BH716" t="s">
        <v>74</v>
      </c>
      <c r="BI716">
        <v>10</v>
      </c>
      <c r="BJ716" t="s">
        <v>700</v>
      </c>
      <c r="BK716" t="s">
        <v>100</v>
      </c>
      <c r="BL716" t="s">
        <v>700</v>
      </c>
      <c r="BM716" t="s">
        <v>13045</v>
      </c>
      <c r="BN716">
        <v>24391262</v>
      </c>
      <c r="BO716" t="s">
        <v>13046</v>
      </c>
      <c r="BP716" t="s">
        <v>74</v>
      </c>
      <c r="BQ716" t="s">
        <v>74</v>
      </c>
      <c r="BR716" t="s">
        <v>103</v>
      </c>
      <c r="BS716" t="s">
        <v>13047</v>
      </c>
      <c r="BT716" t="str">
        <f>HYPERLINK("https%3A%2F%2Fwww.webofscience.com%2Fwos%2Fwoscc%2Ffull-record%2FWOS:000289539100016","View Full Record in Web of Science")</f>
        <v>View Full Record in Web of Science</v>
      </c>
    </row>
    <row r="717" spans="1:72" x14ac:dyDescent="0.15">
      <c r="A717" t="s">
        <v>72</v>
      </c>
      <c r="B717" t="s">
        <v>13048</v>
      </c>
      <c r="C717" t="s">
        <v>74</v>
      </c>
      <c r="D717" t="s">
        <v>74</v>
      </c>
      <c r="E717" t="s">
        <v>74</v>
      </c>
      <c r="F717" t="s">
        <v>13049</v>
      </c>
      <c r="G717" t="s">
        <v>74</v>
      </c>
      <c r="H717" t="s">
        <v>74</v>
      </c>
      <c r="I717" t="s">
        <v>13050</v>
      </c>
      <c r="J717" t="s">
        <v>13051</v>
      </c>
      <c r="K717" t="s">
        <v>74</v>
      </c>
      <c r="L717" t="s">
        <v>74</v>
      </c>
      <c r="M717" t="s">
        <v>78</v>
      </c>
      <c r="N717" t="s">
        <v>79</v>
      </c>
      <c r="O717" t="s">
        <v>74</v>
      </c>
      <c r="P717" t="s">
        <v>74</v>
      </c>
      <c r="Q717" t="s">
        <v>74</v>
      </c>
      <c r="R717" t="s">
        <v>74</v>
      </c>
      <c r="S717" t="s">
        <v>74</v>
      </c>
      <c r="T717" t="s">
        <v>74</v>
      </c>
      <c r="U717" t="s">
        <v>13052</v>
      </c>
      <c r="V717" t="s">
        <v>13053</v>
      </c>
      <c r="W717" t="s">
        <v>13054</v>
      </c>
      <c r="X717" t="s">
        <v>1219</v>
      </c>
      <c r="Y717" t="s">
        <v>13055</v>
      </c>
      <c r="Z717" t="s">
        <v>13056</v>
      </c>
      <c r="AA717" t="s">
        <v>13057</v>
      </c>
      <c r="AB717" t="s">
        <v>13058</v>
      </c>
      <c r="AC717" t="s">
        <v>13059</v>
      </c>
      <c r="AD717" t="s">
        <v>2421</v>
      </c>
      <c r="AE717" t="s">
        <v>13060</v>
      </c>
      <c r="AF717" t="s">
        <v>74</v>
      </c>
      <c r="AG717">
        <v>17</v>
      </c>
      <c r="AH717">
        <v>24</v>
      </c>
      <c r="AI717">
        <v>27</v>
      </c>
      <c r="AJ717">
        <v>0</v>
      </c>
      <c r="AK717">
        <v>12</v>
      </c>
      <c r="AL717" t="s">
        <v>1275</v>
      </c>
      <c r="AM717" t="s">
        <v>1276</v>
      </c>
      <c r="AN717" t="s">
        <v>1277</v>
      </c>
      <c r="AO717" t="s">
        <v>13061</v>
      </c>
      <c r="AP717" t="s">
        <v>74</v>
      </c>
      <c r="AQ717" t="s">
        <v>74</v>
      </c>
      <c r="AR717" t="s">
        <v>13062</v>
      </c>
      <c r="AS717" t="s">
        <v>13063</v>
      </c>
      <c r="AT717" t="s">
        <v>12548</v>
      </c>
      <c r="AU717">
        <v>2011</v>
      </c>
      <c r="AV717">
        <v>26</v>
      </c>
      <c r="AW717">
        <v>2</v>
      </c>
      <c r="AX717" t="s">
        <v>74</v>
      </c>
      <c r="AY717" t="s">
        <v>74</v>
      </c>
      <c r="AZ717" t="s">
        <v>74</v>
      </c>
      <c r="BA717" t="s">
        <v>74</v>
      </c>
      <c r="BB717">
        <v>184</v>
      </c>
      <c r="BC717">
        <v>198</v>
      </c>
      <c r="BD717" t="s">
        <v>74</v>
      </c>
      <c r="BE717" t="s">
        <v>13064</v>
      </c>
      <c r="BF717" t="str">
        <f>HYPERLINK("http://dx.doi.org/10.1175/2010WAF2222444.1","http://dx.doi.org/10.1175/2010WAF2222444.1")</f>
        <v>http://dx.doi.org/10.1175/2010WAF2222444.1</v>
      </c>
      <c r="BG717" t="s">
        <v>74</v>
      </c>
      <c r="BH717" t="s">
        <v>74</v>
      </c>
      <c r="BI717">
        <v>15</v>
      </c>
      <c r="BJ717" t="s">
        <v>248</v>
      </c>
      <c r="BK717" t="s">
        <v>100</v>
      </c>
      <c r="BL717" t="s">
        <v>248</v>
      </c>
      <c r="BM717" t="s">
        <v>13065</v>
      </c>
      <c r="BN717" t="s">
        <v>74</v>
      </c>
      <c r="BO717" t="s">
        <v>1284</v>
      </c>
      <c r="BP717" t="s">
        <v>74</v>
      </c>
      <c r="BQ717" t="s">
        <v>74</v>
      </c>
      <c r="BR717" t="s">
        <v>103</v>
      </c>
      <c r="BS717" t="s">
        <v>13066</v>
      </c>
      <c r="BT717" t="str">
        <f>HYPERLINK("https%3A%2F%2Fwww.webofscience.com%2Fwos%2Fwoscc%2Ffull-record%2FWOS:000289754900004","View Full Record in Web of Science")</f>
        <v>View Full Record in Web of Science</v>
      </c>
    </row>
    <row r="718" spans="1:72" x14ac:dyDescent="0.15">
      <c r="A718" t="s">
        <v>72</v>
      </c>
      <c r="B718" t="s">
        <v>13067</v>
      </c>
      <c r="C718" t="s">
        <v>74</v>
      </c>
      <c r="D718" t="s">
        <v>74</v>
      </c>
      <c r="E718" t="s">
        <v>74</v>
      </c>
      <c r="F718" t="s">
        <v>13068</v>
      </c>
      <c r="G718" t="s">
        <v>74</v>
      </c>
      <c r="H718" t="s">
        <v>74</v>
      </c>
      <c r="I718" t="s">
        <v>13069</v>
      </c>
      <c r="J718" t="s">
        <v>13070</v>
      </c>
      <c r="K718" t="s">
        <v>74</v>
      </c>
      <c r="L718" t="s">
        <v>74</v>
      </c>
      <c r="M718" t="s">
        <v>78</v>
      </c>
      <c r="N718" t="s">
        <v>79</v>
      </c>
      <c r="O718" t="s">
        <v>74</v>
      </c>
      <c r="P718" t="s">
        <v>74</v>
      </c>
      <c r="Q718" t="s">
        <v>74</v>
      </c>
      <c r="R718" t="s">
        <v>74</v>
      </c>
      <c r="S718" t="s">
        <v>74</v>
      </c>
      <c r="T718" t="s">
        <v>13071</v>
      </c>
      <c r="U718" t="s">
        <v>13072</v>
      </c>
      <c r="V718" t="s">
        <v>13073</v>
      </c>
      <c r="W718" t="s">
        <v>13074</v>
      </c>
      <c r="X718" t="s">
        <v>13075</v>
      </c>
      <c r="Y718" t="s">
        <v>13076</v>
      </c>
      <c r="Z718" t="s">
        <v>13077</v>
      </c>
      <c r="AA718" t="s">
        <v>13078</v>
      </c>
      <c r="AB718" t="s">
        <v>13079</v>
      </c>
      <c r="AC718" t="s">
        <v>74</v>
      </c>
      <c r="AD718" t="s">
        <v>74</v>
      </c>
      <c r="AE718" t="s">
        <v>74</v>
      </c>
      <c r="AF718" t="s">
        <v>74</v>
      </c>
      <c r="AG718">
        <v>47</v>
      </c>
      <c r="AH718">
        <v>29</v>
      </c>
      <c r="AI718">
        <v>34</v>
      </c>
      <c r="AJ718">
        <v>1</v>
      </c>
      <c r="AK718">
        <v>63</v>
      </c>
      <c r="AL718" t="s">
        <v>13080</v>
      </c>
      <c r="AM718" t="s">
        <v>9934</v>
      </c>
      <c r="AN718" t="s">
        <v>13081</v>
      </c>
      <c r="AO718" t="s">
        <v>13082</v>
      </c>
      <c r="AP718" t="s">
        <v>13083</v>
      </c>
      <c r="AQ718" t="s">
        <v>74</v>
      </c>
      <c r="AR718" t="s">
        <v>13084</v>
      </c>
      <c r="AS718" t="s">
        <v>13085</v>
      </c>
      <c r="AT718" t="s">
        <v>12548</v>
      </c>
      <c r="AU718">
        <v>2011</v>
      </c>
      <c r="AV718">
        <v>121</v>
      </c>
      <c r="AW718">
        <v>1</v>
      </c>
      <c r="AX718" t="s">
        <v>74</v>
      </c>
      <c r="AY718" t="s">
        <v>74</v>
      </c>
      <c r="AZ718" t="s">
        <v>74</v>
      </c>
      <c r="BA718" t="s">
        <v>74</v>
      </c>
      <c r="BB718">
        <v>11</v>
      </c>
      <c r="BC718">
        <v>22</v>
      </c>
      <c r="BD718" t="s">
        <v>74</v>
      </c>
      <c r="BE718" t="s">
        <v>13086</v>
      </c>
      <c r="BF718" t="str">
        <f>HYPERLINK("http://dx.doi.org/10.1007/s00035-011-0089-1","http://dx.doi.org/10.1007/s00035-011-0089-1")</f>
        <v>http://dx.doi.org/10.1007/s00035-011-0089-1</v>
      </c>
      <c r="BG718" t="s">
        <v>74</v>
      </c>
      <c r="BH718" t="s">
        <v>74</v>
      </c>
      <c r="BI718">
        <v>12</v>
      </c>
      <c r="BJ718" t="s">
        <v>4032</v>
      </c>
      <c r="BK718" t="s">
        <v>100</v>
      </c>
      <c r="BL718" t="s">
        <v>4032</v>
      </c>
      <c r="BM718" t="s">
        <v>13087</v>
      </c>
      <c r="BN718" t="s">
        <v>74</v>
      </c>
      <c r="BO718" t="s">
        <v>74</v>
      </c>
      <c r="BP718" t="s">
        <v>74</v>
      </c>
      <c r="BQ718" t="s">
        <v>74</v>
      </c>
      <c r="BR718" t="s">
        <v>103</v>
      </c>
      <c r="BS718" t="s">
        <v>13088</v>
      </c>
      <c r="BT718" t="str">
        <f>HYPERLINK("https%3A%2F%2Fwww.webofscience.com%2Fwos%2Fwoscc%2Ffull-record%2FWOS:000289414200003","View Full Record in Web of Science")</f>
        <v>View Full Record in Web of Science</v>
      </c>
    </row>
    <row r="719" spans="1:72" x14ac:dyDescent="0.15">
      <c r="A719" t="s">
        <v>72</v>
      </c>
      <c r="B719" t="s">
        <v>13089</v>
      </c>
      <c r="C719" t="s">
        <v>74</v>
      </c>
      <c r="D719" t="s">
        <v>74</v>
      </c>
      <c r="E719" t="s">
        <v>74</v>
      </c>
      <c r="F719" t="s">
        <v>13090</v>
      </c>
      <c r="G719" t="s">
        <v>74</v>
      </c>
      <c r="H719" t="s">
        <v>74</v>
      </c>
      <c r="I719" t="s">
        <v>13091</v>
      </c>
      <c r="J719" t="s">
        <v>13092</v>
      </c>
      <c r="K719" t="s">
        <v>74</v>
      </c>
      <c r="L719" t="s">
        <v>74</v>
      </c>
      <c r="M719" t="s">
        <v>78</v>
      </c>
      <c r="N719" t="s">
        <v>79</v>
      </c>
      <c r="O719" t="s">
        <v>74</v>
      </c>
      <c r="P719" t="s">
        <v>74</v>
      </c>
      <c r="Q719" t="s">
        <v>74</v>
      </c>
      <c r="R719" t="s">
        <v>74</v>
      </c>
      <c r="S719" t="s">
        <v>74</v>
      </c>
      <c r="T719" t="s">
        <v>13093</v>
      </c>
      <c r="U719" t="s">
        <v>74</v>
      </c>
      <c r="V719" t="s">
        <v>13094</v>
      </c>
      <c r="W719" t="s">
        <v>13095</v>
      </c>
      <c r="X719" t="s">
        <v>13096</v>
      </c>
      <c r="Y719" t="s">
        <v>13097</v>
      </c>
      <c r="Z719" t="s">
        <v>13098</v>
      </c>
      <c r="AA719" t="s">
        <v>74</v>
      </c>
      <c r="AB719" t="s">
        <v>74</v>
      </c>
      <c r="AC719" t="s">
        <v>13099</v>
      </c>
      <c r="AD719" t="s">
        <v>13100</v>
      </c>
      <c r="AE719" t="s">
        <v>13101</v>
      </c>
      <c r="AF719" t="s">
        <v>74</v>
      </c>
      <c r="AG719">
        <v>14</v>
      </c>
      <c r="AH719">
        <v>6</v>
      </c>
      <c r="AI719">
        <v>6</v>
      </c>
      <c r="AJ719">
        <v>0</v>
      </c>
      <c r="AK719">
        <v>5</v>
      </c>
      <c r="AL719" t="s">
        <v>13102</v>
      </c>
      <c r="AM719" t="s">
        <v>3661</v>
      </c>
      <c r="AN719" t="s">
        <v>12712</v>
      </c>
      <c r="AO719" t="s">
        <v>13103</v>
      </c>
      <c r="AP719" t="s">
        <v>74</v>
      </c>
      <c r="AQ719" t="s">
        <v>74</v>
      </c>
      <c r="AR719" t="s">
        <v>13104</v>
      </c>
      <c r="AS719" t="s">
        <v>13105</v>
      </c>
      <c r="AT719" t="s">
        <v>12548</v>
      </c>
      <c r="AU719">
        <v>2011</v>
      </c>
      <c r="AV719">
        <v>54</v>
      </c>
      <c r="AW719">
        <v>2</v>
      </c>
      <c r="AX719" t="s">
        <v>74</v>
      </c>
      <c r="AY719" t="s">
        <v>74</v>
      </c>
      <c r="AZ719" t="s">
        <v>74</v>
      </c>
      <c r="BA719" t="s">
        <v>74</v>
      </c>
      <c r="BB719">
        <v>179</v>
      </c>
      <c r="BC719">
        <v>188</v>
      </c>
      <c r="BD719" t="s">
        <v>74</v>
      </c>
      <c r="BE719" t="s">
        <v>13106</v>
      </c>
      <c r="BF719" t="str">
        <f>HYPERLINK("http://dx.doi.org/10.1515/BOT.2011.020","http://dx.doi.org/10.1515/BOT.2011.020")</f>
        <v>http://dx.doi.org/10.1515/BOT.2011.020</v>
      </c>
      <c r="BG719" t="s">
        <v>74</v>
      </c>
      <c r="BH719" t="s">
        <v>74</v>
      </c>
      <c r="BI719">
        <v>10</v>
      </c>
      <c r="BJ719" t="s">
        <v>1808</v>
      </c>
      <c r="BK719" t="s">
        <v>100</v>
      </c>
      <c r="BL719" t="s">
        <v>1808</v>
      </c>
      <c r="BM719" t="s">
        <v>13107</v>
      </c>
      <c r="BN719" t="s">
        <v>74</v>
      </c>
      <c r="BO719" t="s">
        <v>74</v>
      </c>
      <c r="BP719" t="s">
        <v>74</v>
      </c>
      <c r="BQ719" t="s">
        <v>74</v>
      </c>
      <c r="BR719" t="s">
        <v>103</v>
      </c>
      <c r="BS719" t="s">
        <v>13108</v>
      </c>
      <c r="BT719" t="str">
        <f>HYPERLINK("https%3A%2F%2Fwww.webofscience.com%2Fwos%2Fwoscc%2Ffull-record%2FWOS:000289343800007","View Full Record in Web of Science")</f>
        <v>View Full Record in Web of Science</v>
      </c>
    </row>
    <row r="720" spans="1:72" x14ac:dyDescent="0.15">
      <c r="A720" t="s">
        <v>72</v>
      </c>
      <c r="B720" t="s">
        <v>13109</v>
      </c>
      <c r="C720" t="s">
        <v>74</v>
      </c>
      <c r="D720" t="s">
        <v>74</v>
      </c>
      <c r="E720" t="s">
        <v>74</v>
      </c>
      <c r="F720" t="s">
        <v>13110</v>
      </c>
      <c r="G720" t="s">
        <v>74</v>
      </c>
      <c r="H720" t="s">
        <v>74</v>
      </c>
      <c r="I720" t="s">
        <v>13111</v>
      </c>
      <c r="J720" t="s">
        <v>4344</v>
      </c>
      <c r="K720" t="s">
        <v>74</v>
      </c>
      <c r="L720" t="s">
        <v>74</v>
      </c>
      <c r="M720" t="s">
        <v>78</v>
      </c>
      <c r="N720" t="s">
        <v>79</v>
      </c>
      <c r="O720" t="s">
        <v>74</v>
      </c>
      <c r="P720" t="s">
        <v>74</v>
      </c>
      <c r="Q720" t="s">
        <v>74</v>
      </c>
      <c r="R720" t="s">
        <v>74</v>
      </c>
      <c r="S720" t="s">
        <v>74</v>
      </c>
      <c r="T720" t="s">
        <v>13112</v>
      </c>
      <c r="U720" t="s">
        <v>13113</v>
      </c>
      <c r="V720" t="s">
        <v>13114</v>
      </c>
      <c r="W720" t="s">
        <v>13115</v>
      </c>
      <c r="X720" t="s">
        <v>13116</v>
      </c>
      <c r="Y720" t="s">
        <v>13117</v>
      </c>
      <c r="Z720" t="s">
        <v>13118</v>
      </c>
      <c r="AA720" t="s">
        <v>74</v>
      </c>
      <c r="AB720" t="s">
        <v>74</v>
      </c>
      <c r="AC720" t="s">
        <v>74</v>
      </c>
      <c r="AD720" t="s">
        <v>74</v>
      </c>
      <c r="AE720" t="s">
        <v>74</v>
      </c>
      <c r="AF720" t="s">
        <v>74</v>
      </c>
      <c r="AG720">
        <v>36</v>
      </c>
      <c r="AH720">
        <v>6</v>
      </c>
      <c r="AI720">
        <v>6</v>
      </c>
      <c r="AJ720">
        <v>0</v>
      </c>
      <c r="AK720">
        <v>16</v>
      </c>
      <c r="AL720" t="s">
        <v>308</v>
      </c>
      <c r="AM720" t="s">
        <v>309</v>
      </c>
      <c r="AN720" t="s">
        <v>310</v>
      </c>
      <c r="AO720" t="s">
        <v>4357</v>
      </c>
      <c r="AP720" t="s">
        <v>4358</v>
      </c>
      <c r="AQ720" t="s">
        <v>74</v>
      </c>
      <c r="AR720" t="s">
        <v>4359</v>
      </c>
      <c r="AS720" t="s">
        <v>4360</v>
      </c>
      <c r="AT720" t="s">
        <v>12548</v>
      </c>
      <c r="AU720">
        <v>2011</v>
      </c>
      <c r="AV720">
        <v>109</v>
      </c>
      <c r="AW720">
        <v>1</v>
      </c>
      <c r="AX720" t="s">
        <v>74</v>
      </c>
      <c r="AY720" t="s">
        <v>74</v>
      </c>
      <c r="AZ720" t="s">
        <v>74</v>
      </c>
      <c r="BA720" t="s">
        <v>74</v>
      </c>
      <c r="BB720">
        <v>179</v>
      </c>
      <c r="BC720">
        <v>186</v>
      </c>
      <c r="BD720" t="s">
        <v>74</v>
      </c>
      <c r="BE720" t="s">
        <v>13119</v>
      </c>
      <c r="BF720" t="str">
        <f>HYPERLINK("http://dx.doi.org/10.1016/j.fishres.2011.02.003","http://dx.doi.org/10.1016/j.fishres.2011.02.003")</f>
        <v>http://dx.doi.org/10.1016/j.fishres.2011.02.003</v>
      </c>
      <c r="BG720" t="s">
        <v>74</v>
      </c>
      <c r="BH720" t="s">
        <v>74</v>
      </c>
      <c r="BI720">
        <v>8</v>
      </c>
      <c r="BJ720" t="s">
        <v>4362</v>
      </c>
      <c r="BK720" t="s">
        <v>100</v>
      </c>
      <c r="BL720" t="s">
        <v>4362</v>
      </c>
      <c r="BM720" t="s">
        <v>13120</v>
      </c>
      <c r="BN720" t="s">
        <v>74</v>
      </c>
      <c r="BO720" t="s">
        <v>1025</v>
      </c>
      <c r="BP720" t="s">
        <v>74</v>
      </c>
      <c r="BQ720" t="s">
        <v>74</v>
      </c>
      <c r="BR720" t="s">
        <v>103</v>
      </c>
      <c r="BS720" t="s">
        <v>13121</v>
      </c>
      <c r="BT720" t="str">
        <f>HYPERLINK("https%3A%2F%2Fwww.webofscience.com%2Fwos%2Fwoscc%2Ffull-record%2FWOS:000289400300021","View Full Record in Web of Science")</f>
        <v>View Full Record in Web of Science</v>
      </c>
    </row>
    <row r="721" spans="1:72" x14ac:dyDescent="0.15">
      <c r="A721" t="s">
        <v>72</v>
      </c>
      <c r="B721" t="s">
        <v>13122</v>
      </c>
      <c r="C721" t="s">
        <v>74</v>
      </c>
      <c r="D721" t="s">
        <v>74</v>
      </c>
      <c r="E721" t="s">
        <v>74</v>
      </c>
      <c r="F721" t="s">
        <v>13123</v>
      </c>
      <c r="G721" t="s">
        <v>74</v>
      </c>
      <c r="H721" t="s">
        <v>74</v>
      </c>
      <c r="I721" t="s">
        <v>13124</v>
      </c>
      <c r="J721" t="s">
        <v>5401</v>
      </c>
      <c r="K721" t="s">
        <v>74</v>
      </c>
      <c r="L721" t="s">
        <v>74</v>
      </c>
      <c r="M721" t="s">
        <v>78</v>
      </c>
      <c r="N721" t="s">
        <v>79</v>
      </c>
      <c r="O721" t="s">
        <v>74</v>
      </c>
      <c r="P721" t="s">
        <v>74</v>
      </c>
      <c r="Q721" t="s">
        <v>74</v>
      </c>
      <c r="R721" t="s">
        <v>74</v>
      </c>
      <c r="S721" t="s">
        <v>74</v>
      </c>
      <c r="T721" t="s">
        <v>13125</v>
      </c>
      <c r="U721" t="s">
        <v>13126</v>
      </c>
      <c r="V721" t="s">
        <v>13127</v>
      </c>
      <c r="W721" t="s">
        <v>13128</v>
      </c>
      <c r="X721" t="s">
        <v>2403</v>
      </c>
      <c r="Y721" t="s">
        <v>13129</v>
      </c>
      <c r="Z721" t="s">
        <v>2405</v>
      </c>
      <c r="AA721" t="s">
        <v>74</v>
      </c>
      <c r="AB721" t="s">
        <v>2406</v>
      </c>
      <c r="AC721" t="s">
        <v>13130</v>
      </c>
      <c r="AD721" t="s">
        <v>13130</v>
      </c>
      <c r="AE721" t="s">
        <v>13131</v>
      </c>
      <c r="AF721" t="s">
        <v>74</v>
      </c>
      <c r="AG721">
        <v>33</v>
      </c>
      <c r="AH721">
        <v>11</v>
      </c>
      <c r="AI721">
        <v>12</v>
      </c>
      <c r="AJ721">
        <v>1</v>
      </c>
      <c r="AK721">
        <v>25</v>
      </c>
      <c r="AL721" t="s">
        <v>1571</v>
      </c>
      <c r="AM721" t="s">
        <v>1572</v>
      </c>
      <c r="AN721" t="s">
        <v>1573</v>
      </c>
      <c r="AO721" t="s">
        <v>1878</v>
      </c>
      <c r="AP721" t="s">
        <v>1879</v>
      </c>
      <c r="AQ721" t="s">
        <v>74</v>
      </c>
      <c r="AR721" t="s">
        <v>1880</v>
      </c>
      <c r="AS721" t="s">
        <v>1881</v>
      </c>
      <c r="AT721" t="s">
        <v>12548</v>
      </c>
      <c r="AU721">
        <v>2011</v>
      </c>
      <c r="AV721">
        <v>181</v>
      </c>
      <c r="AW721">
        <v>3</v>
      </c>
      <c r="AX721" t="s">
        <v>74</v>
      </c>
      <c r="AY721" t="s">
        <v>74</v>
      </c>
      <c r="AZ721" t="s">
        <v>74</v>
      </c>
      <c r="BA721" t="s">
        <v>74</v>
      </c>
      <c r="BB721">
        <v>335</v>
      </c>
      <c r="BC721">
        <v>342</v>
      </c>
      <c r="BD721" t="s">
        <v>74</v>
      </c>
      <c r="BE721" t="s">
        <v>13132</v>
      </c>
      <c r="BF721" t="str">
        <f>HYPERLINK("http://dx.doi.org/10.1007/s00360-010-0541-3","http://dx.doi.org/10.1007/s00360-010-0541-3")</f>
        <v>http://dx.doi.org/10.1007/s00360-010-0541-3</v>
      </c>
      <c r="BG721" t="s">
        <v>74</v>
      </c>
      <c r="BH721" t="s">
        <v>74</v>
      </c>
      <c r="BI721">
        <v>8</v>
      </c>
      <c r="BJ721" t="s">
        <v>1883</v>
      </c>
      <c r="BK721" t="s">
        <v>100</v>
      </c>
      <c r="BL721" t="s">
        <v>1883</v>
      </c>
      <c r="BM721" t="s">
        <v>13133</v>
      </c>
      <c r="BN721">
        <v>21153645</v>
      </c>
      <c r="BO721" t="s">
        <v>74</v>
      </c>
      <c r="BP721" t="s">
        <v>74</v>
      </c>
      <c r="BQ721" t="s">
        <v>74</v>
      </c>
      <c r="BR721" t="s">
        <v>103</v>
      </c>
      <c r="BS721" t="s">
        <v>13134</v>
      </c>
      <c r="BT721" t="str">
        <f>HYPERLINK("https%3A%2F%2Fwww.webofscience.com%2Fwos%2Fwoscc%2Ffull-record%2FWOS:000289444800002","View Full Record in Web of Science")</f>
        <v>View Full Record in Web of Science</v>
      </c>
    </row>
    <row r="722" spans="1:72" x14ac:dyDescent="0.15">
      <c r="A722" t="s">
        <v>72</v>
      </c>
      <c r="B722" t="s">
        <v>13135</v>
      </c>
      <c r="C722" t="s">
        <v>74</v>
      </c>
      <c r="D722" t="s">
        <v>74</v>
      </c>
      <c r="E722" t="s">
        <v>74</v>
      </c>
      <c r="F722" t="s">
        <v>13136</v>
      </c>
      <c r="G722" t="s">
        <v>74</v>
      </c>
      <c r="H722" t="s">
        <v>74</v>
      </c>
      <c r="I722" t="s">
        <v>13137</v>
      </c>
      <c r="J722" t="s">
        <v>3023</v>
      </c>
      <c r="K722" t="s">
        <v>74</v>
      </c>
      <c r="L722" t="s">
        <v>74</v>
      </c>
      <c r="M722" t="s">
        <v>78</v>
      </c>
      <c r="N722" t="s">
        <v>79</v>
      </c>
      <c r="O722" t="s">
        <v>74</v>
      </c>
      <c r="P722" t="s">
        <v>74</v>
      </c>
      <c r="Q722" t="s">
        <v>74</v>
      </c>
      <c r="R722" t="s">
        <v>74</v>
      </c>
      <c r="S722" t="s">
        <v>74</v>
      </c>
      <c r="T722" t="s">
        <v>13138</v>
      </c>
      <c r="U722" t="s">
        <v>13139</v>
      </c>
      <c r="V722" t="s">
        <v>13140</v>
      </c>
      <c r="W722" t="s">
        <v>13141</v>
      </c>
      <c r="X722" t="s">
        <v>13142</v>
      </c>
      <c r="Y722" t="s">
        <v>13143</v>
      </c>
      <c r="Z722" t="s">
        <v>13144</v>
      </c>
      <c r="AA722" t="s">
        <v>13145</v>
      </c>
      <c r="AB722" t="s">
        <v>13146</v>
      </c>
      <c r="AC722" t="s">
        <v>13147</v>
      </c>
      <c r="AD722" t="s">
        <v>13148</v>
      </c>
      <c r="AE722" t="s">
        <v>13149</v>
      </c>
      <c r="AF722" t="s">
        <v>74</v>
      </c>
      <c r="AG722">
        <v>29</v>
      </c>
      <c r="AH722">
        <v>23</v>
      </c>
      <c r="AI722">
        <v>24</v>
      </c>
      <c r="AJ722">
        <v>4</v>
      </c>
      <c r="AK722">
        <v>61</v>
      </c>
      <c r="AL722" t="s">
        <v>308</v>
      </c>
      <c r="AM722" t="s">
        <v>309</v>
      </c>
      <c r="AN722" t="s">
        <v>310</v>
      </c>
      <c r="AO722" t="s">
        <v>3036</v>
      </c>
      <c r="AP722" t="s">
        <v>11788</v>
      </c>
      <c r="AQ722" t="s">
        <v>74</v>
      </c>
      <c r="AR722" t="s">
        <v>3037</v>
      </c>
      <c r="AS722" t="s">
        <v>3038</v>
      </c>
      <c r="AT722" t="s">
        <v>13150</v>
      </c>
      <c r="AU722">
        <v>2011</v>
      </c>
      <c r="AV722">
        <v>399</v>
      </c>
      <c r="AW722">
        <v>2</v>
      </c>
      <c r="AX722" t="s">
        <v>74</v>
      </c>
      <c r="AY722" t="s">
        <v>74</v>
      </c>
      <c r="AZ722" t="s">
        <v>74</v>
      </c>
      <c r="BA722" t="s">
        <v>74</v>
      </c>
      <c r="BB722">
        <v>156</v>
      </c>
      <c r="BC722">
        <v>161</v>
      </c>
      <c r="BD722" t="s">
        <v>74</v>
      </c>
      <c r="BE722" t="s">
        <v>13151</v>
      </c>
      <c r="BF722" t="str">
        <f>HYPERLINK("http://dx.doi.org/10.1016/j.jembe.2011.01.006","http://dx.doi.org/10.1016/j.jembe.2011.01.006")</f>
        <v>http://dx.doi.org/10.1016/j.jembe.2011.01.006</v>
      </c>
      <c r="BG722" t="s">
        <v>74</v>
      </c>
      <c r="BH722" t="s">
        <v>74</v>
      </c>
      <c r="BI722">
        <v>6</v>
      </c>
      <c r="BJ722" t="s">
        <v>3041</v>
      </c>
      <c r="BK722" t="s">
        <v>100</v>
      </c>
      <c r="BL722" t="s">
        <v>3042</v>
      </c>
      <c r="BM722" t="s">
        <v>13152</v>
      </c>
      <c r="BN722" t="s">
        <v>74</v>
      </c>
      <c r="BO722" t="s">
        <v>74</v>
      </c>
      <c r="BP722" t="s">
        <v>74</v>
      </c>
      <c r="BQ722" t="s">
        <v>74</v>
      </c>
      <c r="BR722" t="s">
        <v>103</v>
      </c>
      <c r="BS722" t="s">
        <v>13153</v>
      </c>
      <c r="BT722" t="str">
        <f>HYPERLINK("https%3A%2F%2Fwww.webofscience.com%2Fwos%2Fwoscc%2Ffull-record%2FWOS:000289388500008","View Full Record in Web of Science")</f>
        <v>View Full Record in Web of Science</v>
      </c>
    </row>
    <row r="723" spans="1:72" x14ac:dyDescent="0.15">
      <c r="A723" t="s">
        <v>72</v>
      </c>
      <c r="B723" t="s">
        <v>13154</v>
      </c>
      <c r="C723" t="s">
        <v>74</v>
      </c>
      <c r="D723" t="s">
        <v>74</v>
      </c>
      <c r="E723" t="s">
        <v>74</v>
      </c>
      <c r="F723" t="s">
        <v>13155</v>
      </c>
      <c r="G723" t="s">
        <v>74</v>
      </c>
      <c r="H723" t="s">
        <v>74</v>
      </c>
      <c r="I723" t="s">
        <v>13156</v>
      </c>
      <c r="J723" t="s">
        <v>13157</v>
      </c>
      <c r="K723" t="s">
        <v>74</v>
      </c>
      <c r="L723" t="s">
        <v>74</v>
      </c>
      <c r="M723" t="s">
        <v>78</v>
      </c>
      <c r="N723" t="s">
        <v>79</v>
      </c>
      <c r="O723" t="s">
        <v>74</v>
      </c>
      <c r="P723" t="s">
        <v>74</v>
      </c>
      <c r="Q723" t="s">
        <v>74</v>
      </c>
      <c r="R723" t="s">
        <v>74</v>
      </c>
      <c r="S723" t="s">
        <v>74</v>
      </c>
      <c r="T723" t="s">
        <v>74</v>
      </c>
      <c r="U723" t="s">
        <v>13158</v>
      </c>
      <c r="V723" t="s">
        <v>13159</v>
      </c>
      <c r="W723" t="s">
        <v>13160</v>
      </c>
      <c r="X723" t="s">
        <v>13161</v>
      </c>
      <c r="Y723" t="s">
        <v>13162</v>
      </c>
      <c r="Z723" t="s">
        <v>13163</v>
      </c>
      <c r="AA723" t="s">
        <v>13164</v>
      </c>
      <c r="AB723" t="s">
        <v>13165</v>
      </c>
      <c r="AC723" t="s">
        <v>7488</v>
      </c>
      <c r="AD723" t="s">
        <v>7489</v>
      </c>
      <c r="AE723" t="s">
        <v>13166</v>
      </c>
      <c r="AF723" t="s">
        <v>74</v>
      </c>
      <c r="AG723">
        <v>34</v>
      </c>
      <c r="AH723">
        <v>52</v>
      </c>
      <c r="AI723">
        <v>54</v>
      </c>
      <c r="AJ723">
        <v>1</v>
      </c>
      <c r="AK723">
        <v>15</v>
      </c>
      <c r="AL723" t="s">
        <v>1275</v>
      </c>
      <c r="AM723" t="s">
        <v>1276</v>
      </c>
      <c r="AN723" t="s">
        <v>1277</v>
      </c>
      <c r="AO723" t="s">
        <v>13167</v>
      </c>
      <c r="AP723" t="s">
        <v>13168</v>
      </c>
      <c r="AQ723" t="s">
        <v>74</v>
      </c>
      <c r="AR723" t="s">
        <v>13169</v>
      </c>
      <c r="AS723" t="s">
        <v>13170</v>
      </c>
      <c r="AT723" t="s">
        <v>12548</v>
      </c>
      <c r="AU723">
        <v>2011</v>
      </c>
      <c r="AV723">
        <v>68</v>
      </c>
      <c r="AW723">
        <v>4</v>
      </c>
      <c r="AX723" t="s">
        <v>74</v>
      </c>
      <c r="AY723" t="s">
        <v>74</v>
      </c>
      <c r="AZ723" t="s">
        <v>74</v>
      </c>
      <c r="BA723" t="s">
        <v>74</v>
      </c>
      <c r="BB723">
        <v>812</v>
      </c>
      <c r="BC723">
        <v>822</v>
      </c>
      <c r="BD723" t="s">
        <v>74</v>
      </c>
      <c r="BE723" t="s">
        <v>13171</v>
      </c>
      <c r="BF723" t="str">
        <f>HYPERLINK("http://dx.doi.org/10.1175/2011JAS3606.1","http://dx.doi.org/10.1175/2011JAS3606.1")</f>
        <v>http://dx.doi.org/10.1175/2011JAS3606.1</v>
      </c>
      <c r="BG723" t="s">
        <v>74</v>
      </c>
      <c r="BH723" t="s">
        <v>74</v>
      </c>
      <c r="BI723">
        <v>11</v>
      </c>
      <c r="BJ723" t="s">
        <v>248</v>
      </c>
      <c r="BK723" t="s">
        <v>100</v>
      </c>
      <c r="BL723" t="s">
        <v>248</v>
      </c>
      <c r="BM723" t="s">
        <v>13172</v>
      </c>
      <c r="BN723" t="s">
        <v>74</v>
      </c>
      <c r="BO723" t="s">
        <v>1025</v>
      </c>
      <c r="BP723" t="s">
        <v>74</v>
      </c>
      <c r="BQ723" t="s">
        <v>74</v>
      </c>
      <c r="BR723" t="s">
        <v>103</v>
      </c>
      <c r="BS723" t="s">
        <v>13173</v>
      </c>
      <c r="BT723" t="str">
        <f>HYPERLINK("https%3A%2F%2Fwww.webofscience.com%2Fwos%2Fwoscc%2Ffull-record%2FWOS:000289491800010","View Full Record in Web of Science")</f>
        <v>View Full Record in Web of Science</v>
      </c>
    </row>
    <row r="724" spans="1:72" x14ac:dyDescent="0.15">
      <c r="A724" t="s">
        <v>72</v>
      </c>
      <c r="B724" t="s">
        <v>13174</v>
      </c>
      <c r="C724" t="s">
        <v>74</v>
      </c>
      <c r="D724" t="s">
        <v>74</v>
      </c>
      <c r="E724" t="s">
        <v>74</v>
      </c>
      <c r="F724" t="s">
        <v>13175</v>
      </c>
      <c r="G724" t="s">
        <v>74</v>
      </c>
      <c r="H724" t="s">
        <v>74</v>
      </c>
      <c r="I724" t="s">
        <v>13176</v>
      </c>
      <c r="J724" t="s">
        <v>5755</v>
      </c>
      <c r="K724" t="s">
        <v>74</v>
      </c>
      <c r="L724" t="s">
        <v>74</v>
      </c>
      <c r="M724" t="s">
        <v>78</v>
      </c>
      <c r="N724" t="s">
        <v>79</v>
      </c>
      <c r="O724" t="s">
        <v>74</v>
      </c>
      <c r="P724" t="s">
        <v>74</v>
      </c>
      <c r="Q724" t="s">
        <v>74</v>
      </c>
      <c r="R724" t="s">
        <v>74</v>
      </c>
      <c r="S724" t="s">
        <v>74</v>
      </c>
      <c r="T724" t="s">
        <v>13177</v>
      </c>
      <c r="U724" t="s">
        <v>13178</v>
      </c>
      <c r="V724" t="s">
        <v>13179</v>
      </c>
      <c r="W724" t="s">
        <v>13180</v>
      </c>
      <c r="X724" t="s">
        <v>13181</v>
      </c>
      <c r="Y724" t="s">
        <v>13182</v>
      </c>
      <c r="Z724" t="s">
        <v>13183</v>
      </c>
      <c r="AA724" t="s">
        <v>13184</v>
      </c>
      <c r="AB724" t="s">
        <v>13185</v>
      </c>
      <c r="AC724" t="s">
        <v>13186</v>
      </c>
      <c r="AD724" t="s">
        <v>13187</v>
      </c>
      <c r="AE724" t="s">
        <v>13188</v>
      </c>
      <c r="AF724" t="s">
        <v>74</v>
      </c>
      <c r="AG724">
        <v>68</v>
      </c>
      <c r="AH724">
        <v>31</v>
      </c>
      <c r="AI724">
        <v>32</v>
      </c>
      <c r="AJ724">
        <v>0</v>
      </c>
      <c r="AK724">
        <v>45</v>
      </c>
      <c r="AL724" t="s">
        <v>1323</v>
      </c>
      <c r="AM724" t="s">
        <v>1324</v>
      </c>
      <c r="AN724" t="s">
        <v>1325</v>
      </c>
      <c r="AO724" t="s">
        <v>5766</v>
      </c>
      <c r="AP724" t="s">
        <v>5787</v>
      </c>
      <c r="AQ724" t="s">
        <v>74</v>
      </c>
      <c r="AR724" t="s">
        <v>5767</v>
      </c>
      <c r="AS724" t="s">
        <v>5768</v>
      </c>
      <c r="AT724" t="s">
        <v>12548</v>
      </c>
      <c r="AU724">
        <v>2011</v>
      </c>
      <c r="AV724">
        <v>27</v>
      </c>
      <c r="AW724">
        <v>2</v>
      </c>
      <c r="AX724" t="s">
        <v>74</v>
      </c>
      <c r="AY724" t="s">
        <v>74</v>
      </c>
      <c r="AZ724" t="s">
        <v>74</v>
      </c>
      <c r="BA724" t="s">
        <v>74</v>
      </c>
      <c r="BB724">
        <v>350</v>
      </c>
      <c r="BC724">
        <v>365</v>
      </c>
      <c r="BD724" t="s">
        <v>74</v>
      </c>
      <c r="BE724" t="s">
        <v>13189</v>
      </c>
      <c r="BF724" t="str">
        <f>HYPERLINK("http://dx.doi.org/10.1111/j.1748-7692.2010.00404.x","http://dx.doi.org/10.1111/j.1748-7692.2010.00404.x")</f>
        <v>http://dx.doi.org/10.1111/j.1748-7692.2010.00404.x</v>
      </c>
      <c r="BG724" t="s">
        <v>74</v>
      </c>
      <c r="BH724" t="s">
        <v>74</v>
      </c>
      <c r="BI724">
        <v>16</v>
      </c>
      <c r="BJ724" t="s">
        <v>5770</v>
      </c>
      <c r="BK724" t="s">
        <v>100</v>
      </c>
      <c r="BL724" t="s">
        <v>5770</v>
      </c>
      <c r="BM724" t="s">
        <v>13190</v>
      </c>
      <c r="BN724" t="s">
        <v>74</v>
      </c>
      <c r="BO724" t="s">
        <v>74</v>
      </c>
      <c r="BP724" t="s">
        <v>74</v>
      </c>
      <c r="BQ724" t="s">
        <v>74</v>
      </c>
      <c r="BR724" t="s">
        <v>103</v>
      </c>
      <c r="BS724" t="s">
        <v>13191</v>
      </c>
      <c r="BT724" t="str">
        <f>HYPERLINK("https%3A%2F%2Fwww.webofscience.com%2Fwos%2Fwoscc%2Ffull-record%2FWOS:000289465900014","View Full Record in Web of Science")</f>
        <v>View Full Record in Web of Science</v>
      </c>
    </row>
    <row r="725" spans="1:72" x14ac:dyDescent="0.15">
      <c r="A725" t="s">
        <v>72</v>
      </c>
      <c r="B725" t="s">
        <v>13192</v>
      </c>
      <c r="C725" t="s">
        <v>74</v>
      </c>
      <c r="D725" t="s">
        <v>74</v>
      </c>
      <c r="E725" t="s">
        <v>74</v>
      </c>
      <c r="F725" t="s">
        <v>13193</v>
      </c>
      <c r="G725" t="s">
        <v>74</v>
      </c>
      <c r="H725" t="s">
        <v>74</v>
      </c>
      <c r="I725" t="s">
        <v>13194</v>
      </c>
      <c r="J725" t="s">
        <v>13195</v>
      </c>
      <c r="K725" t="s">
        <v>74</v>
      </c>
      <c r="L725" t="s">
        <v>74</v>
      </c>
      <c r="M725" t="s">
        <v>78</v>
      </c>
      <c r="N725" t="s">
        <v>79</v>
      </c>
      <c r="O725" t="s">
        <v>74</v>
      </c>
      <c r="P725" t="s">
        <v>74</v>
      </c>
      <c r="Q725" t="s">
        <v>74</v>
      </c>
      <c r="R725" t="s">
        <v>74</v>
      </c>
      <c r="S725" t="s">
        <v>74</v>
      </c>
      <c r="T725" t="s">
        <v>74</v>
      </c>
      <c r="U725" t="s">
        <v>13196</v>
      </c>
      <c r="V725" t="s">
        <v>13197</v>
      </c>
      <c r="W725" t="s">
        <v>13198</v>
      </c>
      <c r="X725" t="s">
        <v>13199</v>
      </c>
      <c r="Y725" t="s">
        <v>13200</v>
      </c>
      <c r="Z725" t="s">
        <v>13201</v>
      </c>
      <c r="AA725" t="s">
        <v>13202</v>
      </c>
      <c r="AB725" t="s">
        <v>74</v>
      </c>
      <c r="AC725" t="s">
        <v>13203</v>
      </c>
      <c r="AD725" t="s">
        <v>13204</v>
      </c>
      <c r="AE725" t="s">
        <v>13205</v>
      </c>
      <c r="AF725" t="s">
        <v>74</v>
      </c>
      <c r="AG725">
        <v>41</v>
      </c>
      <c r="AH725">
        <v>33</v>
      </c>
      <c r="AI725">
        <v>39</v>
      </c>
      <c r="AJ725">
        <v>0</v>
      </c>
      <c r="AK725">
        <v>18</v>
      </c>
      <c r="AL725" t="s">
        <v>1275</v>
      </c>
      <c r="AM725" t="s">
        <v>1276</v>
      </c>
      <c r="AN725" t="s">
        <v>1277</v>
      </c>
      <c r="AO725" t="s">
        <v>13206</v>
      </c>
      <c r="AP725" t="s">
        <v>13207</v>
      </c>
      <c r="AQ725" t="s">
        <v>74</v>
      </c>
      <c r="AR725" t="s">
        <v>13208</v>
      </c>
      <c r="AS725" t="s">
        <v>13209</v>
      </c>
      <c r="AT725" t="s">
        <v>12548</v>
      </c>
      <c r="AU725">
        <v>2011</v>
      </c>
      <c r="AV725">
        <v>139</v>
      </c>
      <c r="AW725">
        <v>4</v>
      </c>
      <c r="AX725" t="s">
        <v>74</v>
      </c>
      <c r="AY725" t="s">
        <v>74</v>
      </c>
      <c r="AZ725" t="s">
        <v>74</v>
      </c>
      <c r="BA725" t="s">
        <v>74</v>
      </c>
      <c r="BB725">
        <v>1279</v>
      </c>
      <c r="BC725">
        <v>1291</v>
      </c>
      <c r="BD725" t="s">
        <v>74</v>
      </c>
      <c r="BE725" t="s">
        <v>13210</v>
      </c>
      <c r="BF725" t="str">
        <f>HYPERLINK("http://dx.doi.org/10.1175/2010MWR3478.1","http://dx.doi.org/10.1175/2010MWR3478.1")</f>
        <v>http://dx.doi.org/10.1175/2010MWR3478.1</v>
      </c>
      <c r="BG725" t="s">
        <v>74</v>
      </c>
      <c r="BH725" t="s">
        <v>74</v>
      </c>
      <c r="BI725">
        <v>13</v>
      </c>
      <c r="BJ725" t="s">
        <v>248</v>
      </c>
      <c r="BK725" t="s">
        <v>100</v>
      </c>
      <c r="BL725" t="s">
        <v>248</v>
      </c>
      <c r="BM725" t="s">
        <v>13211</v>
      </c>
      <c r="BN725" t="s">
        <v>74</v>
      </c>
      <c r="BO725" t="s">
        <v>1284</v>
      </c>
      <c r="BP725" t="s">
        <v>74</v>
      </c>
      <c r="BQ725" t="s">
        <v>74</v>
      </c>
      <c r="BR725" t="s">
        <v>103</v>
      </c>
      <c r="BS725" t="s">
        <v>13212</v>
      </c>
      <c r="BT725" t="str">
        <f>HYPERLINK("https%3A%2F%2Fwww.webofscience.com%2Fwos%2Fwoscc%2Ffull-record%2FWOS:000289597200014","View Full Record in Web of Science")</f>
        <v>View Full Record in Web of Science</v>
      </c>
    </row>
    <row r="726" spans="1:72" x14ac:dyDescent="0.15">
      <c r="A726" t="s">
        <v>72</v>
      </c>
      <c r="B726" t="s">
        <v>13213</v>
      </c>
      <c r="C726" t="s">
        <v>74</v>
      </c>
      <c r="D726" t="s">
        <v>74</v>
      </c>
      <c r="E726" t="s">
        <v>74</v>
      </c>
      <c r="F726" t="s">
        <v>13214</v>
      </c>
      <c r="G726" t="s">
        <v>74</v>
      </c>
      <c r="H726" t="s">
        <v>74</v>
      </c>
      <c r="I726" t="s">
        <v>13215</v>
      </c>
      <c r="J726" t="s">
        <v>5863</v>
      </c>
      <c r="K726" t="s">
        <v>74</v>
      </c>
      <c r="L726" t="s">
        <v>74</v>
      </c>
      <c r="M726" t="s">
        <v>78</v>
      </c>
      <c r="N726" t="s">
        <v>79</v>
      </c>
      <c r="O726" t="s">
        <v>74</v>
      </c>
      <c r="P726" t="s">
        <v>74</v>
      </c>
      <c r="Q726" t="s">
        <v>74</v>
      </c>
      <c r="R726" t="s">
        <v>74</v>
      </c>
      <c r="S726" t="s">
        <v>74</v>
      </c>
      <c r="T726" t="s">
        <v>13216</v>
      </c>
      <c r="U726" t="s">
        <v>13217</v>
      </c>
      <c r="V726" t="s">
        <v>13218</v>
      </c>
      <c r="W726" t="s">
        <v>13219</v>
      </c>
      <c r="X726" t="s">
        <v>13220</v>
      </c>
      <c r="Y726" t="s">
        <v>13221</v>
      </c>
      <c r="Z726" t="s">
        <v>13222</v>
      </c>
      <c r="AA726" t="s">
        <v>13223</v>
      </c>
      <c r="AB726" t="s">
        <v>13224</v>
      </c>
      <c r="AC726" t="s">
        <v>13225</v>
      </c>
      <c r="AD726" t="s">
        <v>13226</v>
      </c>
      <c r="AE726" t="s">
        <v>13227</v>
      </c>
      <c r="AF726" t="s">
        <v>74</v>
      </c>
      <c r="AG726">
        <v>45</v>
      </c>
      <c r="AH726">
        <v>35</v>
      </c>
      <c r="AI726">
        <v>41</v>
      </c>
      <c r="AJ726">
        <v>2</v>
      </c>
      <c r="AK726">
        <v>32</v>
      </c>
      <c r="AL726" t="s">
        <v>1571</v>
      </c>
      <c r="AM726" t="s">
        <v>1572</v>
      </c>
      <c r="AN726" t="s">
        <v>1573</v>
      </c>
      <c r="AO726" t="s">
        <v>5875</v>
      </c>
      <c r="AP726" t="s">
        <v>5876</v>
      </c>
      <c r="AQ726" t="s">
        <v>74</v>
      </c>
      <c r="AR726" t="s">
        <v>5877</v>
      </c>
      <c r="AS726" t="s">
        <v>5878</v>
      </c>
      <c r="AT726" t="s">
        <v>12548</v>
      </c>
      <c r="AU726">
        <v>2011</v>
      </c>
      <c r="AV726">
        <v>61</v>
      </c>
      <c r="AW726">
        <v>4</v>
      </c>
      <c r="AX726" t="s">
        <v>74</v>
      </c>
      <c r="AY726" t="s">
        <v>74</v>
      </c>
      <c r="AZ726" t="s">
        <v>74</v>
      </c>
      <c r="BA726" t="s">
        <v>74</v>
      </c>
      <c r="BB726">
        <v>525</v>
      </c>
      <c r="BC726">
        <v>541</v>
      </c>
      <c r="BD726" t="s">
        <v>74</v>
      </c>
      <c r="BE726" t="s">
        <v>13228</v>
      </c>
      <c r="BF726" t="str">
        <f>HYPERLINK("http://dx.doi.org/10.1007/s10236-011-0377-8","http://dx.doi.org/10.1007/s10236-011-0377-8")</f>
        <v>http://dx.doi.org/10.1007/s10236-011-0377-8</v>
      </c>
      <c r="BG726" t="s">
        <v>74</v>
      </c>
      <c r="BH726" t="s">
        <v>74</v>
      </c>
      <c r="BI726">
        <v>17</v>
      </c>
      <c r="BJ726" t="s">
        <v>271</v>
      </c>
      <c r="BK726" t="s">
        <v>100</v>
      </c>
      <c r="BL726" t="s">
        <v>271</v>
      </c>
      <c r="BM726" t="s">
        <v>13229</v>
      </c>
      <c r="BN726" t="s">
        <v>74</v>
      </c>
      <c r="BO726" t="s">
        <v>1025</v>
      </c>
      <c r="BP726" t="s">
        <v>74</v>
      </c>
      <c r="BQ726" t="s">
        <v>74</v>
      </c>
      <c r="BR726" t="s">
        <v>103</v>
      </c>
      <c r="BS726" t="s">
        <v>13230</v>
      </c>
      <c r="BT726" t="str">
        <f>HYPERLINK("https%3A%2F%2Fwww.webofscience.com%2Fwos%2Fwoscc%2Ffull-record%2FWOS:000289528400009","View Full Record in Web of Science")</f>
        <v>View Full Record in Web of Science</v>
      </c>
    </row>
    <row r="727" spans="1:72" x14ac:dyDescent="0.15">
      <c r="A727" t="s">
        <v>72</v>
      </c>
      <c r="B727" t="s">
        <v>13231</v>
      </c>
      <c r="C727" t="s">
        <v>74</v>
      </c>
      <c r="D727" t="s">
        <v>74</v>
      </c>
      <c r="E727" t="s">
        <v>74</v>
      </c>
      <c r="F727" t="s">
        <v>13232</v>
      </c>
      <c r="G727" t="s">
        <v>74</v>
      </c>
      <c r="H727" t="s">
        <v>74</v>
      </c>
      <c r="I727" t="s">
        <v>13233</v>
      </c>
      <c r="J727" t="s">
        <v>13234</v>
      </c>
      <c r="K727" t="s">
        <v>74</v>
      </c>
      <c r="L727" t="s">
        <v>74</v>
      </c>
      <c r="M727" t="s">
        <v>78</v>
      </c>
      <c r="N727" t="s">
        <v>79</v>
      </c>
      <c r="O727" t="s">
        <v>74</v>
      </c>
      <c r="P727" t="s">
        <v>74</v>
      </c>
      <c r="Q727" t="s">
        <v>74</v>
      </c>
      <c r="R727" t="s">
        <v>74</v>
      </c>
      <c r="S727" t="s">
        <v>74</v>
      </c>
      <c r="T727" t="s">
        <v>13235</v>
      </c>
      <c r="U727" t="s">
        <v>13236</v>
      </c>
      <c r="V727" t="s">
        <v>13237</v>
      </c>
      <c r="W727" t="s">
        <v>13238</v>
      </c>
      <c r="X727" t="s">
        <v>13239</v>
      </c>
      <c r="Y727" t="s">
        <v>13240</v>
      </c>
      <c r="Z727" t="s">
        <v>13241</v>
      </c>
      <c r="AA727" t="s">
        <v>13242</v>
      </c>
      <c r="AB727" t="s">
        <v>74</v>
      </c>
      <c r="AC727" t="s">
        <v>13243</v>
      </c>
      <c r="AD727" t="s">
        <v>13244</v>
      </c>
      <c r="AE727" t="s">
        <v>13245</v>
      </c>
      <c r="AF727" t="s">
        <v>74</v>
      </c>
      <c r="AG727">
        <v>84</v>
      </c>
      <c r="AH727">
        <v>18</v>
      </c>
      <c r="AI727">
        <v>20</v>
      </c>
      <c r="AJ727">
        <v>3</v>
      </c>
      <c r="AK727">
        <v>78</v>
      </c>
      <c r="AL727" t="s">
        <v>1323</v>
      </c>
      <c r="AM727" t="s">
        <v>1324</v>
      </c>
      <c r="AN727" t="s">
        <v>1325</v>
      </c>
      <c r="AO727" t="s">
        <v>13246</v>
      </c>
      <c r="AP727" t="s">
        <v>13247</v>
      </c>
      <c r="AQ727" t="s">
        <v>74</v>
      </c>
      <c r="AR727" t="s">
        <v>13234</v>
      </c>
      <c r="AS727" t="s">
        <v>13248</v>
      </c>
      <c r="AT727" t="s">
        <v>12548</v>
      </c>
      <c r="AU727">
        <v>2011</v>
      </c>
      <c r="AV727">
        <v>60</v>
      </c>
      <c r="AW727">
        <v>2</v>
      </c>
      <c r="AX727" t="s">
        <v>74</v>
      </c>
      <c r="AY727" t="s">
        <v>74</v>
      </c>
      <c r="AZ727" t="s">
        <v>74</v>
      </c>
      <c r="BA727" t="s">
        <v>74</v>
      </c>
      <c r="BB727">
        <v>415</v>
      </c>
      <c r="BC727">
        <v>426</v>
      </c>
      <c r="BD727" t="s">
        <v>74</v>
      </c>
      <c r="BE727" t="s">
        <v>13249</v>
      </c>
      <c r="BF727" t="str">
        <f>HYPERLINK("http://dx.doi.org/10.1002/tax.602011","http://dx.doi.org/10.1002/tax.602011")</f>
        <v>http://dx.doi.org/10.1002/tax.602011</v>
      </c>
      <c r="BG727" t="s">
        <v>74</v>
      </c>
      <c r="BH727" t="s">
        <v>74</v>
      </c>
      <c r="BI727">
        <v>12</v>
      </c>
      <c r="BJ727" t="s">
        <v>13250</v>
      </c>
      <c r="BK727" t="s">
        <v>100</v>
      </c>
      <c r="BL727" t="s">
        <v>13250</v>
      </c>
      <c r="BM727" t="s">
        <v>13251</v>
      </c>
      <c r="BN727" t="s">
        <v>74</v>
      </c>
      <c r="BO727" t="s">
        <v>74</v>
      </c>
      <c r="BP727" t="s">
        <v>74</v>
      </c>
      <c r="BQ727" t="s">
        <v>74</v>
      </c>
      <c r="BR727" t="s">
        <v>103</v>
      </c>
      <c r="BS727" t="s">
        <v>13252</v>
      </c>
      <c r="BT727" t="str">
        <f>HYPERLINK("https%3A%2F%2Fwww.webofscience.com%2Fwos%2Fwoscc%2Ffull-record%2FWOS:000289587100011","View Full Record in Web of Science")</f>
        <v>View Full Record in Web of Science</v>
      </c>
    </row>
    <row r="728" spans="1:72" x14ac:dyDescent="0.15">
      <c r="A728" t="s">
        <v>72</v>
      </c>
      <c r="B728" t="s">
        <v>13253</v>
      </c>
      <c r="C728" t="s">
        <v>74</v>
      </c>
      <c r="D728" t="s">
        <v>74</v>
      </c>
      <c r="E728" t="s">
        <v>74</v>
      </c>
      <c r="F728" t="s">
        <v>13254</v>
      </c>
      <c r="G728" t="s">
        <v>74</v>
      </c>
      <c r="H728" t="s">
        <v>74</v>
      </c>
      <c r="I728" t="s">
        <v>13255</v>
      </c>
      <c r="J728" t="s">
        <v>1701</v>
      </c>
      <c r="K728" t="s">
        <v>74</v>
      </c>
      <c r="L728" t="s">
        <v>74</v>
      </c>
      <c r="M728" t="s">
        <v>78</v>
      </c>
      <c r="N728" t="s">
        <v>79</v>
      </c>
      <c r="O728" t="s">
        <v>74</v>
      </c>
      <c r="P728" t="s">
        <v>74</v>
      </c>
      <c r="Q728" t="s">
        <v>74</v>
      </c>
      <c r="R728" t="s">
        <v>74</v>
      </c>
      <c r="S728" t="s">
        <v>74</v>
      </c>
      <c r="T728" t="s">
        <v>74</v>
      </c>
      <c r="U728" t="s">
        <v>13256</v>
      </c>
      <c r="V728" t="s">
        <v>13257</v>
      </c>
      <c r="W728" t="s">
        <v>13258</v>
      </c>
      <c r="X728" t="s">
        <v>13259</v>
      </c>
      <c r="Y728" t="s">
        <v>13260</v>
      </c>
      <c r="Z728" t="s">
        <v>74</v>
      </c>
      <c r="AA728" t="s">
        <v>74</v>
      </c>
      <c r="AB728" t="s">
        <v>74</v>
      </c>
      <c r="AC728" t="s">
        <v>74</v>
      </c>
      <c r="AD728" t="s">
        <v>74</v>
      </c>
      <c r="AE728" t="s">
        <v>74</v>
      </c>
      <c r="AF728" t="s">
        <v>74</v>
      </c>
      <c r="AG728">
        <v>68</v>
      </c>
      <c r="AH728">
        <v>10</v>
      </c>
      <c r="AI728">
        <v>14</v>
      </c>
      <c r="AJ728">
        <v>0</v>
      </c>
      <c r="AK728">
        <v>9</v>
      </c>
      <c r="AL728" t="s">
        <v>1712</v>
      </c>
      <c r="AM728" t="s">
        <v>1036</v>
      </c>
      <c r="AN728" t="s">
        <v>1713</v>
      </c>
      <c r="AO728" t="s">
        <v>1714</v>
      </c>
      <c r="AP728" t="s">
        <v>74</v>
      </c>
      <c r="AQ728" t="s">
        <v>74</v>
      </c>
      <c r="AR728" t="s">
        <v>1701</v>
      </c>
      <c r="AS728" t="s">
        <v>1715</v>
      </c>
      <c r="AT728" t="s">
        <v>12548</v>
      </c>
      <c r="AU728">
        <v>2011</v>
      </c>
      <c r="AV728">
        <v>7</v>
      </c>
      <c r="AW728">
        <v>2</v>
      </c>
      <c r="AX728" t="s">
        <v>74</v>
      </c>
      <c r="AY728" t="s">
        <v>74</v>
      </c>
      <c r="AZ728" t="s">
        <v>74</v>
      </c>
      <c r="BA728" t="s">
        <v>74</v>
      </c>
      <c r="BB728">
        <v>305</v>
      </c>
      <c r="BC728">
        <v>312</v>
      </c>
      <c r="BD728" t="s">
        <v>74</v>
      </c>
      <c r="BE728" t="s">
        <v>13261</v>
      </c>
      <c r="BF728" t="str">
        <f>HYPERLINK("http://dx.doi.org/10.1130/GES00621.1","http://dx.doi.org/10.1130/GES00621.1")</f>
        <v>http://dx.doi.org/10.1130/GES00621.1</v>
      </c>
      <c r="BG728" t="s">
        <v>74</v>
      </c>
      <c r="BH728" t="s">
        <v>74</v>
      </c>
      <c r="BI728">
        <v>8</v>
      </c>
      <c r="BJ728" t="s">
        <v>130</v>
      </c>
      <c r="BK728" t="s">
        <v>100</v>
      </c>
      <c r="BL728" t="s">
        <v>131</v>
      </c>
      <c r="BM728" t="s">
        <v>13262</v>
      </c>
      <c r="BN728" t="s">
        <v>74</v>
      </c>
      <c r="BO728" t="s">
        <v>152</v>
      </c>
      <c r="BP728" t="s">
        <v>74</v>
      </c>
      <c r="BQ728" t="s">
        <v>74</v>
      </c>
      <c r="BR728" t="s">
        <v>103</v>
      </c>
      <c r="BS728" t="s">
        <v>13263</v>
      </c>
      <c r="BT728" t="str">
        <f>HYPERLINK("https%3A%2F%2Fwww.webofscience.com%2Fwos%2Fwoscc%2Ffull-record%2FWOS:000288993400003","View Full Record in Web of Science")</f>
        <v>View Full Record in Web of Science</v>
      </c>
    </row>
    <row r="729" spans="1:72" x14ac:dyDescent="0.15">
      <c r="A729" t="s">
        <v>72</v>
      </c>
      <c r="B729" t="s">
        <v>13264</v>
      </c>
      <c r="C729" t="s">
        <v>74</v>
      </c>
      <c r="D729" t="s">
        <v>74</v>
      </c>
      <c r="E729" t="s">
        <v>74</v>
      </c>
      <c r="F729" t="s">
        <v>13265</v>
      </c>
      <c r="G729" t="s">
        <v>74</v>
      </c>
      <c r="H729" t="s">
        <v>74</v>
      </c>
      <c r="I729" t="s">
        <v>13266</v>
      </c>
      <c r="J729" t="s">
        <v>13267</v>
      </c>
      <c r="K729" t="s">
        <v>74</v>
      </c>
      <c r="L729" t="s">
        <v>74</v>
      </c>
      <c r="M729" t="s">
        <v>78</v>
      </c>
      <c r="N729" t="s">
        <v>79</v>
      </c>
      <c r="O729" t="s">
        <v>74</v>
      </c>
      <c r="P729" t="s">
        <v>74</v>
      </c>
      <c r="Q729" t="s">
        <v>74</v>
      </c>
      <c r="R729" t="s">
        <v>74</v>
      </c>
      <c r="S729" t="s">
        <v>74</v>
      </c>
      <c r="T729" t="s">
        <v>13268</v>
      </c>
      <c r="U729" t="s">
        <v>13269</v>
      </c>
      <c r="V729" t="s">
        <v>13270</v>
      </c>
      <c r="W729" t="s">
        <v>13271</v>
      </c>
      <c r="X729" t="s">
        <v>13272</v>
      </c>
      <c r="Y729" t="s">
        <v>13273</v>
      </c>
      <c r="Z729" t="s">
        <v>13274</v>
      </c>
      <c r="AA729" t="s">
        <v>74</v>
      </c>
      <c r="AB729" t="s">
        <v>74</v>
      </c>
      <c r="AC729" t="s">
        <v>74</v>
      </c>
      <c r="AD729" t="s">
        <v>74</v>
      </c>
      <c r="AE729" t="s">
        <v>74</v>
      </c>
      <c r="AF729" t="s">
        <v>74</v>
      </c>
      <c r="AG729">
        <v>125</v>
      </c>
      <c r="AH729">
        <v>140</v>
      </c>
      <c r="AI729">
        <v>140</v>
      </c>
      <c r="AJ729">
        <v>0</v>
      </c>
      <c r="AK729">
        <v>8</v>
      </c>
      <c r="AL729" t="s">
        <v>2669</v>
      </c>
      <c r="AM729" t="s">
        <v>309</v>
      </c>
      <c r="AN729" t="s">
        <v>2670</v>
      </c>
      <c r="AO729" t="s">
        <v>13275</v>
      </c>
      <c r="AP729" t="s">
        <v>74</v>
      </c>
      <c r="AQ729" t="s">
        <v>74</v>
      </c>
      <c r="AR729" t="s">
        <v>13276</v>
      </c>
      <c r="AS729" t="s">
        <v>13277</v>
      </c>
      <c r="AT729" t="s">
        <v>12548</v>
      </c>
      <c r="AU729">
        <v>2011</v>
      </c>
      <c r="AV729">
        <v>19</v>
      </c>
      <c r="AW729">
        <v>3</v>
      </c>
      <c r="AX729" t="s">
        <v>74</v>
      </c>
      <c r="AY729" t="s">
        <v>74</v>
      </c>
      <c r="AZ729" t="s">
        <v>864</v>
      </c>
      <c r="BA729" t="s">
        <v>74</v>
      </c>
      <c r="BB729">
        <v>628</v>
      </c>
      <c r="BC729">
        <v>649</v>
      </c>
      <c r="BD729" t="s">
        <v>74</v>
      </c>
      <c r="BE729" t="s">
        <v>13278</v>
      </c>
      <c r="BF729" t="str">
        <f>HYPERLINK("http://dx.doi.org/10.1016/j.gr.2010.11.013","http://dx.doi.org/10.1016/j.gr.2010.11.013")</f>
        <v>http://dx.doi.org/10.1016/j.gr.2010.11.013</v>
      </c>
      <c r="BG729" t="s">
        <v>74</v>
      </c>
      <c r="BH729" t="s">
        <v>74</v>
      </c>
      <c r="BI729">
        <v>22</v>
      </c>
      <c r="BJ729" t="s">
        <v>130</v>
      </c>
      <c r="BK729" t="s">
        <v>100</v>
      </c>
      <c r="BL729" t="s">
        <v>131</v>
      </c>
      <c r="BM729" t="s">
        <v>13279</v>
      </c>
      <c r="BN729" t="s">
        <v>74</v>
      </c>
      <c r="BO729" t="s">
        <v>74</v>
      </c>
      <c r="BP729" t="s">
        <v>74</v>
      </c>
      <c r="BQ729" t="s">
        <v>74</v>
      </c>
      <c r="BR729" t="s">
        <v>103</v>
      </c>
      <c r="BS729" t="s">
        <v>13280</v>
      </c>
      <c r="BT729" t="str">
        <f>HYPERLINK("https%3A%2F%2Fwww.webofscience.com%2Fwos%2Fwoscc%2Ffull-record%2FWOS:000289047000006","View Full Record in Web of Science")</f>
        <v>View Full Record in Web of Science</v>
      </c>
    </row>
    <row r="730" spans="1:72" x14ac:dyDescent="0.15">
      <c r="A730" t="s">
        <v>72</v>
      </c>
      <c r="B730" t="s">
        <v>13281</v>
      </c>
      <c r="C730" t="s">
        <v>74</v>
      </c>
      <c r="D730" t="s">
        <v>74</v>
      </c>
      <c r="E730" t="s">
        <v>74</v>
      </c>
      <c r="F730" t="s">
        <v>13282</v>
      </c>
      <c r="G730" t="s">
        <v>74</v>
      </c>
      <c r="H730" t="s">
        <v>74</v>
      </c>
      <c r="I730" t="s">
        <v>13283</v>
      </c>
      <c r="J730" t="s">
        <v>1791</v>
      </c>
      <c r="K730" t="s">
        <v>74</v>
      </c>
      <c r="L730" t="s">
        <v>74</v>
      </c>
      <c r="M730" t="s">
        <v>78</v>
      </c>
      <c r="N730" t="s">
        <v>79</v>
      </c>
      <c r="O730" t="s">
        <v>74</v>
      </c>
      <c r="P730" t="s">
        <v>74</v>
      </c>
      <c r="Q730" t="s">
        <v>74</v>
      </c>
      <c r="R730" t="s">
        <v>74</v>
      </c>
      <c r="S730" t="s">
        <v>74</v>
      </c>
      <c r="T730" t="s">
        <v>13284</v>
      </c>
      <c r="U730" t="s">
        <v>13285</v>
      </c>
      <c r="V730" t="s">
        <v>13286</v>
      </c>
      <c r="W730" t="s">
        <v>13287</v>
      </c>
      <c r="X730" t="s">
        <v>13288</v>
      </c>
      <c r="Y730" t="s">
        <v>13289</v>
      </c>
      <c r="Z730" t="s">
        <v>13290</v>
      </c>
      <c r="AA730" t="s">
        <v>13291</v>
      </c>
      <c r="AB730" t="s">
        <v>13292</v>
      </c>
      <c r="AC730" t="s">
        <v>13293</v>
      </c>
      <c r="AD730" t="s">
        <v>13294</v>
      </c>
      <c r="AE730" t="s">
        <v>13295</v>
      </c>
      <c r="AF730" t="s">
        <v>74</v>
      </c>
      <c r="AG730">
        <v>51</v>
      </c>
      <c r="AH730">
        <v>40</v>
      </c>
      <c r="AI730">
        <v>42</v>
      </c>
      <c r="AJ730">
        <v>0</v>
      </c>
      <c r="AK730">
        <v>33</v>
      </c>
      <c r="AL730" t="s">
        <v>4179</v>
      </c>
      <c r="AM730" t="s">
        <v>4200</v>
      </c>
      <c r="AN730" t="s">
        <v>4201</v>
      </c>
      <c r="AO730" t="s">
        <v>1803</v>
      </c>
      <c r="AP730" t="s">
        <v>74</v>
      </c>
      <c r="AQ730" t="s">
        <v>74</v>
      </c>
      <c r="AR730" t="s">
        <v>1805</v>
      </c>
      <c r="AS730" t="s">
        <v>1806</v>
      </c>
      <c r="AT730" t="s">
        <v>12548</v>
      </c>
      <c r="AU730">
        <v>2011</v>
      </c>
      <c r="AV730">
        <v>47</v>
      </c>
      <c r="AW730">
        <v>2</v>
      </c>
      <c r="AX730" t="s">
        <v>74</v>
      </c>
      <c r="AY730" t="s">
        <v>74</v>
      </c>
      <c r="AZ730" t="s">
        <v>74</v>
      </c>
      <c r="BA730" t="s">
        <v>74</v>
      </c>
      <c r="BB730">
        <v>324</v>
      </c>
      <c r="BC730">
        <v>332</v>
      </c>
      <c r="BD730" t="s">
        <v>74</v>
      </c>
      <c r="BE730" t="s">
        <v>13296</v>
      </c>
      <c r="BF730" t="str">
        <f>HYPERLINK("http://dx.doi.org/10.1111/j.1529-8817.2010.00954.x","http://dx.doi.org/10.1111/j.1529-8817.2010.00954.x")</f>
        <v>http://dx.doi.org/10.1111/j.1529-8817.2010.00954.x</v>
      </c>
      <c r="BG730" t="s">
        <v>74</v>
      </c>
      <c r="BH730" t="s">
        <v>74</v>
      </c>
      <c r="BI730">
        <v>9</v>
      </c>
      <c r="BJ730" t="s">
        <v>1808</v>
      </c>
      <c r="BK730" t="s">
        <v>100</v>
      </c>
      <c r="BL730" t="s">
        <v>1808</v>
      </c>
      <c r="BM730" t="s">
        <v>13297</v>
      </c>
      <c r="BN730">
        <v>27021864</v>
      </c>
      <c r="BO730" t="s">
        <v>74</v>
      </c>
      <c r="BP730" t="s">
        <v>74</v>
      </c>
      <c r="BQ730" t="s">
        <v>74</v>
      </c>
      <c r="BR730" t="s">
        <v>103</v>
      </c>
      <c r="BS730" t="s">
        <v>13298</v>
      </c>
      <c r="BT730" t="str">
        <f>HYPERLINK("https%3A%2F%2Fwww.webofscience.com%2Fwos%2Fwoscc%2Ffull-record%2FWOS:000289162700011","View Full Record in Web of Science")</f>
        <v>View Full Record in Web of Science</v>
      </c>
    </row>
    <row r="731" spans="1:72" x14ac:dyDescent="0.15">
      <c r="A731" t="s">
        <v>72</v>
      </c>
      <c r="B731" t="s">
        <v>13299</v>
      </c>
      <c r="C731" t="s">
        <v>74</v>
      </c>
      <c r="D731" t="s">
        <v>74</v>
      </c>
      <c r="E731" t="s">
        <v>74</v>
      </c>
      <c r="F731" t="s">
        <v>13300</v>
      </c>
      <c r="G731" t="s">
        <v>74</v>
      </c>
      <c r="H731" t="s">
        <v>74</v>
      </c>
      <c r="I731" t="s">
        <v>13301</v>
      </c>
      <c r="J731" t="s">
        <v>5011</v>
      </c>
      <c r="K731" t="s">
        <v>74</v>
      </c>
      <c r="L731" t="s">
        <v>74</v>
      </c>
      <c r="M731" t="s">
        <v>78</v>
      </c>
      <c r="N731" t="s">
        <v>79</v>
      </c>
      <c r="O731" t="s">
        <v>74</v>
      </c>
      <c r="P731" t="s">
        <v>74</v>
      </c>
      <c r="Q731" t="s">
        <v>74</v>
      </c>
      <c r="R731" t="s">
        <v>74</v>
      </c>
      <c r="S731" t="s">
        <v>74</v>
      </c>
      <c r="T731" t="s">
        <v>74</v>
      </c>
      <c r="U731" t="s">
        <v>13302</v>
      </c>
      <c r="V731" t="s">
        <v>13303</v>
      </c>
      <c r="W731" t="s">
        <v>13304</v>
      </c>
      <c r="X731" t="s">
        <v>13305</v>
      </c>
      <c r="Y731" t="s">
        <v>13306</v>
      </c>
      <c r="Z731" t="s">
        <v>13307</v>
      </c>
      <c r="AA731" t="s">
        <v>13308</v>
      </c>
      <c r="AB731" t="s">
        <v>13309</v>
      </c>
      <c r="AC731" t="s">
        <v>13310</v>
      </c>
      <c r="AD731" t="s">
        <v>13311</v>
      </c>
      <c r="AE731" t="s">
        <v>13312</v>
      </c>
      <c r="AF731" t="s">
        <v>74</v>
      </c>
      <c r="AG731">
        <v>45</v>
      </c>
      <c r="AH731">
        <v>35</v>
      </c>
      <c r="AI731">
        <v>42</v>
      </c>
      <c r="AJ731">
        <v>1</v>
      </c>
      <c r="AK731">
        <v>21</v>
      </c>
      <c r="AL731" t="s">
        <v>1441</v>
      </c>
      <c r="AM731" t="s">
        <v>91</v>
      </c>
      <c r="AN731" t="s">
        <v>1902</v>
      </c>
      <c r="AO731" t="s">
        <v>5024</v>
      </c>
      <c r="AP731" t="s">
        <v>5025</v>
      </c>
      <c r="AQ731" t="s">
        <v>74</v>
      </c>
      <c r="AR731" t="s">
        <v>5026</v>
      </c>
      <c r="AS731" t="s">
        <v>5027</v>
      </c>
      <c r="AT731" t="s">
        <v>12548</v>
      </c>
      <c r="AU731">
        <v>2011</v>
      </c>
      <c r="AV731">
        <v>36</v>
      </c>
      <c r="AW731" t="s">
        <v>5648</v>
      </c>
      <c r="AX731" t="s">
        <v>74</v>
      </c>
      <c r="AY731" t="s">
        <v>74</v>
      </c>
      <c r="AZ731" t="s">
        <v>74</v>
      </c>
      <c r="BA731" t="s">
        <v>74</v>
      </c>
      <c r="BB731">
        <v>1403</v>
      </c>
      <c r="BC731">
        <v>1417</v>
      </c>
      <c r="BD731" t="s">
        <v>74</v>
      </c>
      <c r="BE731" t="s">
        <v>13313</v>
      </c>
      <c r="BF731" t="str">
        <f>HYPERLINK("http://dx.doi.org/10.1007/s00382-010-0892-1","http://dx.doi.org/10.1007/s00382-010-0892-1")</f>
        <v>http://dx.doi.org/10.1007/s00382-010-0892-1</v>
      </c>
      <c r="BG731" t="s">
        <v>74</v>
      </c>
      <c r="BH731" t="s">
        <v>74</v>
      </c>
      <c r="BI731">
        <v>15</v>
      </c>
      <c r="BJ731" t="s">
        <v>248</v>
      </c>
      <c r="BK731" t="s">
        <v>100</v>
      </c>
      <c r="BL731" t="s">
        <v>248</v>
      </c>
      <c r="BM731" t="s">
        <v>13314</v>
      </c>
      <c r="BN731" t="s">
        <v>74</v>
      </c>
      <c r="BO731" t="s">
        <v>2371</v>
      </c>
      <c r="BP731" t="s">
        <v>74</v>
      </c>
      <c r="BQ731" t="s">
        <v>74</v>
      </c>
      <c r="BR731" t="s">
        <v>103</v>
      </c>
      <c r="BS731" t="s">
        <v>13315</v>
      </c>
      <c r="BT731" t="str">
        <f>HYPERLINK("https%3A%2F%2Fwww.webofscience.com%2Fwos%2Fwoscc%2Ffull-record%2FWOS:000289105300012","View Full Record in Web of Science")</f>
        <v>View Full Record in Web of Science</v>
      </c>
    </row>
    <row r="732" spans="1:72" x14ac:dyDescent="0.15">
      <c r="A732" t="s">
        <v>72</v>
      </c>
      <c r="B732" t="s">
        <v>13316</v>
      </c>
      <c r="C732" t="s">
        <v>74</v>
      </c>
      <c r="D732" t="s">
        <v>74</v>
      </c>
      <c r="E732" t="s">
        <v>74</v>
      </c>
      <c r="F732" t="s">
        <v>13317</v>
      </c>
      <c r="G732" t="s">
        <v>74</v>
      </c>
      <c r="H732" t="s">
        <v>74</v>
      </c>
      <c r="I732" t="s">
        <v>13318</v>
      </c>
      <c r="J732" t="s">
        <v>5011</v>
      </c>
      <c r="K732" t="s">
        <v>74</v>
      </c>
      <c r="L732" t="s">
        <v>74</v>
      </c>
      <c r="M732" t="s">
        <v>78</v>
      </c>
      <c r="N732" t="s">
        <v>79</v>
      </c>
      <c r="O732" t="s">
        <v>74</v>
      </c>
      <c r="P732" t="s">
        <v>74</v>
      </c>
      <c r="Q732" t="s">
        <v>74</v>
      </c>
      <c r="R732" t="s">
        <v>74</v>
      </c>
      <c r="S732" t="s">
        <v>74</v>
      </c>
      <c r="T732" t="s">
        <v>13319</v>
      </c>
      <c r="U732" t="s">
        <v>13320</v>
      </c>
      <c r="V732" t="s">
        <v>13321</v>
      </c>
      <c r="W732" t="s">
        <v>13322</v>
      </c>
      <c r="X732" t="s">
        <v>13323</v>
      </c>
      <c r="Y732" t="s">
        <v>13324</v>
      </c>
      <c r="Z732" t="s">
        <v>13325</v>
      </c>
      <c r="AA732" t="s">
        <v>13326</v>
      </c>
      <c r="AB732" t="s">
        <v>13327</v>
      </c>
      <c r="AC732" t="s">
        <v>13328</v>
      </c>
      <c r="AD732" t="s">
        <v>13329</v>
      </c>
      <c r="AE732" t="s">
        <v>13330</v>
      </c>
      <c r="AF732" t="s">
        <v>74</v>
      </c>
      <c r="AG732">
        <v>101</v>
      </c>
      <c r="AH732">
        <v>76</v>
      </c>
      <c r="AI732">
        <v>81</v>
      </c>
      <c r="AJ732">
        <v>0</v>
      </c>
      <c r="AK732">
        <v>40</v>
      </c>
      <c r="AL732" t="s">
        <v>1441</v>
      </c>
      <c r="AM732" t="s">
        <v>91</v>
      </c>
      <c r="AN732" t="s">
        <v>1902</v>
      </c>
      <c r="AO732" t="s">
        <v>5024</v>
      </c>
      <c r="AP732" t="s">
        <v>5025</v>
      </c>
      <c r="AQ732" t="s">
        <v>74</v>
      </c>
      <c r="AR732" t="s">
        <v>5026</v>
      </c>
      <c r="AS732" t="s">
        <v>5027</v>
      </c>
      <c r="AT732" t="s">
        <v>12548</v>
      </c>
      <c r="AU732">
        <v>2011</v>
      </c>
      <c r="AV732">
        <v>36</v>
      </c>
      <c r="AW732" t="s">
        <v>5648</v>
      </c>
      <c r="AX732" t="s">
        <v>74</v>
      </c>
      <c r="AY732" t="s">
        <v>74</v>
      </c>
      <c r="AZ732" t="s">
        <v>74</v>
      </c>
      <c r="BA732" t="s">
        <v>74</v>
      </c>
      <c r="BB732">
        <v>1505</v>
      </c>
      <c r="BC732">
        <v>1521</v>
      </c>
      <c r="BD732" t="s">
        <v>74</v>
      </c>
      <c r="BE732" t="s">
        <v>13331</v>
      </c>
      <c r="BF732" t="str">
        <f>HYPERLINK("http://dx.doi.org/10.1007/s00382-009-0723-4","http://dx.doi.org/10.1007/s00382-009-0723-4")</f>
        <v>http://dx.doi.org/10.1007/s00382-009-0723-4</v>
      </c>
      <c r="BG732" t="s">
        <v>74</v>
      </c>
      <c r="BH732" t="s">
        <v>74</v>
      </c>
      <c r="BI732">
        <v>17</v>
      </c>
      <c r="BJ732" t="s">
        <v>248</v>
      </c>
      <c r="BK732" t="s">
        <v>100</v>
      </c>
      <c r="BL732" t="s">
        <v>248</v>
      </c>
      <c r="BM732" t="s">
        <v>13314</v>
      </c>
      <c r="BN732" t="s">
        <v>74</v>
      </c>
      <c r="BO732" t="s">
        <v>74</v>
      </c>
      <c r="BP732" t="s">
        <v>74</v>
      </c>
      <c r="BQ732" t="s">
        <v>74</v>
      </c>
      <c r="BR732" t="s">
        <v>103</v>
      </c>
      <c r="BS732" t="s">
        <v>13332</v>
      </c>
      <c r="BT732" t="str">
        <f>HYPERLINK("https%3A%2F%2Fwww.webofscience.com%2Fwos%2Fwoscc%2Ffull-record%2FWOS:000289105300019","View Full Record in Web of Science")</f>
        <v>View Full Record in Web of Science</v>
      </c>
    </row>
    <row r="733" spans="1:72" x14ac:dyDescent="0.15">
      <c r="A733" t="s">
        <v>72</v>
      </c>
      <c r="B733" t="s">
        <v>13333</v>
      </c>
      <c r="C733" t="s">
        <v>74</v>
      </c>
      <c r="D733" t="s">
        <v>74</v>
      </c>
      <c r="E733" t="s">
        <v>74</v>
      </c>
      <c r="F733" t="s">
        <v>13334</v>
      </c>
      <c r="G733" t="s">
        <v>74</v>
      </c>
      <c r="H733" t="s">
        <v>74</v>
      </c>
      <c r="I733" t="s">
        <v>13335</v>
      </c>
      <c r="J733" t="s">
        <v>10569</v>
      </c>
      <c r="K733" t="s">
        <v>74</v>
      </c>
      <c r="L733" t="s">
        <v>74</v>
      </c>
      <c r="M733" t="s">
        <v>78</v>
      </c>
      <c r="N733" t="s">
        <v>79</v>
      </c>
      <c r="O733" t="s">
        <v>74</v>
      </c>
      <c r="P733" t="s">
        <v>74</v>
      </c>
      <c r="Q733" t="s">
        <v>74</v>
      </c>
      <c r="R733" t="s">
        <v>74</v>
      </c>
      <c r="S733" t="s">
        <v>74</v>
      </c>
      <c r="T733" t="s">
        <v>74</v>
      </c>
      <c r="U733" t="s">
        <v>13336</v>
      </c>
      <c r="V733" t="s">
        <v>13337</v>
      </c>
      <c r="W733" t="s">
        <v>13338</v>
      </c>
      <c r="X733" t="s">
        <v>13339</v>
      </c>
      <c r="Y733" t="s">
        <v>13340</v>
      </c>
      <c r="Z733" t="s">
        <v>10573</v>
      </c>
      <c r="AA733" t="s">
        <v>10574</v>
      </c>
      <c r="AB733" t="s">
        <v>10575</v>
      </c>
      <c r="AC733" t="s">
        <v>13341</v>
      </c>
      <c r="AD733" t="s">
        <v>13342</v>
      </c>
      <c r="AE733" t="s">
        <v>13343</v>
      </c>
      <c r="AF733" t="s">
        <v>74</v>
      </c>
      <c r="AG733">
        <v>27</v>
      </c>
      <c r="AH733">
        <v>49</v>
      </c>
      <c r="AI733">
        <v>53</v>
      </c>
      <c r="AJ733">
        <v>0</v>
      </c>
      <c r="AK733">
        <v>7</v>
      </c>
      <c r="AL733" t="s">
        <v>13344</v>
      </c>
      <c r="AM733" t="s">
        <v>7793</v>
      </c>
      <c r="AN733" t="s">
        <v>13345</v>
      </c>
      <c r="AO733" t="s">
        <v>10576</v>
      </c>
      <c r="AP733" t="s">
        <v>74</v>
      </c>
      <c r="AQ733" t="s">
        <v>74</v>
      </c>
      <c r="AR733" t="s">
        <v>10578</v>
      </c>
      <c r="AS733" t="s">
        <v>10579</v>
      </c>
      <c r="AT733" t="s">
        <v>12548</v>
      </c>
      <c r="AU733">
        <v>2011</v>
      </c>
      <c r="AV733">
        <v>141</v>
      </c>
      <c r="AW733">
        <v>4</v>
      </c>
      <c r="AX733" t="s">
        <v>74</v>
      </c>
      <c r="AY733" t="s">
        <v>74</v>
      </c>
      <c r="AZ733" t="s">
        <v>74</v>
      </c>
      <c r="BA733" t="s">
        <v>74</v>
      </c>
      <c r="BB733">
        <v>692</v>
      </c>
      <c r="BC733">
        <v>697</v>
      </c>
      <c r="BD733" t="s">
        <v>74</v>
      </c>
      <c r="BE733" t="s">
        <v>13346</v>
      </c>
      <c r="BF733" t="str">
        <f>HYPERLINK("http://dx.doi.org/10.3945/jn.110.134742","http://dx.doi.org/10.3945/jn.110.134742")</f>
        <v>http://dx.doi.org/10.3945/jn.110.134742</v>
      </c>
      <c r="BG733" t="s">
        <v>74</v>
      </c>
      <c r="BH733" t="s">
        <v>74</v>
      </c>
      <c r="BI733">
        <v>6</v>
      </c>
      <c r="BJ733" t="s">
        <v>10581</v>
      </c>
      <c r="BK733" t="s">
        <v>100</v>
      </c>
      <c r="BL733" t="s">
        <v>10581</v>
      </c>
      <c r="BM733" t="s">
        <v>13347</v>
      </c>
      <c r="BN733">
        <v>21539011</v>
      </c>
      <c r="BO733" t="s">
        <v>1284</v>
      </c>
      <c r="BP733" t="s">
        <v>74</v>
      </c>
      <c r="BQ733" t="s">
        <v>74</v>
      </c>
      <c r="BR733" t="s">
        <v>103</v>
      </c>
      <c r="BS733" t="s">
        <v>13348</v>
      </c>
      <c r="BT733" t="str">
        <f>HYPERLINK("https%3A%2F%2Fwww.webofscience.com%2Fwos%2Fwoscc%2Ffull-record%2FWOS:000288876800023","View Full Record in Web of Science")</f>
        <v>View Full Record in Web of Science</v>
      </c>
    </row>
    <row r="734" spans="1:72" x14ac:dyDescent="0.15">
      <c r="A734" t="s">
        <v>72</v>
      </c>
      <c r="B734" t="s">
        <v>13349</v>
      </c>
      <c r="C734" t="s">
        <v>74</v>
      </c>
      <c r="D734" t="s">
        <v>74</v>
      </c>
      <c r="E734" t="s">
        <v>74</v>
      </c>
      <c r="F734" t="s">
        <v>13350</v>
      </c>
      <c r="G734" t="s">
        <v>74</v>
      </c>
      <c r="H734" t="s">
        <v>74</v>
      </c>
      <c r="I734" t="s">
        <v>13351</v>
      </c>
      <c r="J734" t="s">
        <v>5300</v>
      </c>
      <c r="K734" t="s">
        <v>74</v>
      </c>
      <c r="L734" t="s">
        <v>74</v>
      </c>
      <c r="M734" t="s">
        <v>78</v>
      </c>
      <c r="N734" t="s">
        <v>79</v>
      </c>
      <c r="O734" t="s">
        <v>74</v>
      </c>
      <c r="P734" t="s">
        <v>74</v>
      </c>
      <c r="Q734" t="s">
        <v>74</v>
      </c>
      <c r="R734" t="s">
        <v>74</v>
      </c>
      <c r="S734" t="s">
        <v>74</v>
      </c>
      <c r="T734" t="s">
        <v>74</v>
      </c>
      <c r="U734" t="s">
        <v>13352</v>
      </c>
      <c r="V734" t="s">
        <v>13353</v>
      </c>
      <c r="W734" t="s">
        <v>13354</v>
      </c>
      <c r="X734" t="s">
        <v>13355</v>
      </c>
      <c r="Y734" t="s">
        <v>13356</v>
      </c>
      <c r="Z734" t="s">
        <v>13357</v>
      </c>
      <c r="AA734" t="s">
        <v>13358</v>
      </c>
      <c r="AB734" t="s">
        <v>13359</v>
      </c>
      <c r="AC734" t="s">
        <v>13360</v>
      </c>
      <c r="AD734" t="s">
        <v>13361</v>
      </c>
      <c r="AE734" t="s">
        <v>13362</v>
      </c>
      <c r="AF734" t="s">
        <v>74</v>
      </c>
      <c r="AG734">
        <v>39</v>
      </c>
      <c r="AH734">
        <v>66</v>
      </c>
      <c r="AI734">
        <v>80</v>
      </c>
      <c r="AJ734">
        <v>0</v>
      </c>
      <c r="AK734">
        <v>58</v>
      </c>
      <c r="AL734" t="s">
        <v>1712</v>
      </c>
      <c r="AM734" t="s">
        <v>1036</v>
      </c>
      <c r="AN734" t="s">
        <v>1713</v>
      </c>
      <c r="AO734" t="s">
        <v>5311</v>
      </c>
      <c r="AP734" t="s">
        <v>74</v>
      </c>
      <c r="AQ734" t="s">
        <v>74</v>
      </c>
      <c r="AR734" t="s">
        <v>5300</v>
      </c>
      <c r="AS734" t="s">
        <v>131</v>
      </c>
      <c r="AT734" t="s">
        <v>12548</v>
      </c>
      <c r="AU734">
        <v>2011</v>
      </c>
      <c r="AV734">
        <v>39</v>
      </c>
      <c r="AW734">
        <v>4</v>
      </c>
      <c r="AX734" t="s">
        <v>74</v>
      </c>
      <c r="AY734" t="s">
        <v>74</v>
      </c>
      <c r="AZ734" t="s">
        <v>74</v>
      </c>
      <c r="BA734" t="s">
        <v>74</v>
      </c>
      <c r="BB734">
        <v>383</v>
      </c>
      <c r="BC734">
        <v>386</v>
      </c>
      <c r="BD734" t="s">
        <v>74</v>
      </c>
      <c r="BE734" t="s">
        <v>13363</v>
      </c>
      <c r="BF734" t="str">
        <f>HYPERLINK("http://dx.doi.org/10.1130/G31726.1","http://dx.doi.org/10.1130/G31726.1")</f>
        <v>http://dx.doi.org/10.1130/G31726.1</v>
      </c>
      <c r="BG734" t="s">
        <v>74</v>
      </c>
      <c r="BH734" t="s">
        <v>74</v>
      </c>
      <c r="BI734">
        <v>4</v>
      </c>
      <c r="BJ734" t="s">
        <v>131</v>
      </c>
      <c r="BK734" t="s">
        <v>100</v>
      </c>
      <c r="BL734" t="s">
        <v>131</v>
      </c>
      <c r="BM734" t="s">
        <v>13364</v>
      </c>
      <c r="BN734" t="s">
        <v>74</v>
      </c>
      <c r="BO734" t="s">
        <v>702</v>
      </c>
      <c r="BP734" t="s">
        <v>74</v>
      </c>
      <c r="BQ734" t="s">
        <v>74</v>
      </c>
      <c r="BR734" t="s">
        <v>103</v>
      </c>
      <c r="BS734" t="s">
        <v>13365</v>
      </c>
      <c r="BT734" t="str">
        <f>HYPERLINK("https%3A%2F%2Fwww.webofscience.com%2Fwos%2Fwoscc%2Ffull-record%2FWOS:000288507300024","View Full Record in Web of Science")</f>
        <v>View Full Record in Web of Science</v>
      </c>
    </row>
    <row r="735" spans="1:72" x14ac:dyDescent="0.15">
      <c r="A735" t="s">
        <v>72</v>
      </c>
      <c r="B735" t="s">
        <v>13366</v>
      </c>
      <c r="C735" t="s">
        <v>74</v>
      </c>
      <c r="D735" t="s">
        <v>74</v>
      </c>
      <c r="E735" t="s">
        <v>74</v>
      </c>
      <c r="F735" t="s">
        <v>13367</v>
      </c>
      <c r="G735" t="s">
        <v>74</v>
      </c>
      <c r="H735" t="s">
        <v>74</v>
      </c>
      <c r="I735" t="s">
        <v>13368</v>
      </c>
      <c r="J735" t="s">
        <v>11581</v>
      </c>
      <c r="K735" t="s">
        <v>74</v>
      </c>
      <c r="L735" t="s">
        <v>74</v>
      </c>
      <c r="M735" t="s">
        <v>78</v>
      </c>
      <c r="N735" t="s">
        <v>4724</v>
      </c>
      <c r="O735" t="s">
        <v>74</v>
      </c>
      <c r="P735" t="s">
        <v>74</v>
      </c>
      <c r="Q735" t="s">
        <v>74</v>
      </c>
      <c r="R735" t="s">
        <v>74</v>
      </c>
      <c r="S735" t="s">
        <v>74</v>
      </c>
      <c r="T735" t="s">
        <v>74</v>
      </c>
      <c r="U735" t="s">
        <v>74</v>
      </c>
      <c r="V735" t="s">
        <v>74</v>
      </c>
      <c r="W735" t="s">
        <v>74</v>
      </c>
      <c r="X735" t="s">
        <v>74</v>
      </c>
      <c r="Y735" t="s">
        <v>74</v>
      </c>
      <c r="Z735" t="s">
        <v>74</v>
      </c>
      <c r="AA735" t="s">
        <v>13369</v>
      </c>
      <c r="AB735" t="s">
        <v>74</v>
      </c>
      <c r="AC735" t="s">
        <v>74</v>
      </c>
      <c r="AD735" t="s">
        <v>74</v>
      </c>
      <c r="AE735" t="s">
        <v>74</v>
      </c>
      <c r="AF735" t="s">
        <v>74</v>
      </c>
      <c r="AG735">
        <v>1</v>
      </c>
      <c r="AH735">
        <v>0</v>
      </c>
      <c r="AI735">
        <v>0</v>
      </c>
      <c r="AJ735">
        <v>1</v>
      </c>
      <c r="AK735">
        <v>6</v>
      </c>
      <c r="AL735" t="s">
        <v>2968</v>
      </c>
      <c r="AM735" t="s">
        <v>508</v>
      </c>
      <c r="AN735" t="s">
        <v>2969</v>
      </c>
      <c r="AO735" t="s">
        <v>11594</v>
      </c>
      <c r="AP735" t="s">
        <v>11595</v>
      </c>
      <c r="AQ735" t="s">
        <v>74</v>
      </c>
      <c r="AR735" t="s">
        <v>11596</v>
      </c>
      <c r="AS735" t="s">
        <v>11597</v>
      </c>
      <c r="AT735" t="s">
        <v>12548</v>
      </c>
      <c r="AU735">
        <v>2011</v>
      </c>
      <c r="AV735">
        <v>185</v>
      </c>
      <c r="AW735">
        <v>1</v>
      </c>
      <c r="AX735" t="s">
        <v>74</v>
      </c>
      <c r="AY735" t="s">
        <v>74</v>
      </c>
      <c r="AZ735" t="s">
        <v>74</v>
      </c>
      <c r="BA735" t="s">
        <v>74</v>
      </c>
      <c r="BB735">
        <v>574</v>
      </c>
      <c r="BC735">
        <v>574</v>
      </c>
      <c r="BD735" t="s">
        <v>74</v>
      </c>
      <c r="BE735" t="s">
        <v>13370</v>
      </c>
      <c r="BF735" t="str">
        <f>HYPERLINK("http://dx.doi.org/10.1111/j.1365-246X.2011.04968.x","http://dx.doi.org/10.1111/j.1365-246X.2011.04968.x")</f>
        <v>http://dx.doi.org/10.1111/j.1365-246X.2011.04968.x</v>
      </c>
      <c r="BG735" t="s">
        <v>74</v>
      </c>
      <c r="BH735" t="s">
        <v>74</v>
      </c>
      <c r="BI735">
        <v>1</v>
      </c>
      <c r="BJ735" t="s">
        <v>488</v>
      </c>
      <c r="BK735" t="s">
        <v>100</v>
      </c>
      <c r="BL735" t="s">
        <v>488</v>
      </c>
      <c r="BM735" t="s">
        <v>13371</v>
      </c>
      <c r="BN735" t="s">
        <v>74</v>
      </c>
      <c r="BO735" t="s">
        <v>74</v>
      </c>
      <c r="BP735" t="s">
        <v>74</v>
      </c>
      <c r="BQ735" t="s">
        <v>74</v>
      </c>
      <c r="BR735" t="s">
        <v>103</v>
      </c>
      <c r="BS735" t="s">
        <v>13372</v>
      </c>
      <c r="BT735" t="str">
        <f>HYPERLINK("https%3A%2F%2Fwww.webofscience.com%2Fwos%2Fwoscc%2Ffull-record%2FWOS:000288455500038","View Full Record in Web of Science")</f>
        <v>View Full Record in Web of Science</v>
      </c>
    </row>
    <row r="736" spans="1:72" x14ac:dyDescent="0.15">
      <c r="A736" t="s">
        <v>72</v>
      </c>
      <c r="B736" t="s">
        <v>13373</v>
      </c>
      <c r="C736" t="s">
        <v>74</v>
      </c>
      <c r="D736" t="s">
        <v>74</v>
      </c>
      <c r="E736" t="s">
        <v>74</v>
      </c>
      <c r="F736" t="s">
        <v>13374</v>
      </c>
      <c r="G736" t="s">
        <v>74</v>
      </c>
      <c r="H736" t="s">
        <v>74</v>
      </c>
      <c r="I736" t="s">
        <v>13375</v>
      </c>
      <c r="J736" t="s">
        <v>13376</v>
      </c>
      <c r="K736" t="s">
        <v>74</v>
      </c>
      <c r="L736" t="s">
        <v>74</v>
      </c>
      <c r="M736" t="s">
        <v>78</v>
      </c>
      <c r="N736" t="s">
        <v>79</v>
      </c>
      <c r="O736" t="s">
        <v>74</v>
      </c>
      <c r="P736" t="s">
        <v>74</v>
      </c>
      <c r="Q736" t="s">
        <v>74</v>
      </c>
      <c r="R736" t="s">
        <v>74</v>
      </c>
      <c r="S736" t="s">
        <v>74</v>
      </c>
      <c r="T736" t="s">
        <v>13377</v>
      </c>
      <c r="U736" t="s">
        <v>13378</v>
      </c>
      <c r="V736" t="s">
        <v>13379</v>
      </c>
      <c r="W736" t="s">
        <v>13380</v>
      </c>
      <c r="X736" t="s">
        <v>13381</v>
      </c>
      <c r="Y736" t="s">
        <v>13382</v>
      </c>
      <c r="Z736" t="s">
        <v>13383</v>
      </c>
      <c r="AA736" t="s">
        <v>13384</v>
      </c>
      <c r="AB736" t="s">
        <v>13385</v>
      </c>
      <c r="AC736" t="s">
        <v>13386</v>
      </c>
      <c r="AD736" t="s">
        <v>13387</v>
      </c>
      <c r="AE736" t="s">
        <v>13388</v>
      </c>
      <c r="AF736" t="s">
        <v>74</v>
      </c>
      <c r="AG736">
        <v>142</v>
      </c>
      <c r="AH736">
        <v>23</v>
      </c>
      <c r="AI736">
        <v>23</v>
      </c>
      <c r="AJ736">
        <v>0</v>
      </c>
      <c r="AK736">
        <v>16</v>
      </c>
      <c r="AL736" t="s">
        <v>1323</v>
      </c>
      <c r="AM736" t="s">
        <v>1324</v>
      </c>
      <c r="AN736" t="s">
        <v>1325</v>
      </c>
      <c r="AO736" t="s">
        <v>13389</v>
      </c>
      <c r="AP736" t="s">
        <v>13390</v>
      </c>
      <c r="AQ736" t="s">
        <v>74</v>
      </c>
      <c r="AR736" t="s">
        <v>13391</v>
      </c>
      <c r="AS736" t="s">
        <v>13392</v>
      </c>
      <c r="AT736" t="s">
        <v>12548</v>
      </c>
      <c r="AU736">
        <v>2011</v>
      </c>
      <c r="AV736">
        <v>272</v>
      </c>
      <c r="AW736">
        <v>4</v>
      </c>
      <c r="AX736" t="s">
        <v>74</v>
      </c>
      <c r="AY736" t="s">
        <v>74</v>
      </c>
      <c r="AZ736" t="s">
        <v>74</v>
      </c>
      <c r="BA736" t="s">
        <v>74</v>
      </c>
      <c r="BB736">
        <v>419</v>
      </c>
      <c r="BC736">
        <v>441</v>
      </c>
      <c r="BD736" t="s">
        <v>74</v>
      </c>
      <c r="BE736" t="s">
        <v>13393</v>
      </c>
      <c r="BF736" t="str">
        <f>HYPERLINK("http://dx.doi.org/10.1002/jmor.10926","http://dx.doi.org/10.1002/jmor.10926")</f>
        <v>http://dx.doi.org/10.1002/jmor.10926</v>
      </c>
      <c r="BG736" t="s">
        <v>74</v>
      </c>
      <c r="BH736" t="s">
        <v>74</v>
      </c>
      <c r="BI736">
        <v>23</v>
      </c>
      <c r="BJ736" t="s">
        <v>13394</v>
      </c>
      <c r="BK736" t="s">
        <v>100</v>
      </c>
      <c r="BL736" t="s">
        <v>13394</v>
      </c>
      <c r="BM736" t="s">
        <v>13395</v>
      </c>
      <c r="BN736">
        <v>21246598</v>
      </c>
      <c r="BO736" t="s">
        <v>74</v>
      </c>
      <c r="BP736" t="s">
        <v>74</v>
      </c>
      <c r="BQ736" t="s">
        <v>74</v>
      </c>
      <c r="BR736" t="s">
        <v>103</v>
      </c>
      <c r="BS736" t="s">
        <v>13396</v>
      </c>
      <c r="BT736" t="str">
        <f>HYPERLINK("https%3A%2F%2Fwww.webofscience.com%2Fwos%2Fwoscc%2Ffull-record%2FWOS:000288464500003","View Full Record in Web of Science")</f>
        <v>View Full Record in Web of Science</v>
      </c>
    </row>
    <row r="737" spans="1:72" x14ac:dyDescent="0.15">
      <c r="A737" t="s">
        <v>72</v>
      </c>
      <c r="B737" t="s">
        <v>13397</v>
      </c>
      <c r="C737" t="s">
        <v>74</v>
      </c>
      <c r="D737" t="s">
        <v>74</v>
      </c>
      <c r="E737" t="s">
        <v>74</v>
      </c>
      <c r="F737" t="s">
        <v>13398</v>
      </c>
      <c r="G737" t="s">
        <v>74</v>
      </c>
      <c r="H737" t="s">
        <v>74</v>
      </c>
      <c r="I737" t="s">
        <v>13399</v>
      </c>
      <c r="J737" t="s">
        <v>13400</v>
      </c>
      <c r="K737" t="s">
        <v>74</v>
      </c>
      <c r="L737" t="s">
        <v>74</v>
      </c>
      <c r="M737" t="s">
        <v>78</v>
      </c>
      <c r="N737" t="s">
        <v>79</v>
      </c>
      <c r="O737" t="s">
        <v>74</v>
      </c>
      <c r="P737" t="s">
        <v>74</v>
      </c>
      <c r="Q737" t="s">
        <v>74</v>
      </c>
      <c r="R737" t="s">
        <v>74</v>
      </c>
      <c r="S737" t="s">
        <v>74</v>
      </c>
      <c r="T737" t="s">
        <v>13401</v>
      </c>
      <c r="U737" t="s">
        <v>13402</v>
      </c>
      <c r="V737" t="s">
        <v>13403</v>
      </c>
      <c r="W737" t="s">
        <v>13404</v>
      </c>
      <c r="X737" t="s">
        <v>13405</v>
      </c>
      <c r="Y737" t="s">
        <v>13406</v>
      </c>
      <c r="Z737" t="s">
        <v>13407</v>
      </c>
      <c r="AA737" t="s">
        <v>74</v>
      </c>
      <c r="AB737" t="s">
        <v>13408</v>
      </c>
      <c r="AC737" t="s">
        <v>13409</v>
      </c>
      <c r="AD737" t="s">
        <v>13410</v>
      </c>
      <c r="AE737" t="s">
        <v>13411</v>
      </c>
      <c r="AF737" t="s">
        <v>74</v>
      </c>
      <c r="AG737">
        <v>89</v>
      </c>
      <c r="AH737">
        <v>34</v>
      </c>
      <c r="AI737">
        <v>39</v>
      </c>
      <c r="AJ737">
        <v>0</v>
      </c>
      <c r="AK737">
        <v>20</v>
      </c>
      <c r="AL737" t="s">
        <v>926</v>
      </c>
      <c r="AM737" t="s">
        <v>508</v>
      </c>
      <c r="AN737" t="s">
        <v>927</v>
      </c>
      <c r="AO737" t="s">
        <v>13412</v>
      </c>
      <c r="AP737" t="s">
        <v>74</v>
      </c>
      <c r="AQ737" t="s">
        <v>74</v>
      </c>
      <c r="AR737" t="s">
        <v>13413</v>
      </c>
      <c r="AS737" t="s">
        <v>13414</v>
      </c>
      <c r="AT737" t="s">
        <v>12548</v>
      </c>
      <c r="AU737">
        <v>2011</v>
      </c>
      <c r="AV737">
        <v>59</v>
      </c>
      <c r="AW737" t="s">
        <v>10386</v>
      </c>
      <c r="AX737" t="s">
        <v>74</v>
      </c>
      <c r="AY737" t="s">
        <v>74</v>
      </c>
      <c r="AZ737" t="s">
        <v>74</v>
      </c>
      <c r="BA737" t="s">
        <v>74</v>
      </c>
      <c r="BB737">
        <v>423</v>
      </c>
      <c r="BC737">
        <v>442</v>
      </c>
      <c r="BD737" t="s">
        <v>74</v>
      </c>
      <c r="BE737" t="s">
        <v>13415</v>
      </c>
      <c r="BF737" t="str">
        <f>HYPERLINK("http://dx.doi.org/10.1016/j.pss.2011.01.009","http://dx.doi.org/10.1016/j.pss.2011.01.009")</f>
        <v>http://dx.doi.org/10.1016/j.pss.2011.01.009</v>
      </c>
      <c r="BG737" t="s">
        <v>74</v>
      </c>
      <c r="BH737" t="s">
        <v>74</v>
      </c>
      <c r="BI737">
        <v>20</v>
      </c>
      <c r="BJ737" t="s">
        <v>391</v>
      </c>
      <c r="BK737" t="s">
        <v>100</v>
      </c>
      <c r="BL737" t="s">
        <v>391</v>
      </c>
      <c r="BM737" t="s">
        <v>13416</v>
      </c>
      <c r="BN737" t="s">
        <v>74</v>
      </c>
      <c r="BO737" t="s">
        <v>74</v>
      </c>
      <c r="BP737" t="s">
        <v>74</v>
      </c>
      <c r="BQ737" t="s">
        <v>74</v>
      </c>
      <c r="BR737" t="s">
        <v>103</v>
      </c>
      <c r="BS737" t="s">
        <v>13417</v>
      </c>
      <c r="BT737" t="str">
        <f>HYPERLINK("https%3A%2F%2Fwww.webofscience.com%2Fwos%2Fwoscc%2Ffull-record%2FWOS:000288581400007","View Full Record in Web of Science")</f>
        <v>View Full Record in Web of Science</v>
      </c>
    </row>
    <row r="738" spans="1:72" x14ac:dyDescent="0.15">
      <c r="A738" t="s">
        <v>72</v>
      </c>
      <c r="B738" t="s">
        <v>13418</v>
      </c>
      <c r="C738" t="s">
        <v>74</v>
      </c>
      <c r="D738" t="s">
        <v>74</v>
      </c>
      <c r="E738" t="s">
        <v>74</v>
      </c>
      <c r="F738" t="s">
        <v>13419</v>
      </c>
      <c r="G738" t="s">
        <v>74</v>
      </c>
      <c r="H738" t="s">
        <v>74</v>
      </c>
      <c r="I738" t="s">
        <v>13420</v>
      </c>
      <c r="J738" t="s">
        <v>1889</v>
      </c>
      <c r="K738" t="s">
        <v>74</v>
      </c>
      <c r="L738" t="s">
        <v>74</v>
      </c>
      <c r="M738" t="s">
        <v>78</v>
      </c>
      <c r="N738" t="s">
        <v>79</v>
      </c>
      <c r="O738" t="s">
        <v>74</v>
      </c>
      <c r="P738" t="s">
        <v>74</v>
      </c>
      <c r="Q738" t="s">
        <v>74</v>
      </c>
      <c r="R738" t="s">
        <v>74</v>
      </c>
      <c r="S738" t="s">
        <v>74</v>
      </c>
      <c r="T738" t="s">
        <v>13421</v>
      </c>
      <c r="U738" t="s">
        <v>13422</v>
      </c>
      <c r="V738" t="s">
        <v>13423</v>
      </c>
      <c r="W738" t="s">
        <v>13424</v>
      </c>
      <c r="X738" t="s">
        <v>13425</v>
      </c>
      <c r="Y738" t="s">
        <v>13426</v>
      </c>
      <c r="Z738" t="s">
        <v>8218</v>
      </c>
      <c r="AA738" t="s">
        <v>13427</v>
      </c>
      <c r="AB738" t="s">
        <v>13428</v>
      </c>
      <c r="AC738" t="s">
        <v>13429</v>
      </c>
      <c r="AD738" t="s">
        <v>13430</v>
      </c>
      <c r="AE738" t="s">
        <v>13431</v>
      </c>
      <c r="AF738" t="s">
        <v>74</v>
      </c>
      <c r="AG738">
        <v>55</v>
      </c>
      <c r="AH738">
        <v>3</v>
      </c>
      <c r="AI738">
        <v>3</v>
      </c>
      <c r="AJ738">
        <v>0</v>
      </c>
      <c r="AK738">
        <v>21</v>
      </c>
      <c r="AL738" t="s">
        <v>1441</v>
      </c>
      <c r="AM738" t="s">
        <v>91</v>
      </c>
      <c r="AN738" t="s">
        <v>1595</v>
      </c>
      <c r="AO738" t="s">
        <v>1903</v>
      </c>
      <c r="AP738" t="s">
        <v>1904</v>
      </c>
      <c r="AQ738" t="s">
        <v>74</v>
      </c>
      <c r="AR738" t="s">
        <v>1905</v>
      </c>
      <c r="AS738" t="s">
        <v>1906</v>
      </c>
      <c r="AT738" t="s">
        <v>12548</v>
      </c>
      <c r="AU738">
        <v>2011</v>
      </c>
      <c r="AV738">
        <v>34</v>
      </c>
      <c r="AW738">
        <v>4</v>
      </c>
      <c r="AX738" t="s">
        <v>74</v>
      </c>
      <c r="AY738" t="s">
        <v>74</v>
      </c>
      <c r="AZ738" t="s">
        <v>74</v>
      </c>
      <c r="BA738" t="s">
        <v>74</v>
      </c>
      <c r="BB738">
        <v>513</v>
      </c>
      <c r="BC738">
        <v>520</v>
      </c>
      <c r="BD738" t="s">
        <v>74</v>
      </c>
      <c r="BE738" t="s">
        <v>13432</v>
      </c>
      <c r="BF738" t="str">
        <f>HYPERLINK("http://dx.doi.org/10.1007/s00300-010-0905-x","http://dx.doi.org/10.1007/s00300-010-0905-x")</f>
        <v>http://dx.doi.org/10.1007/s00300-010-0905-x</v>
      </c>
      <c r="BG738" t="s">
        <v>74</v>
      </c>
      <c r="BH738" t="s">
        <v>74</v>
      </c>
      <c r="BI738">
        <v>8</v>
      </c>
      <c r="BJ738" t="s">
        <v>1908</v>
      </c>
      <c r="BK738" t="s">
        <v>100</v>
      </c>
      <c r="BL738" t="s">
        <v>1909</v>
      </c>
      <c r="BM738" t="s">
        <v>13433</v>
      </c>
      <c r="BN738" t="s">
        <v>74</v>
      </c>
      <c r="BO738" t="s">
        <v>74</v>
      </c>
      <c r="BP738" t="s">
        <v>74</v>
      </c>
      <c r="BQ738" t="s">
        <v>74</v>
      </c>
      <c r="BR738" t="s">
        <v>103</v>
      </c>
      <c r="BS738" t="s">
        <v>13434</v>
      </c>
      <c r="BT738" t="str">
        <f>HYPERLINK("https%3A%2F%2Fwww.webofscience.com%2Fwos%2Fwoscc%2Ffull-record%2FWOS:000288454400004","View Full Record in Web of Science")</f>
        <v>View Full Record in Web of Science</v>
      </c>
    </row>
    <row r="739" spans="1:72" x14ac:dyDescent="0.15">
      <c r="A739" t="s">
        <v>72</v>
      </c>
      <c r="B739" t="s">
        <v>13435</v>
      </c>
      <c r="C739" t="s">
        <v>74</v>
      </c>
      <c r="D739" t="s">
        <v>74</v>
      </c>
      <c r="E739" t="s">
        <v>74</v>
      </c>
      <c r="F739" t="s">
        <v>13436</v>
      </c>
      <c r="G739" t="s">
        <v>74</v>
      </c>
      <c r="H739" t="s">
        <v>74</v>
      </c>
      <c r="I739" t="s">
        <v>13437</v>
      </c>
      <c r="J739" t="s">
        <v>1889</v>
      </c>
      <c r="K739" t="s">
        <v>74</v>
      </c>
      <c r="L739" t="s">
        <v>74</v>
      </c>
      <c r="M739" t="s">
        <v>78</v>
      </c>
      <c r="N739" t="s">
        <v>79</v>
      </c>
      <c r="O739" t="s">
        <v>74</v>
      </c>
      <c r="P739" t="s">
        <v>74</v>
      </c>
      <c r="Q739" t="s">
        <v>74</v>
      </c>
      <c r="R739" t="s">
        <v>74</v>
      </c>
      <c r="S739" t="s">
        <v>74</v>
      </c>
      <c r="T739" t="s">
        <v>13438</v>
      </c>
      <c r="U739" t="s">
        <v>13439</v>
      </c>
      <c r="V739" t="s">
        <v>13440</v>
      </c>
      <c r="W739" t="s">
        <v>13441</v>
      </c>
      <c r="X739" t="s">
        <v>13442</v>
      </c>
      <c r="Y739" t="s">
        <v>13443</v>
      </c>
      <c r="Z739" t="s">
        <v>13444</v>
      </c>
      <c r="AA739" t="s">
        <v>13445</v>
      </c>
      <c r="AB739" t="s">
        <v>13446</v>
      </c>
      <c r="AC739" t="s">
        <v>13447</v>
      </c>
      <c r="AD739" t="s">
        <v>4493</v>
      </c>
      <c r="AE739" t="s">
        <v>13448</v>
      </c>
      <c r="AF739" t="s">
        <v>74</v>
      </c>
      <c r="AG739">
        <v>65</v>
      </c>
      <c r="AH739">
        <v>58</v>
      </c>
      <c r="AI739">
        <v>65</v>
      </c>
      <c r="AJ739">
        <v>1</v>
      </c>
      <c r="AK739">
        <v>40</v>
      </c>
      <c r="AL739" t="s">
        <v>1441</v>
      </c>
      <c r="AM739" t="s">
        <v>91</v>
      </c>
      <c r="AN739" t="s">
        <v>1902</v>
      </c>
      <c r="AO739" t="s">
        <v>1903</v>
      </c>
      <c r="AP739" t="s">
        <v>1904</v>
      </c>
      <c r="AQ739" t="s">
        <v>74</v>
      </c>
      <c r="AR739" t="s">
        <v>1905</v>
      </c>
      <c r="AS739" t="s">
        <v>1906</v>
      </c>
      <c r="AT739" t="s">
        <v>12548</v>
      </c>
      <c r="AU739">
        <v>2011</v>
      </c>
      <c r="AV739">
        <v>34</v>
      </c>
      <c r="AW739">
        <v>4</v>
      </c>
      <c r="AX739" t="s">
        <v>74</v>
      </c>
      <c r="AY739" t="s">
        <v>74</v>
      </c>
      <c r="AZ739" t="s">
        <v>74</v>
      </c>
      <c r="BA739" t="s">
        <v>74</v>
      </c>
      <c r="BB739">
        <v>575</v>
      </c>
      <c r="BC739">
        <v>586</v>
      </c>
      <c r="BD739" t="s">
        <v>74</v>
      </c>
      <c r="BE739" t="s">
        <v>13449</v>
      </c>
      <c r="BF739" t="str">
        <f>HYPERLINK("http://dx.doi.org/10.1007/s00300-010-0916-7","http://dx.doi.org/10.1007/s00300-010-0916-7")</f>
        <v>http://dx.doi.org/10.1007/s00300-010-0916-7</v>
      </c>
      <c r="BG739" t="s">
        <v>74</v>
      </c>
      <c r="BH739" t="s">
        <v>74</v>
      </c>
      <c r="BI739">
        <v>12</v>
      </c>
      <c r="BJ739" t="s">
        <v>1908</v>
      </c>
      <c r="BK739" t="s">
        <v>100</v>
      </c>
      <c r="BL739" t="s">
        <v>1909</v>
      </c>
      <c r="BM739" t="s">
        <v>13433</v>
      </c>
      <c r="BN739" t="s">
        <v>74</v>
      </c>
      <c r="BO739" t="s">
        <v>74</v>
      </c>
      <c r="BP739" t="s">
        <v>74</v>
      </c>
      <c r="BQ739" t="s">
        <v>74</v>
      </c>
      <c r="BR739" t="s">
        <v>103</v>
      </c>
      <c r="BS739" t="s">
        <v>13450</v>
      </c>
      <c r="BT739" t="str">
        <f>HYPERLINK("https%3A%2F%2Fwww.webofscience.com%2Fwos%2Fwoscc%2Ffull-record%2FWOS:000288454400010","View Full Record in Web of Science")</f>
        <v>View Full Record in Web of Science</v>
      </c>
    </row>
    <row r="740" spans="1:72" x14ac:dyDescent="0.15">
      <c r="A740" t="s">
        <v>72</v>
      </c>
      <c r="B740" t="s">
        <v>13451</v>
      </c>
      <c r="C740" t="s">
        <v>74</v>
      </c>
      <c r="D740" t="s">
        <v>74</v>
      </c>
      <c r="E740" t="s">
        <v>74</v>
      </c>
      <c r="F740" t="s">
        <v>13452</v>
      </c>
      <c r="G740" t="s">
        <v>74</v>
      </c>
      <c r="H740" t="s">
        <v>74</v>
      </c>
      <c r="I740" t="s">
        <v>13453</v>
      </c>
      <c r="J740" t="s">
        <v>1889</v>
      </c>
      <c r="K740" t="s">
        <v>74</v>
      </c>
      <c r="L740" t="s">
        <v>74</v>
      </c>
      <c r="M740" t="s">
        <v>78</v>
      </c>
      <c r="N740" t="s">
        <v>79</v>
      </c>
      <c r="O740" t="s">
        <v>74</v>
      </c>
      <c r="P740" t="s">
        <v>74</v>
      </c>
      <c r="Q740" t="s">
        <v>74</v>
      </c>
      <c r="R740" t="s">
        <v>74</v>
      </c>
      <c r="S740" t="s">
        <v>74</v>
      </c>
      <c r="T740" t="s">
        <v>13454</v>
      </c>
      <c r="U740" t="s">
        <v>13455</v>
      </c>
      <c r="V740" t="s">
        <v>13456</v>
      </c>
      <c r="W740" t="s">
        <v>13457</v>
      </c>
      <c r="X740" t="s">
        <v>13458</v>
      </c>
      <c r="Y740" t="s">
        <v>13459</v>
      </c>
      <c r="Z740" t="s">
        <v>13460</v>
      </c>
      <c r="AA740" t="s">
        <v>1590</v>
      </c>
      <c r="AB740" t="s">
        <v>13461</v>
      </c>
      <c r="AC740" t="s">
        <v>13462</v>
      </c>
      <c r="AD740" t="s">
        <v>13463</v>
      </c>
      <c r="AE740" t="s">
        <v>13464</v>
      </c>
      <c r="AF740" t="s">
        <v>74</v>
      </c>
      <c r="AG740">
        <v>20</v>
      </c>
      <c r="AH740">
        <v>7</v>
      </c>
      <c r="AI740">
        <v>7</v>
      </c>
      <c r="AJ740">
        <v>1</v>
      </c>
      <c r="AK740">
        <v>22</v>
      </c>
      <c r="AL740" t="s">
        <v>1441</v>
      </c>
      <c r="AM740" t="s">
        <v>91</v>
      </c>
      <c r="AN740" t="s">
        <v>1595</v>
      </c>
      <c r="AO740" t="s">
        <v>1903</v>
      </c>
      <c r="AP740" t="s">
        <v>74</v>
      </c>
      <c r="AQ740" t="s">
        <v>74</v>
      </c>
      <c r="AR740" t="s">
        <v>1905</v>
      </c>
      <c r="AS740" t="s">
        <v>1906</v>
      </c>
      <c r="AT740" t="s">
        <v>12548</v>
      </c>
      <c r="AU740">
        <v>2011</v>
      </c>
      <c r="AV740">
        <v>34</v>
      </c>
      <c r="AW740">
        <v>4</v>
      </c>
      <c r="AX740" t="s">
        <v>74</v>
      </c>
      <c r="AY740" t="s">
        <v>74</v>
      </c>
      <c r="AZ740" t="s">
        <v>74</v>
      </c>
      <c r="BA740" t="s">
        <v>74</v>
      </c>
      <c r="BB740">
        <v>587</v>
      </c>
      <c r="BC740">
        <v>590</v>
      </c>
      <c r="BD740" t="s">
        <v>74</v>
      </c>
      <c r="BE740" t="s">
        <v>13465</v>
      </c>
      <c r="BF740" t="str">
        <f>HYPERLINK("http://dx.doi.org/10.1007/s00300-010-0902-0","http://dx.doi.org/10.1007/s00300-010-0902-0")</f>
        <v>http://dx.doi.org/10.1007/s00300-010-0902-0</v>
      </c>
      <c r="BG740" t="s">
        <v>74</v>
      </c>
      <c r="BH740" t="s">
        <v>74</v>
      </c>
      <c r="BI740">
        <v>4</v>
      </c>
      <c r="BJ740" t="s">
        <v>1908</v>
      </c>
      <c r="BK740" t="s">
        <v>100</v>
      </c>
      <c r="BL740" t="s">
        <v>1909</v>
      </c>
      <c r="BM740" t="s">
        <v>13433</v>
      </c>
      <c r="BN740" t="s">
        <v>74</v>
      </c>
      <c r="BO740" t="s">
        <v>74</v>
      </c>
      <c r="BP740" t="s">
        <v>74</v>
      </c>
      <c r="BQ740" t="s">
        <v>74</v>
      </c>
      <c r="BR740" t="s">
        <v>103</v>
      </c>
      <c r="BS740" t="s">
        <v>13466</v>
      </c>
      <c r="BT740" t="str">
        <f>HYPERLINK("https%3A%2F%2Fwww.webofscience.com%2Fwos%2Fwoscc%2Ffull-record%2FWOS:000288454400011","View Full Record in Web of Science")</f>
        <v>View Full Record in Web of Science</v>
      </c>
    </row>
    <row r="741" spans="1:72" x14ac:dyDescent="0.15">
      <c r="A741" t="s">
        <v>72</v>
      </c>
      <c r="B741" t="s">
        <v>13467</v>
      </c>
      <c r="C741" t="s">
        <v>74</v>
      </c>
      <c r="D741" t="s">
        <v>74</v>
      </c>
      <c r="E741" t="s">
        <v>74</v>
      </c>
      <c r="F741" t="s">
        <v>13468</v>
      </c>
      <c r="G741" t="s">
        <v>74</v>
      </c>
      <c r="H741" t="s">
        <v>74</v>
      </c>
      <c r="I741" t="s">
        <v>13469</v>
      </c>
      <c r="J741" t="s">
        <v>13470</v>
      </c>
      <c r="K741" t="s">
        <v>74</v>
      </c>
      <c r="L741" t="s">
        <v>74</v>
      </c>
      <c r="M741" t="s">
        <v>78</v>
      </c>
      <c r="N741" t="s">
        <v>79</v>
      </c>
      <c r="O741" t="s">
        <v>74</v>
      </c>
      <c r="P741" t="s">
        <v>74</v>
      </c>
      <c r="Q741" t="s">
        <v>74</v>
      </c>
      <c r="R741" t="s">
        <v>74</v>
      </c>
      <c r="S741" t="s">
        <v>74</v>
      </c>
      <c r="T741" t="s">
        <v>74</v>
      </c>
      <c r="U741" t="s">
        <v>13471</v>
      </c>
      <c r="V741" t="s">
        <v>13472</v>
      </c>
      <c r="W741" t="s">
        <v>13473</v>
      </c>
      <c r="X741" t="s">
        <v>13474</v>
      </c>
      <c r="Y741" t="s">
        <v>13475</v>
      </c>
      <c r="Z741" t="s">
        <v>13476</v>
      </c>
      <c r="AA741" t="s">
        <v>13477</v>
      </c>
      <c r="AB741" t="s">
        <v>13478</v>
      </c>
      <c r="AC741" t="s">
        <v>13479</v>
      </c>
      <c r="AD741" t="s">
        <v>13480</v>
      </c>
      <c r="AE741" t="s">
        <v>13481</v>
      </c>
      <c r="AF741" t="s">
        <v>74</v>
      </c>
      <c r="AG741">
        <v>78</v>
      </c>
      <c r="AH741">
        <v>9</v>
      </c>
      <c r="AI741">
        <v>10</v>
      </c>
      <c r="AJ741">
        <v>1</v>
      </c>
      <c r="AK741">
        <v>20</v>
      </c>
      <c r="AL741" t="s">
        <v>1014</v>
      </c>
      <c r="AM741" t="s">
        <v>1015</v>
      </c>
      <c r="AN741" t="s">
        <v>1016</v>
      </c>
      <c r="AO741" t="s">
        <v>13482</v>
      </c>
      <c r="AP741" t="s">
        <v>74</v>
      </c>
      <c r="AQ741" t="s">
        <v>74</v>
      </c>
      <c r="AR741" t="s">
        <v>13483</v>
      </c>
      <c r="AS741" t="s">
        <v>13484</v>
      </c>
      <c r="AT741" t="s">
        <v>12548</v>
      </c>
      <c r="AU741">
        <v>2011</v>
      </c>
      <c r="AV741">
        <v>63</v>
      </c>
      <c r="AW741">
        <v>2</v>
      </c>
      <c r="AX741" t="s">
        <v>74</v>
      </c>
      <c r="AY741" t="s">
        <v>74</v>
      </c>
      <c r="AZ741" t="s">
        <v>74</v>
      </c>
      <c r="BA741" t="s">
        <v>74</v>
      </c>
      <c r="BB741">
        <v>266</v>
      </c>
      <c r="BC741">
        <v>286</v>
      </c>
      <c r="BD741" t="s">
        <v>74</v>
      </c>
      <c r="BE741" t="s">
        <v>13485</v>
      </c>
      <c r="BF741" t="str">
        <f>HYPERLINK("http://dx.doi.org/10.1111/j.1600-0889.2011.00526.x","http://dx.doi.org/10.1111/j.1600-0889.2011.00526.x")</f>
        <v>http://dx.doi.org/10.1111/j.1600-0889.2011.00526.x</v>
      </c>
      <c r="BG741" t="s">
        <v>74</v>
      </c>
      <c r="BH741" t="s">
        <v>74</v>
      </c>
      <c r="BI741">
        <v>21</v>
      </c>
      <c r="BJ741" t="s">
        <v>248</v>
      </c>
      <c r="BK741" t="s">
        <v>100</v>
      </c>
      <c r="BL741" t="s">
        <v>248</v>
      </c>
      <c r="BM741" t="s">
        <v>13486</v>
      </c>
      <c r="BN741" t="s">
        <v>74</v>
      </c>
      <c r="BO741" t="s">
        <v>1284</v>
      </c>
      <c r="BP741" t="s">
        <v>74</v>
      </c>
      <c r="BQ741" t="s">
        <v>74</v>
      </c>
      <c r="BR741" t="s">
        <v>103</v>
      </c>
      <c r="BS741" t="s">
        <v>13487</v>
      </c>
      <c r="BT741" t="str">
        <f>HYPERLINK("https%3A%2F%2Fwww.webofscience.com%2Fwos%2Fwoscc%2Ffull-record%2FWOS:000288516400009","View Full Record in Web of Science")</f>
        <v>View Full Record in Web of Science</v>
      </c>
    </row>
    <row r="742" spans="1:72" x14ac:dyDescent="0.15">
      <c r="A742" t="s">
        <v>72</v>
      </c>
      <c r="B742" t="s">
        <v>13488</v>
      </c>
      <c r="C742" t="s">
        <v>74</v>
      </c>
      <c r="D742" t="s">
        <v>74</v>
      </c>
      <c r="E742" t="s">
        <v>74</v>
      </c>
      <c r="F742" t="s">
        <v>13489</v>
      </c>
      <c r="G742" t="s">
        <v>74</v>
      </c>
      <c r="H742" t="s">
        <v>74</v>
      </c>
      <c r="I742" t="s">
        <v>13490</v>
      </c>
      <c r="J742" t="s">
        <v>707</v>
      </c>
      <c r="K742" t="s">
        <v>74</v>
      </c>
      <c r="L742" t="s">
        <v>74</v>
      </c>
      <c r="M742" t="s">
        <v>78</v>
      </c>
      <c r="N742" t="s">
        <v>2002</v>
      </c>
      <c r="O742" t="s">
        <v>74</v>
      </c>
      <c r="P742" t="s">
        <v>74</v>
      </c>
      <c r="Q742" t="s">
        <v>74</v>
      </c>
      <c r="R742" t="s">
        <v>74</v>
      </c>
      <c r="S742" t="s">
        <v>74</v>
      </c>
      <c r="T742" t="s">
        <v>74</v>
      </c>
      <c r="U742" t="s">
        <v>74</v>
      </c>
      <c r="V742" t="s">
        <v>74</v>
      </c>
      <c r="W742" t="s">
        <v>74</v>
      </c>
      <c r="X742" t="s">
        <v>74</v>
      </c>
      <c r="Y742" t="s">
        <v>74</v>
      </c>
      <c r="Z742" t="s">
        <v>74</v>
      </c>
      <c r="AA742" t="s">
        <v>74</v>
      </c>
      <c r="AB742" t="s">
        <v>74</v>
      </c>
      <c r="AC742" t="s">
        <v>74</v>
      </c>
      <c r="AD742" t="s">
        <v>74</v>
      </c>
      <c r="AE742" t="s">
        <v>74</v>
      </c>
      <c r="AF742" t="s">
        <v>74</v>
      </c>
      <c r="AG742">
        <v>0</v>
      </c>
      <c r="AH742">
        <v>3</v>
      </c>
      <c r="AI742">
        <v>3</v>
      </c>
      <c r="AJ742">
        <v>0</v>
      </c>
      <c r="AK742">
        <v>3</v>
      </c>
      <c r="AL742" t="s">
        <v>693</v>
      </c>
      <c r="AM742" t="s">
        <v>91</v>
      </c>
      <c r="AN742" t="s">
        <v>694</v>
      </c>
      <c r="AO742" t="s">
        <v>717</v>
      </c>
      <c r="AP742" t="s">
        <v>74</v>
      </c>
      <c r="AQ742" t="s">
        <v>74</v>
      </c>
      <c r="AR742" t="s">
        <v>719</v>
      </c>
      <c r="AS742" t="s">
        <v>720</v>
      </c>
      <c r="AT742" t="s">
        <v>12548</v>
      </c>
      <c r="AU742">
        <v>2011</v>
      </c>
      <c r="AV742">
        <v>23</v>
      </c>
      <c r="AW742">
        <v>2</v>
      </c>
      <c r="AX742" t="s">
        <v>74</v>
      </c>
      <c r="AY742" t="s">
        <v>74</v>
      </c>
      <c r="AZ742" t="s">
        <v>74</v>
      </c>
      <c r="BA742" t="s">
        <v>74</v>
      </c>
      <c r="BB742">
        <v>105</v>
      </c>
      <c r="BC742">
        <v>105</v>
      </c>
      <c r="BD742" t="s">
        <v>74</v>
      </c>
      <c r="BE742" t="s">
        <v>13491</v>
      </c>
      <c r="BF742" t="str">
        <f>HYPERLINK("http://dx.doi.org/10.1017/S0954102011000149","http://dx.doi.org/10.1017/S0954102011000149")</f>
        <v>http://dx.doi.org/10.1017/S0954102011000149</v>
      </c>
      <c r="BG742" t="s">
        <v>74</v>
      </c>
      <c r="BH742" t="s">
        <v>74</v>
      </c>
      <c r="BI742">
        <v>1</v>
      </c>
      <c r="BJ742" t="s">
        <v>722</v>
      </c>
      <c r="BK742" t="s">
        <v>100</v>
      </c>
      <c r="BL742" t="s">
        <v>723</v>
      </c>
      <c r="BM742" t="s">
        <v>13492</v>
      </c>
      <c r="BN742" t="s">
        <v>74</v>
      </c>
      <c r="BO742" t="s">
        <v>152</v>
      </c>
      <c r="BP742" t="s">
        <v>74</v>
      </c>
      <c r="BQ742" t="s">
        <v>74</v>
      </c>
      <c r="BR742" t="s">
        <v>103</v>
      </c>
      <c r="BS742" t="s">
        <v>13493</v>
      </c>
      <c r="BT742" t="str">
        <f>HYPERLINK("https%3A%2F%2Fwww.webofscience.com%2Fwos%2Fwoscc%2Ffull-record%2FWOS:000288080600001","View Full Record in Web of Science")</f>
        <v>View Full Record in Web of Science</v>
      </c>
    </row>
    <row r="743" spans="1:72" x14ac:dyDescent="0.15">
      <c r="A743" t="s">
        <v>72</v>
      </c>
      <c r="B743" t="s">
        <v>13494</v>
      </c>
      <c r="C743" t="s">
        <v>74</v>
      </c>
      <c r="D743" t="s">
        <v>74</v>
      </c>
      <c r="E743" t="s">
        <v>74</v>
      </c>
      <c r="F743" t="s">
        <v>13495</v>
      </c>
      <c r="G743" t="s">
        <v>74</v>
      </c>
      <c r="H743" t="s">
        <v>74</v>
      </c>
      <c r="I743" t="s">
        <v>13496</v>
      </c>
      <c r="J743" t="s">
        <v>707</v>
      </c>
      <c r="K743" t="s">
        <v>74</v>
      </c>
      <c r="L743" t="s">
        <v>74</v>
      </c>
      <c r="M743" t="s">
        <v>78</v>
      </c>
      <c r="N743" t="s">
        <v>79</v>
      </c>
      <c r="O743" t="s">
        <v>74</v>
      </c>
      <c r="P743" t="s">
        <v>74</v>
      </c>
      <c r="Q743" t="s">
        <v>74</v>
      </c>
      <c r="R743" t="s">
        <v>74</v>
      </c>
      <c r="S743" t="s">
        <v>74</v>
      </c>
      <c r="T743" t="s">
        <v>13497</v>
      </c>
      <c r="U743" t="s">
        <v>13498</v>
      </c>
      <c r="V743" t="s">
        <v>13499</v>
      </c>
      <c r="W743" t="s">
        <v>13500</v>
      </c>
      <c r="X743" t="s">
        <v>13501</v>
      </c>
      <c r="Y743" t="s">
        <v>13502</v>
      </c>
      <c r="Z743" t="s">
        <v>13503</v>
      </c>
      <c r="AA743" t="s">
        <v>13504</v>
      </c>
      <c r="AB743" t="s">
        <v>13505</v>
      </c>
      <c r="AC743" t="s">
        <v>13506</v>
      </c>
      <c r="AD743" t="s">
        <v>13507</v>
      </c>
      <c r="AE743" t="s">
        <v>13508</v>
      </c>
      <c r="AF743" t="s">
        <v>74</v>
      </c>
      <c r="AG743">
        <v>39</v>
      </c>
      <c r="AH743">
        <v>45</v>
      </c>
      <c r="AI743">
        <v>50</v>
      </c>
      <c r="AJ743">
        <v>1</v>
      </c>
      <c r="AK743">
        <v>52</v>
      </c>
      <c r="AL743" t="s">
        <v>693</v>
      </c>
      <c r="AM743" t="s">
        <v>91</v>
      </c>
      <c r="AN743" t="s">
        <v>694</v>
      </c>
      <c r="AO743" t="s">
        <v>717</v>
      </c>
      <c r="AP743" t="s">
        <v>74</v>
      </c>
      <c r="AQ743" t="s">
        <v>74</v>
      </c>
      <c r="AR743" t="s">
        <v>719</v>
      </c>
      <c r="AS743" t="s">
        <v>720</v>
      </c>
      <c r="AT743" t="s">
        <v>12548</v>
      </c>
      <c r="AU743">
        <v>2011</v>
      </c>
      <c r="AV743">
        <v>23</v>
      </c>
      <c r="AW743">
        <v>2</v>
      </c>
      <c r="AX743" t="s">
        <v>74</v>
      </c>
      <c r="AY743" t="s">
        <v>74</v>
      </c>
      <c r="AZ743" t="s">
        <v>74</v>
      </c>
      <c r="BA743" t="s">
        <v>74</v>
      </c>
      <c r="BB743">
        <v>117</v>
      </c>
      <c r="BC743">
        <v>126</v>
      </c>
      <c r="BD743" t="s">
        <v>74</v>
      </c>
      <c r="BE743" t="s">
        <v>13509</v>
      </c>
      <c r="BF743" t="str">
        <f>HYPERLINK("http://dx.doi.org/10.1017/S0954102010000957","http://dx.doi.org/10.1017/S0954102010000957")</f>
        <v>http://dx.doi.org/10.1017/S0954102010000957</v>
      </c>
      <c r="BG743" t="s">
        <v>74</v>
      </c>
      <c r="BH743" t="s">
        <v>74</v>
      </c>
      <c r="BI743">
        <v>10</v>
      </c>
      <c r="BJ743" t="s">
        <v>722</v>
      </c>
      <c r="BK743" t="s">
        <v>100</v>
      </c>
      <c r="BL743" t="s">
        <v>723</v>
      </c>
      <c r="BM743" t="s">
        <v>13492</v>
      </c>
      <c r="BN743" t="s">
        <v>74</v>
      </c>
      <c r="BO743" t="s">
        <v>273</v>
      </c>
      <c r="BP743" t="s">
        <v>74</v>
      </c>
      <c r="BQ743" t="s">
        <v>74</v>
      </c>
      <c r="BR743" t="s">
        <v>103</v>
      </c>
      <c r="BS743" t="s">
        <v>13510</v>
      </c>
      <c r="BT743" t="str">
        <f>HYPERLINK("https%3A%2F%2Fwww.webofscience.com%2Fwos%2Fwoscc%2Ffull-record%2FWOS:000288080600003","View Full Record in Web of Science")</f>
        <v>View Full Record in Web of Science</v>
      </c>
    </row>
    <row r="744" spans="1:72" x14ac:dyDescent="0.15">
      <c r="A744" t="s">
        <v>72</v>
      </c>
      <c r="B744" t="s">
        <v>13511</v>
      </c>
      <c r="C744" t="s">
        <v>74</v>
      </c>
      <c r="D744" t="s">
        <v>74</v>
      </c>
      <c r="E744" t="s">
        <v>74</v>
      </c>
      <c r="F744" t="s">
        <v>13512</v>
      </c>
      <c r="G744" t="s">
        <v>74</v>
      </c>
      <c r="H744" t="s">
        <v>74</v>
      </c>
      <c r="I744" t="s">
        <v>13513</v>
      </c>
      <c r="J744" t="s">
        <v>707</v>
      </c>
      <c r="K744" t="s">
        <v>74</v>
      </c>
      <c r="L744" t="s">
        <v>74</v>
      </c>
      <c r="M744" t="s">
        <v>78</v>
      </c>
      <c r="N744" t="s">
        <v>79</v>
      </c>
      <c r="O744" t="s">
        <v>74</v>
      </c>
      <c r="P744" t="s">
        <v>74</v>
      </c>
      <c r="Q744" t="s">
        <v>74</v>
      </c>
      <c r="R744" t="s">
        <v>74</v>
      </c>
      <c r="S744" t="s">
        <v>74</v>
      </c>
      <c r="T744" t="s">
        <v>13514</v>
      </c>
      <c r="U744" t="s">
        <v>13515</v>
      </c>
      <c r="V744" t="s">
        <v>13516</v>
      </c>
      <c r="W744" t="s">
        <v>13517</v>
      </c>
      <c r="X744" t="s">
        <v>13518</v>
      </c>
      <c r="Y744" t="s">
        <v>13519</v>
      </c>
      <c r="Z744" t="s">
        <v>13520</v>
      </c>
      <c r="AA744" t="s">
        <v>74</v>
      </c>
      <c r="AB744" t="s">
        <v>13521</v>
      </c>
      <c r="AC744" t="s">
        <v>13522</v>
      </c>
      <c r="AD744" t="s">
        <v>13523</v>
      </c>
      <c r="AE744" t="s">
        <v>13524</v>
      </c>
      <c r="AF744" t="s">
        <v>74</v>
      </c>
      <c r="AG744">
        <v>49</v>
      </c>
      <c r="AH744">
        <v>18</v>
      </c>
      <c r="AI744">
        <v>22</v>
      </c>
      <c r="AJ744">
        <v>1</v>
      </c>
      <c r="AK744">
        <v>23</v>
      </c>
      <c r="AL744" t="s">
        <v>693</v>
      </c>
      <c r="AM744" t="s">
        <v>91</v>
      </c>
      <c r="AN744" t="s">
        <v>694</v>
      </c>
      <c r="AO744" t="s">
        <v>717</v>
      </c>
      <c r="AP744" t="s">
        <v>718</v>
      </c>
      <c r="AQ744" t="s">
        <v>74</v>
      </c>
      <c r="AR744" t="s">
        <v>719</v>
      </c>
      <c r="AS744" t="s">
        <v>720</v>
      </c>
      <c r="AT744" t="s">
        <v>12548</v>
      </c>
      <c r="AU744">
        <v>2011</v>
      </c>
      <c r="AV744">
        <v>23</v>
      </c>
      <c r="AW744">
        <v>2</v>
      </c>
      <c r="AX744" t="s">
        <v>74</v>
      </c>
      <c r="AY744" t="s">
        <v>74</v>
      </c>
      <c r="AZ744" t="s">
        <v>74</v>
      </c>
      <c r="BA744" t="s">
        <v>74</v>
      </c>
      <c r="BB744">
        <v>164</v>
      </c>
      <c r="BC744">
        <v>179</v>
      </c>
      <c r="BD744" t="s">
        <v>74</v>
      </c>
      <c r="BE744" t="s">
        <v>13525</v>
      </c>
      <c r="BF744" t="str">
        <f>HYPERLINK("http://dx.doi.org/10.1017/S0954102010000830","http://dx.doi.org/10.1017/S0954102010000830")</f>
        <v>http://dx.doi.org/10.1017/S0954102010000830</v>
      </c>
      <c r="BG744" t="s">
        <v>74</v>
      </c>
      <c r="BH744" t="s">
        <v>74</v>
      </c>
      <c r="BI744">
        <v>16</v>
      </c>
      <c r="BJ744" t="s">
        <v>722</v>
      </c>
      <c r="BK744" t="s">
        <v>100</v>
      </c>
      <c r="BL744" t="s">
        <v>723</v>
      </c>
      <c r="BM744" t="s">
        <v>13492</v>
      </c>
      <c r="BN744" t="s">
        <v>74</v>
      </c>
      <c r="BO744" t="s">
        <v>74</v>
      </c>
      <c r="BP744" t="s">
        <v>74</v>
      </c>
      <c r="BQ744" t="s">
        <v>74</v>
      </c>
      <c r="BR744" t="s">
        <v>103</v>
      </c>
      <c r="BS744" t="s">
        <v>13526</v>
      </c>
      <c r="BT744" t="str">
        <f>HYPERLINK("https%3A%2F%2Fwww.webofscience.com%2Fwos%2Fwoscc%2Ffull-record%2FWOS:000288080600009","View Full Record in Web of Science")</f>
        <v>View Full Record in Web of Science</v>
      </c>
    </row>
    <row r="745" spans="1:72" x14ac:dyDescent="0.15">
      <c r="A745" t="s">
        <v>72</v>
      </c>
      <c r="B745" t="s">
        <v>13527</v>
      </c>
      <c r="C745" t="s">
        <v>74</v>
      </c>
      <c r="D745" t="s">
        <v>74</v>
      </c>
      <c r="E745" t="s">
        <v>74</v>
      </c>
      <c r="F745" t="s">
        <v>13528</v>
      </c>
      <c r="G745" t="s">
        <v>74</v>
      </c>
      <c r="H745" t="s">
        <v>74</v>
      </c>
      <c r="I745" t="s">
        <v>13529</v>
      </c>
      <c r="J745" t="s">
        <v>707</v>
      </c>
      <c r="K745" t="s">
        <v>74</v>
      </c>
      <c r="L745" t="s">
        <v>74</v>
      </c>
      <c r="M745" t="s">
        <v>78</v>
      </c>
      <c r="N745" t="s">
        <v>79</v>
      </c>
      <c r="O745" t="s">
        <v>74</v>
      </c>
      <c r="P745" t="s">
        <v>74</v>
      </c>
      <c r="Q745" t="s">
        <v>74</v>
      </c>
      <c r="R745" t="s">
        <v>74</v>
      </c>
      <c r="S745" t="s">
        <v>74</v>
      </c>
      <c r="T745" t="s">
        <v>13530</v>
      </c>
      <c r="U745" t="s">
        <v>13531</v>
      </c>
      <c r="V745" t="s">
        <v>13532</v>
      </c>
      <c r="W745" t="s">
        <v>13533</v>
      </c>
      <c r="X745" t="s">
        <v>13534</v>
      </c>
      <c r="Y745" t="s">
        <v>13535</v>
      </c>
      <c r="Z745" t="s">
        <v>13536</v>
      </c>
      <c r="AA745" t="s">
        <v>13537</v>
      </c>
      <c r="AB745" t="s">
        <v>13538</v>
      </c>
      <c r="AC745" t="s">
        <v>13539</v>
      </c>
      <c r="AD745" t="s">
        <v>13540</v>
      </c>
      <c r="AE745" t="s">
        <v>13541</v>
      </c>
      <c r="AF745" t="s">
        <v>74</v>
      </c>
      <c r="AG745">
        <v>34</v>
      </c>
      <c r="AH745">
        <v>10</v>
      </c>
      <c r="AI745">
        <v>10</v>
      </c>
      <c r="AJ745">
        <v>0</v>
      </c>
      <c r="AK745">
        <v>7</v>
      </c>
      <c r="AL745" t="s">
        <v>693</v>
      </c>
      <c r="AM745" t="s">
        <v>91</v>
      </c>
      <c r="AN745" t="s">
        <v>694</v>
      </c>
      <c r="AO745" t="s">
        <v>717</v>
      </c>
      <c r="AP745" t="s">
        <v>74</v>
      </c>
      <c r="AQ745" t="s">
        <v>74</v>
      </c>
      <c r="AR745" t="s">
        <v>719</v>
      </c>
      <c r="AS745" t="s">
        <v>720</v>
      </c>
      <c r="AT745" t="s">
        <v>12548</v>
      </c>
      <c r="AU745">
        <v>2011</v>
      </c>
      <c r="AV745">
        <v>23</v>
      </c>
      <c r="AW745">
        <v>2</v>
      </c>
      <c r="AX745" t="s">
        <v>74</v>
      </c>
      <c r="AY745" t="s">
        <v>74</v>
      </c>
      <c r="AZ745" t="s">
        <v>74</v>
      </c>
      <c r="BA745" t="s">
        <v>74</v>
      </c>
      <c r="BB745">
        <v>180</v>
      </c>
      <c r="BC745">
        <v>187</v>
      </c>
      <c r="BD745" t="s">
        <v>74</v>
      </c>
      <c r="BE745" t="s">
        <v>13542</v>
      </c>
      <c r="BF745" t="str">
        <f>HYPERLINK("http://dx.doi.org/10.1017/S0954102010000842","http://dx.doi.org/10.1017/S0954102010000842")</f>
        <v>http://dx.doi.org/10.1017/S0954102010000842</v>
      </c>
      <c r="BG745" t="s">
        <v>74</v>
      </c>
      <c r="BH745" t="s">
        <v>74</v>
      </c>
      <c r="BI745">
        <v>8</v>
      </c>
      <c r="BJ745" t="s">
        <v>722</v>
      </c>
      <c r="BK745" t="s">
        <v>100</v>
      </c>
      <c r="BL745" t="s">
        <v>723</v>
      </c>
      <c r="BM745" t="s">
        <v>13492</v>
      </c>
      <c r="BN745" t="s">
        <v>74</v>
      </c>
      <c r="BO745" t="s">
        <v>273</v>
      </c>
      <c r="BP745" t="s">
        <v>74</v>
      </c>
      <c r="BQ745" t="s">
        <v>74</v>
      </c>
      <c r="BR745" t="s">
        <v>103</v>
      </c>
      <c r="BS745" t="s">
        <v>13543</v>
      </c>
      <c r="BT745" t="str">
        <f>HYPERLINK("https%3A%2F%2Fwww.webofscience.com%2Fwos%2Fwoscc%2Ffull-record%2FWOS:000288080600010","View Full Record in Web of Science")</f>
        <v>View Full Record in Web of Science</v>
      </c>
    </row>
    <row r="746" spans="1:72" x14ac:dyDescent="0.15">
      <c r="A746" t="s">
        <v>72</v>
      </c>
      <c r="B746" t="s">
        <v>13544</v>
      </c>
      <c r="C746" t="s">
        <v>74</v>
      </c>
      <c r="D746" t="s">
        <v>74</v>
      </c>
      <c r="E746" t="s">
        <v>74</v>
      </c>
      <c r="F746" t="s">
        <v>13545</v>
      </c>
      <c r="G746" t="s">
        <v>74</v>
      </c>
      <c r="H746" t="s">
        <v>74</v>
      </c>
      <c r="I746" t="s">
        <v>13546</v>
      </c>
      <c r="J746" t="s">
        <v>4435</v>
      </c>
      <c r="K746" t="s">
        <v>74</v>
      </c>
      <c r="L746" t="s">
        <v>74</v>
      </c>
      <c r="M746" t="s">
        <v>78</v>
      </c>
      <c r="N746" t="s">
        <v>79</v>
      </c>
      <c r="O746" t="s">
        <v>74</v>
      </c>
      <c r="P746" t="s">
        <v>74</v>
      </c>
      <c r="Q746" t="s">
        <v>74</v>
      </c>
      <c r="R746" t="s">
        <v>74</v>
      </c>
      <c r="S746" t="s">
        <v>74</v>
      </c>
      <c r="T746" t="s">
        <v>13547</v>
      </c>
      <c r="U746" t="s">
        <v>13548</v>
      </c>
      <c r="V746" t="s">
        <v>13549</v>
      </c>
      <c r="W746" t="s">
        <v>13550</v>
      </c>
      <c r="X746" t="s">
        <v>13551</v>
      </c>
      <c r="Y746" t="s">
        <v>13552</v>
      </c>
      <c r="Z746" t="s">
        <v>3582</v>
      </c>
      <c r="AA746" t="s">
        <v>6678</v>
      </c>
      <c r="AB746" t="s">
        <v>6679</v>
      </c>
      <c r="AC746" t="s">
        <v>13553</v>
      </c>
      <c r="AD746" t="s">
        <v>13554</v>
      </c>
      <c r="AE746" t="s">
        <v>13555</v>
      </c>
      <c r="AF746" t="s">
        <v>74</v>
      </c>
      <c r="AG746">
        <v>45</v>
      </c>
      <c r="AH746">
        <v>16</v>
      </c>
      <c r="AI746">
        <v>16</v>
      </c>
      <c r="AJ746">
        <v>2</v>
      </c>
      <c r="AK746">
        <v>21</v>
      </c>
      <c r="AL746" t="s">
        <v>926</v>
      </c>
      <c r="AM746" t="s">
        <v>508</v>
      </c>
      <c r="AN746" t="s">
        <v>927</v>
      </c>
      <c r="AO746" t="s">
        <v>4448</v>
      </c>
      <c r="AP746" t="s">
        <v>4449</v>
      </c>
      <c r="AQ746" t="s">
        <v>74</v>
      </c>
      <c r="AR746" t="s">
        <v>4450</v>
      </c>
      <c r="AS746" t="s">
        <v>4451</v>
      </c>
      <c r="AT746" t="s">
        <v>12548</v>
      </c>
      <c r="AU746">
        <v>2011</v>
      </c>
      <c r="AV746">
        <v>45</v>
      </c>
      <c r="AW746">
        <v>11</v>
      </c>
      <c r="AX746" t="s">
        <v>74</v>
      </c>
      <c r="AY746" t="s">
        <v>74</v>
      </c>
      <c r="AZ746" t="s">
        <v>74</v>
      </c>
      <c r="BA746" t="s">
        <v>74</v>
      </c>
      <c r="BB746">
        <v>1970</v>
      </c>
      <c r="BC746">
        <v>1978</v>
      </c>
      <c r="BD746" t="s">
        <v>74</v>
      </c>
      <c r="BE746" t="s">
        <v>13556</v>
      </c>
      <c r="BF746" t="str">
        <f>HYPERLINK("http://dx.doi.org/10.1016/j.atmosenv.2011.01.023","http://dx.doi.org/10.1016/j.atmosenv.2011.01.023")</f>
        <v>http://dx.doi.org/10.1016/j.atmosenv.2011.01.023</v>
      </c>
      <c r="BG746" t="s">
        <v>74</v>
      </c>
      <c r="BH746" t="s">
        <v>74</v>
      </c>
      <c r="BI746">
        <v>9</v>
      </c>
      <c r="BJ746" t="s">
        <v>4453</v>
      </c>
      <c r="BK746" t="s">
        <v>100</v>
      </c>
      <c r="BL746" t="s">
        <v>4454</v>
      </c>
      <c r="BM746" t="s">
        <v>13557</v>
      </c>
      <c r="BN746" t="s">
        <v>74</v>
      </c>
      <c r="BO746" t="s">
        <v>74</v>
      </c>
      <c r="BP746" t="s">
        <v>74</v>
      </c>
      <c r="BQ746" t="s">
        <v>74</v>
      </c>
      <c r="BR746" t="s">
        <v>103</v>
      </c>
      <c r="BS746" t="s">
        <v>13558</v>
      </c>
      <c r="BT746" t="str">
        <f>HYPERLINK("https%3A%2F%2Fwww.webofscience.com%2Fwos%2Fwoscc%2Ffull-record%2FWOS:000289127500008","View Full Record in Web of Science")</f>
        <v>View Full Record in Web of Science</v>
      </c>
    </row>
    <row r="747" spans="1:72" x14ac:dyDescent="0.15">
      <c r="A747" t="s">
        <v>72</v>
      </c>
      <c r="B747" t="s">
        <v>13559</v>
      </c>
      <c r="C747" t="s">
        <v>74</v>
      </c>
      <c r="D747" t="s">
        <v>74</v>
      </c>
      <c r="E747" t="s">
        <v>74</v>
      </c>
      <c r="F747" t="s">
        <v>13560</v>
      </c>
      <c r="G747" t="s">
        <v>74</v>
      </c>
      <c r="H747" t="s">
        <v>74</v>
      </c>
      <c r="I747" t="s">
        <v>13561</v>
      </c>
      <c r="J747" t="s">
        <v>4838</v>
      </c>
      <c r="K747" t="s">
        <v>74</v>
      </c>
      <c r="L747" t="s">
        <v>74</v>
      </c>
      <c r="M747" t="s">
        <v>78</v>
      </c>
      <c r="N747" t="s">
        <v>79</v>
      </c>
      <c r="O747" t="s">
        <v>74</v>
      </c>
      <c r="P747" t="s">
        <v>74</v>
      </c>
      <c r="Q747" t="s">
        <v>74</v>
      </c>
      <c r="R747" t="s">
        <v>74</v>
      </c>
      <c r="S747" t="s">
        <v>74</v>
      </c>
      <c r="T747" t="s">
        <v>13562</v>
      </c>
      <c r="U747" t="s">
        <v>13563</v>
      </c>
      <c r="V747" t="s">
        <v>13564</v>
      </c>
      <c r="W747" t="s">
        <v>13565</v>
      </c>
      <c r="X747" t="s">
        <v>13566</v>
      </c>
      <c r="Y747" t="s">
        <v>13567</v>
      </c>
      <c r="Z747" t="s">
        <v>13568</v>
      </c>
      <c r="AA747" t="s">
        <v>13569</v>
      </c>
      <c r="AB747" t="s">
        <v>13570</v>
      </c>
      <c r="AC747" t="s">
        <v>13571</v>
      </c>
      <c r="AD747" t="s">
        <v>13572</v>
      </c>
      <c r="AE747" t="s">
        <v>13573</v>
      </c>
      <c r="AF747" t="s">
        <v>74</v>
      </c>
      <c r="AG747">
        <v>29</v>
      </c>
      <c r="AH747">
        <v>16</v>
      </c>
      <c r="AI747">
        <v>19</v>
      </c>
      <c r="AJ747">
        <v>0</v>
      </c>
      <c r="AK747">
        <v>18</v>
      </c>
      <c r="AL747" t="s">
        <v>4872</v>
      </c>
      <c r="AM747" t="s">
        <v>4873</v>
      </c>
      <c r="AN747" t="s">
        <v>4874</v>
      </c>
      <c r="AO747" t="s">
        <v>4852</v>
      </c>
      <c r="AP747" t="s">
        <v>74</v>
      </c>
      <c r="AQ747" t="s">
        <v>74</v>
      </c>
      <c r="AR747" t="s">
        <v>4838</v>
      </c>
      <c r="AS747" t="s">
        <v>4838</v>
      </c>
      <c r="AT747" t="s">
        <v>12548</v>
      </c>
      <c r="AU747">
        <v>2011</v>
      </c>
      <c r="AV747">
        <v>128</v>
      </c>
      <c r="AW747">
        <v>2</v>
      </c>
      <c r="AX747" t="s">
        <v>74</v>
      </c>
      <c r="AY747" t="s">
        <v>74</v>
      </c>
      <c r="AZ747" t="s">
        <v>74</v>
      </c>
      <c r="BA747" t="s">
        <v>74</v>
      </c>
      <c r="BB747">
        <v>363</v>
      </c>
      <c r="BC747">
        <v>373</v>
      </c>
      <c r="BD747" t="s">
        <v>74</v>
      </c>
      <c r="BE747" t="s">
        <v>13574</v>
      </c>
      <c r="BF747" t="str">
        <f>HYPERLINK("http://dx.doi.org/10.1525/auk.2011.10231","http://dx.doi.org/10.1525/auk.2011.10231")</f>
        <v>http://dx.doi.org/10.1525/auk.2011.10231</v>
      </c>
      <c r="BG747" t="s">
        <v>74</v>
      </c>
      <c r="BH747" t="s">
        <v>74</v>
      </c>
      <c r="BI747">
        <v>11</v>
      </c>
      <c r="BJ747" t="s">
        <v>4855</v>
      </c>
      <c r="BK747" t="s">
        <v>100</v>
      </c>
      <c r="BL747" t="s">
        <v>3232</v>
      </c>
      <c r="BM747" t="s">
        <v>13575</v>
      </c>
      <c r="BN747" t="s">
        <v>74</v>
      </c>
      <c r="BO747" t="s">
        <v>368</v>
      </c>
      <c r="BP747" t="s">
        <v>74</v>
      </c>
      <c r="BQ747" t="s">
        <v>74</v>
      </c>
      <c r="BR747" t="s">
        <v>103</v>
      </c>
      <c r="BS747" t="s">
        <v>13576</v>
      </c>
      <c r="BT747" t="str">
        <f>HYPERLINK("https%3A%2F%2Fwww.webofscience.com%2Fwos%2Fwoscc%2Ffull-record%2FWOS:000290887600017","View Full Record in Web of Science")</f>
        <v>View Full Record in Web of Science</v>
      </c>
    </row>
    <row r="748" spans="1:72" x14ac:dyDescent="0.15">
      <c r="A748" t="s">
        <v>72</v>
      </c>
      <c r="B748" t="s">
        <v>13577</v>
      </c>
      <c r="C748" t="s">
        <v>74</v>
      </c>
      <c r="D748" t="s">
        <v>74</v>
      </c>
      <c r="E748" t="s">
        <v>74</v>
      </c>
      <c r="F748" t="s">
        <v>13578</v>
      </c>
      <c r="G748" t="s">
        <v>74</v>
      </c>
      <c r="H748" t="s">
        <v>74</v>
      </c>
      <c r="I748" t="s">
        <v>13579</v>
      </c>
      <c r="J748" t="s">
        <v>13580</v>
      </c>
      <c r="K748" t="s">
        <v>74</v>
      </c>
      <c r="L748" t="s">
        <v>74</v>
      </c>
      <c r="M748" t="s">
        <v>78</v>
      </c>
      <c r="N748" t="s">
        <v>79</v>
      </c>
      <c r="O748" t="s">
        <v>74</v>
      </c>
      <c r="P748" t="s">
        <v>74</v>
      </c>
      <c r="Q748" t="s">
        <v>74</v>
      </c>
      <c r="R748" t="s">
        <v>74</v>
      </c>
      <c r="S748" t="s">
        <v>74</v>
      </c>
      <c r="T748" t="s">
        <v>13581</v>
      </c>
      <c r="U748" t="s">
        <v>13582</v>
      </c>
      <c r="V748" t="s">
        <v>13583</v>
      </c>
      <c r="W748" t="s">
        <v>13584</v>
      </c>
      <c r="X748" t="s">
        <v>13585</v>
      </c>
      <c r="Y748" t="s">
        <v>13586</v>
      </c>
      <c r="Z748" t="s">
        <v>13587</v>
      </c>
      <c r="AA748" t="s">
        <v>13588</v>
      </c>
      <c r="AB748" t="s">
        <v>13589</v>
      </c>
      <c r="AC748" t="s">
        <v>13590</v>
      </c>
      <c r="AD748" t="s">
        <v>13590</v>
      </c>
      <c r="AE748" t="s">
        <v>13591</v>
      </c>
      <c r="AF748" t="s">
        <v>74</v>
      </c>
      <c r="AG748">
        <v>100</v>
      </c>
      <c r="AH748">
        <v>32</v>
      </c>
      <c r="AI748">
        <v>38</v>
      </c>
      <c r="AJ748">
        <v>5</v>
      </c>
      <c r="AK748">
        <v>83</v>
      </c>
      <c r="AL748" t="s">
        <v>1323</v>
      </c>
      <c r="AM748" t="s">
        <v>1324</v>
      </c>
      <c r="AN748" t="s">
        <v>1325</v>
      </c>
      <c r="AO748" t="s">
        <v>13592</v>
      </c>
      <c r="AP748" t="s">
        <v>13593</v>
      </c>
      <c r="AQ748" t="s">
        <v>74</v>
      </c>
      <c r="AR748" t="s">
        <v>13580</v>
      </c>
      <c r="AS748" t="s">
        <v>13594</v>
      </c>
      <c r="AT748" t="s">
        <v>12548</v>
      </c>
      <c r="AU748">
        <v>2011</v>
      </c>
      <c r="AV748">
        <v>33</v>
      </c>
      <c r="AW748">
        <v>4</v>
      </c>
      <c r="AX748" t="s">
        <v>74</v>
      </c>
      <c r="AY748" t="s">
        <v>74</v>
      </c>
      <c r="AZ748" t="s">
        <v>74</v>
      </c>
      <c r="BA748" t="s">
        <v>74</v>
      </c>
      <c r="BB748">
        <v>260</v>
      </c>
      <c r="BC748">
        <v>268</v>
      </c>
      <c r="BD748" t="s">
        <v>74</v>
      </c>
      <c r="BE748" t="s">
        <v>13595</v>
      </c>
      <c r="BF748" t="str">
        <f>HYPERLINK("http://dx.doi.org/10.1002/bies.201000124","http://dx.doi.org/10.1002/bies.201000124")</f>
        <v>http://dx.doi.org/10.1002/bies.201000124</v>
      </c>
      <c r="BG748" t="s">
        <v>74</v>
      </c>
      <c r="BH748" t="s">
        <v>74</v>
      </c>
      <c r="BI748">
        <v>9</v>
      </c>
      <c r="BJ748" t="s">
        <v>13596</v>
      </c>
      <c r="BK748" t="s">
        <v>100</v>
      </c>
      <c r="BL748" t="s">
        <v>13597</v>
      </c>
      <c r="BM748" t="s">
        <v>13598</v>
      </c>
      <c r="BN748">
        <v>21290397</v>
      </c>
      <c r="BO748" t="s">
        <v>74</v>
      </c>
      <c r="BP748" t="s">
        <v>74</v>
      </c>
      <c r="BQ748" t="s">
        <v>74</v>
      </c>
      <c r="BR748" t="s">
        <v>103</v>
      </c>
      <c r="BS748" t="s">
        <v>13599</v>
      </c>
      <c r="BT748" t="str">
        <f>HYPERLINK("https%3A%2F%2Fwww.webofscience.com%2Fwos%2Fwoscc%2Ffull-record%2FWOS:000288331100006","View Full Record in Web of Science")</f>
        <v>View Full Record in Web of Science</v>
      </c>
    </row>
    <row r="749" spans="1:72" x14ac:dyDescent="0.15">
      <c r="A749" t="s">
        <v>72</v>
      </c>
      <c r="B749" t="s">
        <v>13600</v>
      </c>
      <c r="C749" t="s">
        <v>74</v>
      </c>
      <c r="D749" t="s">
        <v>74</v>
      </c>
      <c r="E749" t="s">
        <v>74</v>
      </c>
      <c r="F749" t="s">
        <v>13601</v>
      </c>
      <c r="G749" t="s">
        <v>74</v>
      </c>
      <c r="H749" t="s">
        <v>74</v>
      </c>
      <c r="I749" t="s">
        <v>13602</v>
      </c>
      <c r="J749" t="s">
        <v>13603</v>
      </c>
      <c r="K749" t="s">
        <v>74</v>
      </c>
      <c r="L749" t="s">
        <v>74</v>
      </c>
      <c r="M749" t="s">
        <v>78</v>
      </c>
      <c r="N749" t="s">
        <v>79</v>
      </c>
      <c r="O749" t="s">
        <v>74</v>
      </c>
      <c r="P749" t="s">
        <v>74</v>
      </c>
      <c r="Q749" t="s">
        <v>74</v>
      </c>
      <c r="R749" t="s">
        <v>74</v>
      </c>
      <c r="S749" t="s">
        <v>74</v>
      </c>
      <c r="T749" t="s">
        <v>13604</v>
      </c>
      <c r="U749" t="s">
        <v>13605</v>
      </c>
      <c r="V749" t="s">
        <v>13606</v>
      </c>
      <c r="W749" t="s">
        <v>13607</v>
      </c>
      <c r="X749" t="s">
        <v>13608</v>
      </c>
      <c r="Y749" t="s">
        <v>13609</v>
      </c>
      <c r="Z749" t="s">
        <v>13610</v>
      </c>
      <c r="AA749" t="s">
        <v>13611</v>
      </c>
      <c r="AB749" t="s">
        <v>13612</v>
      </c>
      <c r="AC749" t="s">
        <v>13613</v>
      </c>
      <c r="AD749" t="s">
        <v>13614</v>
      </c>
      <c r="AE749" t="s">
        <v>13615</v>
      </c>
      <c r="AF749" t="s">
        <v>74</v>
      </c>
      <c r="AG749">
        <v>25</v>
      </c>
      <c r="AH749">
        <v>16</v>
      </c>
      <c r="AI749">
        <v>22</v>
      </c>
      <c r="AJ749">
        <v>3</v>
      </c>
      <c r="AK749">
        <v>30</v>
      </c>
      <c r="AL749" t="s">
        <v>1441</v>
      </c>
      <c r="AM749" t="s">
        <v>91</v>
      </c>
      <c r="AN749" t="s">
        <v>1902</v>
      </c>
      <c r="AO749" t="s">
        <v>13616</v>
      </c>
      <c r="AP749" t="s">
        <v>13617</v>
      </c>
      <c r="AQ749" t="s">
        <v>74</v>
      </c>
      <c r="AR749" t="s">
        <v>13618</v>
      </c>
      <c r="AS749" t="s">
        <v>13619</v>
      </c>
      <c r="AT749" t="s">
        <v>12548</v>
      </c>
      <c r="AU749">
        <v>2011</v>
      </c>
      <c r="AV749">
        <v>47</v>
      </c>
      <c r="AW749">
        <v>3</v>
      </c>
      <c r="AX749" t="s">
        <v>74</v>
      </c>
      <c r="AY749" t="s">
        <v>74</v>
      </c>
      <c r="AZ749" t="s">
        <v>74</v>
      </c>
      <c r="BA749" t="s">
        <v>74</v>
      </c>
      <c r="BB749">
        <v>273</v>
      </c>
      <c r="BC749">
        <v>282</v>
      </c>
      <c r="BD749" t="s">
        <v>74</v>
      </c>
      <c r="BE749" t="s">
        <v>13620</v>
      </c>
      <c r="BF749" t="str">
        <f>HYPERLINK("http://dx.doi.org/10.1007/s00374-010-0533-1","http://dx.doi.org/10.1007/s00374-010-0533-1")</f>
        <v>http://dx.doi.org/10.1007/s00374-010-0533-1</v>
      </c>
      <c r="BG749" t="s">
        <v>74</v>
      </c>
      <c r="BH749" t="s">
        <v>74</v>
      </c>
      <c r="BI749">
        <v>10</v>
      </c>
      <c r="BJ749" t="s">
        <v>13621</v>
      </c>
      <c r="BK749" t="s">
        <v>100</v>
      </c>
      <c r="BL749" t="s">
        <v>13622</v>
      </c>
      <c r="BM749" t="s">
        <v>13623</v>
      </c>
      <c r="BN749" t="s">
        <v>74</v>
      </c>
      <c r="BO749" t="s">
        <v>74</v>
      </c>
      <c r="BP749" t="s">
        <v>74</v>
      </c>
      <c r="BQ749" t="s">
        <v>74</v>
      </c>
      <c r="BR749" t="s">
        <v>103</v>
      </c>
      <c r="BS749" t="s">
        <v>13624</v>
      </c>
      <c r="BT749" t="str">
        <f>HYPERLINK("https%3A%2F%2Fwww.webofscience.com%2Fwos%2Fwoscc%2Ffull-record%2FWOS:000288251700004","View Full Record in Web of Science")</f>
        <v>View Full Record in Web of Science</v>
      </c>
    </row>
    <row r="750" spans="1:72" x14ac:dyDescent="0.15">
      <c r="A750" t="s">
        <v>72</v>
      </c>
      <c r="B750" t="s">
        <v>13625</v>
      </c>
      <c r="C750" t="s">
        <v>74</v>
      </c>
      <c r="D750" t="s">
        <v>74</v>
      </c>
      <c r="E750" t="s">
        <v>74</v>
      </c>
      <c r="F750" t="s">
        <v>13626</v>
      </c>
      <c r="G750" t="s">
        <v>74</v>
      </c>
      <c r="H750" t="s">
        <v>74</v>
      </c>
      <c r="I750" t="s">
        <v>13627</v>
      </c>
      <c r="J750" t="s">
        <v>10328</v>
      </c>
      <c r="K750" t="s">
        <v>74</v>
      </c>
      <c r="L750" t="s">
        <v>74</v>
      </c>
      <c r="M750" t="s">
        <v>78</v>
      </c>
      <c r="N750" t="s">
        <v>79</v>
      </c>
      <c r="O750" t="s">
        <v>74</v>
      </c>
      <c r="P750" t="s">
        <v>74</v>
      </c>
      <c r="Q750" t="s">
        <v>74</v>
      </c>
      <c r="R750" t="s">
        <v>74</v>
      </c>
      <c r="S750" t="s">
        <v>74</v>
      </c>
      <c r="T750" t="s">
        <v>13628</v>
      </c>
      <c r="U750" t="s">
        <v>13629</v>
      </c>
      <c r="V750" t="s">
        <v>13630</v>
      </c>
      <c r="W750" t="s">
        <v>13631</v>
      </c>
      <c r="X750" t="s">
        <v>13632</v>
      </c>
      <c r="Y750" t="s">
        <v>13633</v>
      </c>
      <c r="Z750" t="s">
        <v>13634</v>
      </c>
      <c r="AA750" t="s">
        <v>13635</v>
      </c>
      <c r="AB750" t="s">
        <v>13636</v>
      </c>
      <c r="AC750" t="s">
        <v>13637</v>
      </c>
      <c r="AD750" t="s">
        <v>13638</v>
      </c>
      <c r="AE750" t="s">
        <v>13639</v>
      </c>
      <c r="AF750" t="s">
        <v>74</v>
      </c>
      <c r="AG750">
        <v>41</v>
      </c>
      <c r="AH750">
        <v>10</v>
      </c>
      <c r="AI750">
        <v>11</v>
      </c>
      <c r="AJ750">
        <v>1</v>
      </c>
      <c r="AK750">
        <v>13</v>
      </c>
      <c r="AL750" t="s">
        <v>926</v>
      </c>
      <c r="AM750" t="s">
        <v>508</v>
      </c>
      <c r="AN750" t="s">
        <v>927</v>
      </c>
      <c r="AO750" t="s">
        <v>10338</v>
      </c>
      <c r="AP750" t="s">
        <v>10339</v>
      </c>
      <c r="AQ750" t="s">
        <v>74</v>
      </c>
      <c r="AR750" t="s">
        <v>10328</v>
      </c>
      <c r="AS750" t="s">
        <v>10340</v>
      </c>
      <c r="AT750" t="s">
        <v>12548</v>
      </c>
      <c r="AU750">
        <v>2011</v>
      </c>
      <c r="AV750">
        <v>83</v>
      </c>
      <c r="AW750">
        <v>4</v>
      </c>
      <c r="AX750" t="s">
        <v>74</v>
      </c>
      <c r="AY750" t="s">
        <v>74</v>
      </c>
      <c r="AZ750" t="s">
        <v>74</v>
      </c>
      <c r="BA750" t="s">
        <v>74</v>
      </c>
      <c r="BB750">
        <v>400</v>
      </c>
      <c r="BC750">
        <v>408</v>
      </c>
      <c r="BD750" t="s">
        <v>74</v>
      </c>
      <c r="BE750" t="s">
        <v>13640</v>
      </c>
      <c r="BF750" t="str">
        <f>HYPERLINK("http://dx.doi.org/10.1016/j.chemosphere.2010.12.089","http://dx.doi.org/10.1016/j.chemosphere.2010.12.089")</f>
        <v>http://dx.doi.org/10.1016/j.chemosphere.2010.12.089</v>
      </c>
      <c r="BG750" t="s">
        <v>74</v>
      </c>
      <c r="BH750" t="s">
        <v>74</v>
      </c>
      <c r="BI750">
        <v>9</v>
      </c>
      <c r="BJ750" t="s">
        <v>6748</v>
      </c>
      <c r="BK750" t="s">
        <v>100</v>
      </c>
      <c r="BL750" t="s">
        <v>5193</v>
      </c>
      <c r="BM750" t="s">
        <v>13641</v>
      </c>
      <c r="BN750">
        <v>21277000</v>
      </c>
      <c r="BO750" t="s">
        <v>74</v>
      </c>
      <c r="BP750" t="s">
        <v>74</v>
      </c>
      <c r="BQ750" t="s">
        <v>74</v>
      </c>
      <c r="BR750" t="s">
        <v>103</v>
      </c>
      <c r="BS750" t="s">
        <v>13642</v>
      </c>
      <c r="BT750" t="str">
        <f>HYPERLINK("https%3A%2F%2Fwww.webofscience.com%2Fwos%2Fwoscc%2Ffull-record%2FWOS:000289879500002","View Full Record in Web of Science")</f>
        <v>View Full Record in Web of Science</v>
      </c>
    </row>
    <row r="751" spans="1:72" x14ac:dyDescent="0.15">
      <c r="A751" t="s">
        <v>72</v>
      </c>
      <c r="B751" t="s">
        <v>13643</v>
      </c>
      <c r="C751" t="s">
        <v>74</v>
      </c>
      <c r="D751" t="s">
        <v>74</v>
      </c>
      <c r="E751" t="s">
        <v>74</v>
      </c>
      <c r="F751" t="s">
        <v>13644</v>
      </c>
      <c r="G751" t="s">
        <v>74</v>
      </c>
      <c r="H751" t="s">
        <v>74</v>
      </c>
      <c r="I751" t="s">
        <v>13645</v>
      </c>
      <c r="J751" t="s">
        <v>5011</v>
      </c>
      <c r="K751" t="s">
        <v>74</v>
      </c>
      <c r="L751" t="s">
        <v>74</v>
      </c>
      <c r="M751" t="s">
        <v>78</v>
      </c>
      <c r="N751" t="s">
        <v>79</v>
      </c>
      <c r="O751" t="s">
        <v>74</v>
      </c>
      <c r="P751" t="s">
        <v>74</v>
      </c>
      <c r="Q751" t="s">
        <v>74</v>
      </c>
      <c r="R751" t="s">
        <v>74</v>
      </c>
      <c r="S751" t="s">
        <v>74</v>
      </c>
      <c r="T751" t="s">
        <v>13646</v>
      </c>
      <c r="U751" t="s">
        <v>13647</v>
      </c>
      <c r="V751" t="s">
        <v>13648</v>
      </c>
      <c r="W751" t="s">
        <v>13649</v>
      </c>
      <c r="X751" t="s">
        <v>13650</v>
      </c>
      <c r="Y751" t="s">
        <v>13651</v>
      </c>
      <c r="Z751" t="s">
        <v>13652</v>
      </c>
      <c r="AA751" t="s">
        <v>13653</v>
      </c>
      <c r="AB751" t="s">
        <v>13654</v>
      </c>
      <c r="AC751" t="s">
        <v>13655</v>
      </c>
      <c r="AD751" t="s">
        <v>13656</v>
      </c>
      <c r="AE751" t="s">
        <v>13657</v>
      </c>
      <c r="AF751" t="s">
        <v>74</v>
      </c>
      <c r="AG751">
        <v>47</v>
      </c>
      <c r="AH751">
        <v>361</v>
      </c>
      <c r="AI751">
        <v>427</v>
      </c>
      <c r="AJ751">
        <v>11</v>
      </c>
      <c r="AK751">
        <v>284</v>
      </c>
      <c r="AL751" t="s">
        <v>1441</v>
      </c>
      <c r="AM751" t="s">
        <v>91</v>
      </c>
      <c r="AN751" t="s">
        <v>1595</v>
      </c>
      <c r="AO751" t="s">
        <v>5024</v>
      </c>
      <c r="AP751" t="s">
        <v>5025</v>
      </c>
      <c r="AQ751" t="s">
        <v>74</v>
      </c>
      <c r="AR751" t="s">
        <v>5026</v>
      </c>
      <c r="AS751" t="s">
        <v>5027</v>
      </c>
      <c r="AT751" t="s">
        <v>12548</v>
      </c>
      <c r="AU751">
        <v>2011</v>
      </c>
      <c r="AV751">
        <v>36</v>
      </c>
      <c r="AW751" t="s">
        <v>5648</v>
      </c>
      <c r="AX751" t="s">
        <v>74</v>
      </c>
      <c r="AY751" t="s">
        <v>74</v>
      </c>
      <c r="AZ751" t="s">
        <v>74</v>
      </c>
      <c r="BA751" t="s">
        <v>74</v>
      </c>
      <c r="BB751">
        <v>1463</v>
      </c>
      <c r="BC751">
        <v>1473</v>
      </c>
      <c r="BD751" t="s">
        <v>74</v>
      </c>
      <c r="BE751" t="s">
        <v>13658</v>
      </c>
      <c r="BF751" t="str">
        <f>HYPERLINK("http://dx.doi.org/10.1007/s00382-010-0852-9","http://dx.doi.org/10.1007/s00382-010-0852-9")</f>
        <v>http://dx.doi.org/10.1007/s00382-010-0852-9</v>
      </c>
      <c r="BG751" t="s">
        <v>74</v>
      </c>
      <c r="BH751" t="s">
        <v>74</v>
      </c>
      <c r="BI751">
        <v>11</v>
      </c>
      <c r="BJ751" t="s">
        <v>248</v>
      </c>
      <c r="BK751" t="s">
        <v>100</v>
      </c>
      <c r="BL751" t="s">
        <v>248</v>
      </c>
      <c r="BM751" t="s">
        <v>13314</v>
      </c>
      <c r="BN751" t="s">
        <v>74</v>
      </c>
      <c r="BO751" t="s">
        <v>74</v>
      </c>
      <c r="BP751" t="s">
        <v>74</v>
      </c>
      <c r="BQ751" t="s">
        <v>74</v>
      </c>
      <c r="BR751" t="s">
        <v>103</v>
      </c>
      <c r="BS751" t="s">
        <v>13659</v>
      </c>
      <c r="BT751" t="str">
        <f>HYPERLINK("https%3A%2F%2Fwww.webofscience.com%2Fwos%2Fwoscc%2Ffull-record%2FWOS:000289105300016","View Full Record in Web of Science")</f>
        <v>View Full Record in Web of Science</v>
      </c>
    </row>
    <row r="752" spans="1:72" x14ac:dyDescent="0.15">
      <c r="A752" t="s">
        <v>72</v>
      </c>
      <c r="B752" t="s">
        <v>13660</v>
      </c>
      <c r="C752" t="s">
        <v>74</v>
      </c>
      <c r="D752" t="s">
        <v>74</v>
      </c>
      <c r="E752" t="s">
        <v>74</v>
      </c>
      <c r="F752" t="s">
        <v>13661</v>
      </c>
      <c r="G752" t="s">
        <v>74</v>
      </c>
      <c r="H752" t="s">
        <v>74</v>
      </c>
      <c r="I752" t="s">
        <v>13662</v>
      </c>
      <c r="J752" t="s">
        <v>5011</v>
      </c>
      <c r="K752" t="s">
        <v>74</v>
      </c>
      <c r="L752" t="s">
        <v>74</v>
      </c>
      <c r="M752" t="s">
        <v>78</v>
      </c>
      <c r="N752" t="s">
        <v>79</v>
      </c>
      <c r="O752" t="s">
        <v>74</v>
      </c>
      <c r="P752" t="s">
        <v>74</v>
      </c>
      <c r="Q752" t="s">
        <v>74</v>
      </c>
      <c r="R752" t="s">
        <v>74</v>
      </c>
      <c r="S752" t="s">
        <v>74</v>
      </c>
      <c r="T752" t="s">
        <v>74</v>
      </c>
      <c r="U752" t="s">
        <v>13663</v>
      </c>
      <c r="V752" t="s">
        <v>13664</v>
      </c>
      <c r="W752" t="s">
        <v>13665</v>
      </c>
      <c r="X752" t="s">
        <v>13666</v>
      </c>
      <c r="Y752" t="s">
        <v>13667</v>
      </c>
      <c r="Z752" t="s">
        <v>13668</v>
      </c>
      <c r="AA752" t="s">
        <v>13669</v>
      </c>
      <c r="AB752" t="s">
        <v>13670</v>
      </c>
      <c r="AC752" t="s">
        <v>13671</v>
      </c>
      <c r="AD752" t="s">
        <v>13672</v>
      </c>
      <c r="AE752" t="s">
        <v>13673</v>
      </c>
      <c r="AF752" t="s">
        <v>74</v>
      </c>
      <c r="AG752">
        <v>41</v>
      </c>
      <c r="AH752">
        <v>265</v>
      </c>
      <c r="AI752">
        <v>290</v>
      </c>
      <c r="AJ752">
        <v>1</v>
      </c>
      <c r="AK752">
        <v>53</v>
      </c>
      <c r="AL752" t="s">
        <v>1441</v>
      </c>
      <c r="AM752" t="s">
        <v>91</v>
      </c>
      <c r="AN752" t="s">
        <v>1595</v>
      </c>
      <c r="AO752" t="s">
        <v>5024</v>
      </c>
      <c r="AP752" t="s">
        <v>74</v>
      </c>
      <c r="AQ752" t="s">
        <v>74</v>
      </c>
      <c r="AR752" t="s">
        <v>5026</v>
      </c>
      <c r="AS752" t="s">
        <v>5027</v>
      </c>
      <c r="AT752" t="s">
        <v>12548</v>
      </c>
      <c r="AU752">
        <v>2011</v>
      </c>
      <c r="AV752">
        <v>36</v>
      </c>
      <c r="AW752" t="s">
        <v>5648</v>
      </c>
      <c r="AX752" t="s">
        <v>74</v>
      </c>
      <c r="AY752" t="s">
        <v>74</v>
      </c>
      <c r="AZ752" t="s">
        <v>74</v>
      </c>
      <c r="BA752" t="s">
        <v>74</v>
      </c>
      <c r="BB752">
        <v>1555</v>
      </c>
      <c r="BC752">
        <v>1576</v>
      </c>
      <c r="BD752" t="s">
        <v>74</v>
      </c>
      <c r="BE752" t="s">
        <v>13674</v>
      </c>
      <c r="BF752" t="str">
        <f>HYPERLINK("http://dx.doi.org/10.1007/s00382-010-0905-0","http://dx.doi.org/10.1007/s00382-010-0905-0")</f>
        <v>http://dx.doi.org/10.1007/s00382-010-0905-0</v>
      </c>
      <c r="BG752" t="s">
        <v>74</v>
      </c>
      <c r="BH752" t="s">
        <v>74</v>
      </c>
      <c r="BI752">
        <v>22</v>
      </c>
      <c r="BJ752" t="s">
        <v>248</v>
      </c>
      <c r="BK752" t="s">
        <v>100</v>
      </c>
      <c r="BL752" t="s">
        <v>248</v>
      </c>
      <c r="BM752" t="s">
        <v>13314</v>
      </c>
      <c r="BN752" t="s">
        <v>74</v>
      </c>
      <c r="BO752" t="s">
        <v>1025</v>
      </c>
      <c r="BP752" t="s">
        <v>74</v>
      </c>
      <c r="BQ752" t="s">
        <v>74</v>
      </c>
      <c r="BR752" t="s">
        <v>103</v>
      </c>
      <c r="BS752" t="s">
        <v>13675</v>
      </c>
      <c r="BT752" t="str">
        <f>HYPERLINK("https%3A%2F%2Fwww.webofscience.com%2Fwos%2Fwoscc%2Ffull-record%2FWOS:000289105300022","View Full Record in Web of Science")</f>
        <v>View Full Record in Web of Science</v>
      </c>
    </row>
    <row r="753" spans="1:72" x14ac:dyDescent="0.15">
      <c r="A753" t="s">
        <v>72</v>
      </c>
      <c r="B753" t="s">
        <v>13676</v>
      </c>
      <c r="C753" t="s">
        <v>74</v>
      </c>
      <c r="D753" t="s">
        <v>74</v>
      </c>
      <c r="E753" t="s">
        <v>74</v>
      </c>
      <c r="F753" t="s">
        <v>13677</v>
      </c>
      <c r="G753" t="s">
        <v>74</v>
      </c>
      <c r="H753" t="s">
        <v>74</v>
      </c>
      <c r="I753" t="s">
        <v>13678</v>
      </c>
      <c r="J753" t="s">
        <v>2139</v>
      </c>
      <c r="K753" t="s">
        <v>74</v>
      </c>
      <c r="L753" t="s">
        <v>74</v>
      </c>
      <c r="M753" t="s">
        <v>78</v>
      </c>
      <c r="N753" t="s">
        <v>79</v>
      </c>
      <c r="O753" t="s">
        <v>74</v>
      </c>
      <c r="P753" t="s">
        <v>74</v>
      </c>
      <c r="Q753" t="s">
        <v>74</v>
      </c>
      <c r="R753" t="s">
        <v>74</v>
      </c>
      <c r="S753" t="s">
        <v>74</v>
      </c>
      <c r="T753" t="s">
        <v>13679</v>
      </c>
      <c r="U753" t="s">
        <v>13680</v>
      </c>
      <c r="V753" t="s">
        <v>13681</v>
      </c>
      <c r="W753" t="s">
        <v>13682</v>
      </c>
      <c r="X753" t="s">
        <v>13683</v>
      </c>
      <c r="Y753" t="s">
        <v>13684</v>
      </c>
      <c r="Z753" t="s">
        <v>13685</v>
      </c>
      <c r="AA753" t="s">
        <v>13686</v>
      </c>
      <c r="AB753" t="s">
        <v>13687</v>
      </c>
      <c r="AC753" t="s">
        <v>13688</v>
      </c>
      <c r="AD753" t="s">
        <v>13688</v>
      </c>
      <c r="AE753" t="s">
        <v>13689</v>
      </c>
      <c r="AF753" t="s">
        <v>74</v>
      </c>
      <c r="AG753">
        <v>28</v>
      </c>
      <c r="AH753">
        <v>16</v>
      </c>
      <c r="AI753">
        <v>19</v>
      </c>
      <c r="AJ753">
        <v>2</v>
      </c>
      <c r="AK753">
        <v>22</v>
      </c>
      <c r="AL753" t="s">
        <v>2669</v>
      </c>
      <c r="AM753" t="s">
        <v>309</v>
      </c>
      <c r="AN753" t="s">
        <v>2670</v>
      </c>
      <c r="AO753" t="s">
        <v>2150</v>
      </c>
      <c r="AP753" t="s">
        <v>74</v>
      </c>
      <c r="AQ753" t="s">
        <v>74</v>
      </c>
      <c r="AR753" t="s">
        <v>2152</v>
      </c>
      <c r="AS753" t="s">
        <v>2153</v>
      </c>
      <c r="AT753" t="s">
        <v>12548</v>
      </c>
      <c r="AU753">
        <v>2011</v>
      </c>
      <c r="AV753">
        <v>66</v>
      </c>
      <c r="AW753">
        <v>1</v>
      </c>
      <c r="AX753" t="s">
        <v>74</v>
      </c>
      <c r="AY753" t="s">
        <v>74</v>
      </c>
      <c r="AZ753" t="s">
        <v>74</v>
      </c>
      <c r="BA753" t="s">
        <v>74</v>
      </c>
      <c r="BB753">
        <v>12</v>
      </c>
      <c r="BC753">
        <v>16</v>
      </c>
      <c r="BD753" t="s">
        <v>74</v>
      </c>
      <c r="BE753" t="s">
        <v>13690</v>
      </c>
      <c r="BF753" t="str">
        <f>HYPERLINK("http://dx.doi.org/10.1016/j.coldregions.2010.12.007","http://dx.doi.org/10.1016/j.coldregions.2010.12.007")</f>
        <v>http://dx.doi.org/10.1016/j.coldregions.2010.12.007</v>
      </c>
      <c r="BG753" t="s">
        <v>74</v>
      </c>
      <c r="BH753" t="s">
        <v>74</v>
      </c>
      <c r="BI753">
        <v>5</v>
      </c>
      <c r="BJ753" t="s">
        <v>2156</v>
      </c>
      <c r="BK753" t="s">
        <v>100</v>
      </c>
      <c r="BL753" t="s">
        <v>2157</v>
      </c>
      <c r="BM753" t="s">
        <v>13691</v>
      </c>
      <c r="BN753" t="s">
        <v>74</v>
      </c>
      <c r="BO753" t="s">
        <v>74</v>
      </c>
      <c r="BP753" t="s">
        <v>74</v>
      </c>
      <c r="BQ753" t="s">
        <v>74</v>
      </c>
      <c r="BR753" t="s">
        <v>103</v>
      </c>
      <c r="BS753" t="s">
        <v>13692</v>
      </c>
      <c r="BT753" t="str">
        <f>HYPERLINK("https%3A%2F%2Fwww.webofscience.com%2Fwos%2Fwoscc%2Ffull-record%2FWOS:000288920800002","View Full Record in Web of Science")</f>
        <v>View Full Record in Web of Science</v>
      </c>
    </row>
    <row r="754" spans="1:72" x14ac:dyDescent="0.15">
      <c r="A754" t="s">
        <v>72</v>
      </c>
      <c r="B754" t="s">
        <v>13693</v>
      </c>
      <c r="C754" t="s">
        <v>74</v>
      </c>
      <c r="D754" t="s">
        <v>74</v>
      </c>
      <c r="E754" t="s">
        <v>74</v>
      </c>
      <c r="F754" t="s">
        <v>13694</v>
      </c>
      <c r="G754" t="s">
        <v>74</v>
      </c>
      <c r="H754" t="s">
        <v>74</v>
      </c>
      <c r="I754" t="s">
        <v>13695</v>
      </c>
      <c r="J754" t="s">
        <v>13696</v>
      </c>
      <c r="K754" t="s">
        <v>74</v>
      </c>
      <c r="L754" t="s">
        <v>74</v>
      </c>
      <c r="M754" t="s">
        <v>78</v>
      </c>
      <c r="N754" t="s">
        <v>79</v>
      </c>
      <c r="O754" t="s">
        <v>74</v>
      </c>
      <c r="P754" t="s">
        <v>74</v>
      </c>
      <c r="Q754" t="s">
        <v>74</v>
      </c>
      <c r="R754" t="s">
        <v>74</v>
      </c>
      <c r="S754" t="s">
        <v>74</v>
      </c>
      <c r="T754" t="s">
        <v>13697</v>
      </c>
      <c r="U754" t="s">
        <v>13698</v>
      </c>
      <c r="V754" t="s">
        <v>13699</v>
      </c>
      <c r="W754" t="s">
        <v>13700</v>
      </c>
      <c r="X754" t="s">
        <v>13701</v>
      </c>
      <c r="Y754" t="s">
        <v>13702</v>
      </c>
      <c r="Z754" t="s">
        <v>13703</v>
      </c>
      <c r="AA754" t="s">
        <v>74</v>
      </c>
      <c r="AB754" t="s">
        <v>74</v>
      </c>
      <c r="AC754" t="s">
        <v>13704</v>
      </c>
      <c r="AD754" t="s">
        <v>13705</v>
      </c>
      <c r="AE754" t="s">
        <v>13706</v>
      </c>
      <c r="AF754" t="s">
        <v>74</v>
      </c>
      <c r="AG754">
        <v>60</v>
      </c>
      <c r="AH754">
        <v>132</v>
      </c>
      <c r="AI754">
        <v>151</v>
      </c>
      <c r="AJ754">
        <v>1</v>
      </c>
      <c r="AK754">
        <v>98</v>
      </c>
      <c r="AL754" t="s">
        <v>90</v>
      </c>
      <c r="AM754" t="s">
        <v>91</v>
      </c>
      <c r="AN754" t="s">
        <v>13707</v>
      </c>
      <c r="AO754" t="s">
        <v>13708</v>
      </c>
      <c r="AP754" t="s">
        <v>74</v>
      </c>
      <c r="AQ754" t="s">
        <v>74</v>
      </c>
      <c r="AR754" t="s">
        <v>13709</v>
      </c>
      <c r="AS754" t="s">
        <v>13710</v>
      </c>
      <c r="AT754" t="s">
        <v>12548</v>
      </c>
      <c r="AU754">
        <v>2011</v>
      </c>
      <c r="AV754">
        <v>158</v>
      </c>
      <c r="AW754">
        <v>4</v>
      </c>
      <c r="AX754" t="s">
        <v>74</v>
      </c>
      <c r="AY754" t="s">
        <v>74</v>
      </c>
      <c r="AZ754" t="s">
        <v>74</v>
      </c>
      <c r="BA754" t="s">
        <v>74</v>
      </c>
      <c r="BB754">
        <v>382</v>
      </c>
      <c r="BC754">
        <v>390</v>
      </c>
      <c r="BD754" t="s">
        <v>74</v>
      </c>
      <c r="BE754" t="s">
        <v>13711</v>
      </c>
      <c r="BF754" t="str">
        <f>HYPERLINK("http://dx.doi.org/10.1016/j.cbpa.2010.12.010","http://dx.doi.org/10.1016/j.cbpa.2010.12.010")</f>
        <v>http://dx.doi.org/10.1016/j.cbpa.2010.12.010</v>
      </c>
      <c r="BG754" t="s">
        <v>74</v>
      </c>
      <c r="BH754" t="s">
        <v>74</v>
      </c>
      <c r="BI754">
        <v>9</v>
      </c>
      <c r="BJ754" t="s">
        <v>13712</v>
      </c>
      <c r="BK754" t="s">
        <v>100</v>
      </c>
      <c r="BL754" t="s">
        <v>13712</v>
      </c>
      <c r="BM754" t="s">
        <v>13713</v>
      </c>
      <c r="BN754">
        <v>21159323</v>
      </c>
      <c r="BO754" t="s">
        <v>74</v>
      </c>
      <c r="BP754" t="s">
        <v>74</v>
      </c>
      <c r="BQ754" t="s">
        <v>74</v>
      </c>
      <c r="BR754" t="s">
        <v>103</v>
      </c>
      <c r="BS754" t="s">
        <v>13714</v>
      </c>
      <c r="BT754" t="str">
        <f>HYPERLINK("https%3A%2F%2Fwww.webofscience.com%2Fwos%2Fwoscc%2Ffull-record%2FWOS:000288640700003","View Full Record in Web of Science")</f>
        <v>View Full Record in Web of Science</v>
      </c>
    </row>
    <row r="755" spans="1:72" x14ac:dyDescent="0.15">
      <c r="A755" t="s">
        <v>72</v>
      </c>
      <c r="B755" t="s">
        <v>13715</v>
      </c>
      <c r="C755" t="s">
        <v>74</v>
      </c>
      <c r="D755" t="s">
        <v>74</v>
      </c>
      <c r="E755" t="s">
        <v>74</v>
      </c>
      <c r="F755" t="s">
        <v>13716</v>
      </c>
      <c r="G755" t="s">
        <v>74</v>
      </c>
      <c r="H755" t="s">
        <v>74</v>
      </c>
      <c r="I755" t="s">
        <v>13717</v>
      </c>
      <c r="J755" t="s">
        <v>2207</v>
      </c>
      <c r="K755" t="s">
        <v>74</v>
      </c>
      <c r="L755" t="s">
        <v>74</v>
      </c>
      <c r="M755" t="s">
        <v>78</v>
      </c>
      <c r="N755" t="s">
        <v>79</v>
      </c>
      <c r="O755" t="s">
        <v>74</v>
      </c>
      <c r="P755" t="s">
        <v>74</v>
      </c>
      <c r="Q755" t="s">
        <v>74</v>
      </c>
      <c r="R755" t="s">
        <v>74</v>
      </c>
      <c r="S755" t="s">
        <v>74</v>
      </c>
      <c r="T755" t="s">
        <v>13718</v>
      </c>
      <c r="U755" t="s">
        <v>13719</v>
      </c>
      <c r="V755" t="s">
        <v>13720</v>
      </c>
      <c r="W755" t="s">
        <v>13721</v>
      </c>
      <c r="X755" t="s">
        <v>13722</v>
      </c>
      <c r="Y755" t="s">
        <v>13723</v>
      </c>
      <c r="Z755" t="s">
        <v>13724</v>
      </c>
      <c r="AA755" t="s">
        <v>13725</v>
      </c>
      <c r="AB755" t="s">
        <v>13726</v>
      </c>
      <c r="AC755" t="s">
        <v>13727</v>
      </c>
      <c r="AD755" t="s">
        <v>13728</v>
      </c>
      <c r="AE755" t="s">
        <v>13729</v>
      </c>
      <c r="AF755" t="s">
        <v>74</v>
      </c>
      <c r="AG755">
        <v>65</v>
      </c>
      <c r="AH755">
        <v>71</v>
      </c>
      <c r="AI755">
        <v>80</v>
      </c>
      <c r="AJ755">
        <v>0</v>
      </c>
      <c r="AK755">
        <v>34</v>
      </c>
      <c r="AL755" t="s">
        <v>926</v>
      </c>
      <c r="AM755" t="s">
        <v>508</v>
      </c>
      <c r="AN755" t="s">
        <v>927</v>
      </c>
      <c r="AO755" t="s">
        <v>2219</v>
      </c>
      <c r="AP755" t="s">
        <v>2220</v>
      </c>
      <c r="AQ755" t="s">
        <v>74</v>
      </c>
      <c r="AR755" t="s">
        <v>2221</v>
      </c>
      <c r="AS755" t="s">
        <v>2222</v>
      </c>
      <c r="AT755" t="s">
        <v>12548</v>
      </c>
      <c r="AU755">
        <v>2011</v>
      </c>
      <c r="AV755">
        <v>58</v>
      </c>
      <c r="AW755">
        <v>4</v>
      </c>
      <c r="AX755" t="s">
        <v>74</v>
      </c>
      <c r="AY755" t="s">
        <v>74</v>
      </c>
      <c r="AZ755" t="s">
        <v>74</v>
      </c>
      <c r="BA755" t="s">
        <v>74</v>
      </c>
      <c r="BB755">
        <v>350</v>
      </c>
      <c r="BC755">
        <v>364</v>
      </c>
      <c r="BD755" t="s">
        <v>74</v>
      </c>
      <c r="BE755" t="s">
        <v>13730</v>
      </c>
      <c r="BF755" t="str">
        <f>HYPERLINK("http://dx.doi.org/10.1016/j.dsr.2011.01.008","http://dx.doi.org/10.1016/j.dsr.2011.01.008")</f>
        <v>http://dx.doi.org/10.1016/j.dsr.2011.01.008</v>
      </c>
      <c r="BG755" t="s">
        <v>74</v>
      </c>
      <c r="BH755" t="s">
        <v>74</v>
      </c>
      <c r="BI755">
        <v>15</v>
      </c>
      <c r="BJ755" t="s">
        <v>271</v>
      </c>
      <c r="BK755" t="s">
        <v>100</v>
      </c>
      <c r="BL755" t="s">
        <v>271</v>
      </c>
      <c r="BM755" t="s">
        <v>13731</v>
      </c>
      <c r="BN755" t="s">
        <v>74</v>
      </c>
      <c r="BO755" t="s">
        <v>74</v>
      </c>
      <c r="BP755" t="s">
        <v>74</v>
      </c>
      <c r="BQ755" t="s">
        <v>74</v>
      </c>
      <c r="BR755" t="s">
        <v>103</v>
      </c>
      <c r="BS755" t="s">
        <v>13732</v>
      </c>
      <c r="BT755" t="str">
        <f>HYPERLINK("https%3A%2F%2Fwww.webofscience.com%2Fwos%2Fwoscc%2Ffull-record%2FWOS:000289391000003","View Full Record in Web of Science")</f>
        <v>View Full Record in Web of Science</v>
      </c>
    </row>
    <row r="756" spans="1:72" x14ac:dyDescent="0.15">
      <c r="A756" t="s">
        <v>72</v>
      </c>
      <c r="B756" t="s">
        <v>13733</v>
      </c>
      <c r="C756" t="s">
        <v>74</v>
      </c>
      <c r="D756" t="s">
        <v>74</v>
      </c>
      <c r="E756" t="s">
        <v>74</v>
      </c>
      <c r="F756" t="s">
        <v>13734</v>
      </c>
      <c r="G756" t="s">
        <v>74</v>
      </c>
      <c r="H756" t="s">
        <v>74</v>
      </c>
      <c r="I756" t="s">
        <v>13735</v>
      </c>
      <c r="J756" t="s">
        <v>2207</v>
      </c>
      <c r="K756" t="s">
        <v>74</v>
      </c>
      <c r="L756" t="s">
        <v>74</v>
      </c>
      <c r="M756" t="s">
        <v>78</v>
      </c>
      <c r="N756" t="s">
        <v>79</v>
      </c>
      <c r="O756" t="s">
        <v>74</v>
      </c>
      <c r="P756" t="s">
        <v>74</v>
      </c>
      <c r="Q756" t="s">
        <v>74</v>
      </c>
      <c r="R756" t="s">
        <v>74</v>
      </c>
      <c r="S756" t="s">
        <v>74</v>
      </c>
      <c r="T756" t="s">
        <v>13736</v>
      </c>
      <c r="U756" t="s">
        <v>13737</v>
      </c>
      <c r="V756" t="s">
        <v>13738</v>
      </c>
      <c r="W756" t="s">
        <v>13739</v>
      </c>
      <c r="X756" t="s">
        <v>13740</v>
      </c>
      <c r="Y756" t="s">
        <v>13741</v>
      </c>
      <c r="Z756" t="s">
        <v>13742</v>
      </c>
      <c r="AA756" t="s">
        <v>13743</v>
      </c>
      <c r="AB756" t="s">
        <v>13744</v>
      </c>
      <c r="AC756" t="s">
        <v>13745</v>
      </c>
      <c r="AD756" t="s">
        <v>13746</v>
      </c>
      <c r="AE756" t="s">
        <v>13747</v>
      </c>
      <c r="AF756" t="s">
        <v>74</v>
      </c>
      <c r="AG756">
        <v>27</v>
      </c>
      <c r="AH756">
        <v>106</v>
      </c>
      <c r="AI756">
        <v>115</v>
      </c>
      <c r="AJ756">
        <v>6</v>
      </c>
      <c r="AK756">
        <v>34</v>
      </c>
      <c r="AL756" t="s">
        <v>926</v>
      </c>
      <c r="AM756" t="s">
        <v>508</v>
      </c>
      <c r="AN756" t="s">
        <v>927</v>
      </c>
      <c r="AO756" t="s">
        <v>2219</v>
      </c>
      <c r="AP756" t="s">
        <v>2220</v>
      </c>
      <c r="AQ756" t="s">
        <v>74</v>
      </c>
      <c r="AR756" t="s">
        <v>2221</v>
      </c>
      <c r="AS756" t="s">
        <v>2222</v>
      </c>
      <c r="AT756" t="s">
        <v>12548</v>
      </c>
      <c r="AU756">
        <v>2011</v>
      </c>
      <c r="AV756">
        <v>58</v>
      </c>
      <c r="AW756">
        <v>4</v>
      </c>
      <c r="AX756" t="s">
        <v>74</v>
      </c>
      <c r="AY756" t="s">
        <v>74</v>
      </c>
      <c r="AZ756" t="s">
        <v>74</v>
      </c>
      <c r="BA756" t="s">
        <v>74</v>
      </c>
      <c r="BB756">
        <v>390</v>
      </c>
      <c r="BC756">
        <v>402</v>
      </c>
      <c r="BD756" t="s">
        <v>74</v>
      </c>
      <c r="BE756" t="s">
        <v>13748</v>
      </c>
      <c r="BF756" t="str">
        <f>HYPERLINK("http://dx.doi.org/10.1016/j.dsr.2011.01.011","http://dx.doi.org/10.1016/j.dsr.2011.01.011")</f>
        <v>http://dx.doi.org/10.1016/j.dsr.2011.01.011</v>
      </c>
      <c r="BG756" t="s">
        <v>74</v>
      </c>
      <c r="BH756" t="s">
        <v>74</v>
      </c>
      <c r="BI756">
        <v>13</v>
      </c>
      <c r="BJ756" t="s">
        <v>271</v>
      </c>
      <c r="BK756" t="s">
        <v>100</v>
      </c>
      <c r="BL756" t="s">
        <v>271</v>
      </c>
      <c r="BM756" t="s">
        <v>13731</v>
      </c>
      <c r="BN756" t="s">
        <v>74</v>
      </c>
      <c r="BO756" t="s">
        <v>74</v>
      </c>
      <c r="BP756" t="s">
        <v>74</v>
      </c>
      <c r="BQ756" t="s">
        <v>74</v>
      </c>
      <c r="BR756" t="s">
        <v>103</v>
      </c>
      <c r="BS756" t="s">
        <v>13749</v>
      </c>
      <c r="BT756" t="str">
        <f>HYPERLINK("https%3A%2F%2Fwww.webofscience.com%2Fwos%2Fwoscc%2Ffull-record%2FWOS:000289391000006","View Full Record in Web of Science")</f>
        <v>View Full Record in Web of Science</v>
      </c>
    </row>
    <row r="757" spans="1:72" x14ac:dyDescent="0.15">
      <c r="A757" t="s">
        <v>72</v>
      </c>
      <c r="B757" t="s">
        <v>13750</v>
      </c>
      <c r="C757" t="s">
        <v>74</v>
      </c>
      <c r="D757" t="s">
        <v>74</v>
      </c>
      <c r="E757" t="s">
        <v>74</v>
      </c>
      <c r="F757" t="s">
        <v>13751</v>
      </c>
      <c r="G757" t="s">
        <v>74</v>
      </c>
      <c r="H757" t="s">
        <v>74</v>
      </c>
      <c r="I757" t="s">
        <v>13752</v>
      </c>
      <c r="J757" t="s">
        <v>2207</v>
      </c>
      <c r="K757" t="s">
        <v>74</v>
      </c>
      <c r="L757" t="s">
        <v>74</v>
      </c>
      <c r="M757" t="s">
        <v>78</v>
      </c>
      <c r="N757" t="s">
        <v>79</v>
      </c>
      <c r="O757" t="s">
        <v>74</v>
      </c>
      <c r="P757" t="s">
        <v>74</v>
      </c>
      <c r="Q757" t="s">
        <v>74</v>
      </c>
      <c r="R757" t="s">
        <v>74</v>
      </c>
      <c r="S757" t="s">
        <v>74</v>
      </c>
      <c r="T757" t="s">
        <v>13753</v>
      </c>
      <c r="U757" t="s">
        <v>13754</v>
      </c>
      <c r="V757" t="s">
        <v>13755</v>
      </c>
      <c r="W757" t="s">
        <v>13756</v>
      </c>
      <c r="X757" t="s">
        <v>3693</v>
      </c>
      <c r="Y757" t="s">
        <v>13757</v>
      </c>
      <c r="Z757" t="s">
        <v>13758</v>
      </c>
      <c r="AA757" t="s">
        <v>74</v>
      </c>
      <c r="AB757" t="s">
        <v>13759</v>
      </c>
      <c r="AC757" t="s">
        <v>13760</v>
      </c>
      <c r="AD757" t="s">
        <v>13760</v>
      </c>
      <c r="AE757" t="s">
        <v>13761</v>
      </c>
      <c r="AF757" t="s">
        <v>74</v>
      </c>
      <c r="AG757">
        <v>17</v>
      </c>
      <c r="AH757">
        <v>8</v>
      </c>
      <c r="AI757">
        <v>9</v>
      </c>
      <c r="AJ757">
        <v>0</v>
      </c>
      <c r="AK757">
        <v>27</v>
      </c>
      <c r="AL757" t="s">
        <v>926</v>
      </c>
      <c r="AM757" t="s">
        <v>508</v>
      </c>
      <c r="AN757" t="s">
        <v>927</v>
      </c>
      <c r="AO757" t="s">
        <v>2219</v>
      </c>
      <c r="AP757" t="s">
        <v>74</v>
      </c>
      <c r="AQ757" t="s">
        <v>74</v>
      </c>
      <c r="AR757" t="s">
        <v>2221</v>
      </c>
      <c r="AS757" t="s">
        <v>2222</v>
      </c>
      <c r="AT757" t="s">
        <v>12548</v>
      </c>
      <c r="AU757">
        <v>2011</v>
      </c>
      <c r="AV757">
        <v>58</v>
      </c>
      <c r="AW757">
        <v>4</v>
      </c>
      <c r="AX757" t="s">
        <v>74</v>
      </c>
      <c r="AY757" t="s">
        <v>74</v>
      </c>
      <c r="AZ757" t="s">
        <v>74</v>
      </c>
      <c r="BA757" t="s">
        <v>74</v>
      </c>
      <c r="BB757">
        <v>486</v>
      </c>
      <c r="BC757">
        <v>491</v>
      </c>
      <c r="BD757" t="s">
        <v>74</v>
      </c>
      <c r="BE757" t="s">
        <v>13762</v>
      </c>
      <c r="BF757" t="str">
        <f>HYPERLINK("http://dx.doi.org/10.1016/j.dsr.2011.02.006","http://dx.doi.org/10.1016/j.dsr.2011.02.006")</f>
        <v>http://dx.doi.org/10.1016/j.dsr.2011.02.006</v>
      </c>
      <c r="BG757" t="s">
        <v>74</v>
      </c>
      <c r="BH757" t="s">
        <v>74</v>
      </c>
      <c r="BI757">
        <v>6</v>
      </c>
      <c r="BJ757" t="s">
        <v>271</v>
      </c>
      <c r="BK757" t="s">
        <v>100</v>
      </c>
      <c r="BL757" t="s">
        <v>271</v>
      </c>
      <c r="BM757" t="s">
        <v>13731</v>
      </c>
      <c r="BN757" t="s">
        <v>74</v>
      </c>
      <c r="BO757" t="s">
        <v>74</v>
      </c>
      <c r="BP757" t="s">
        <v>74</v>
      </c>
      <c r="BQ757" t="s">
        <v>74</v>
      </c>
      <c r="BR757" t="s">
        <v>103</v>
      </c>
      <c r="BS757" t="s">
        <v>13763</v>
      </c>
      <c r="BT757" t="str">
        <f>HYPERLINK("https%3A%2F%2Fwww.webofscience.com%2Fwos%2Fwoscc%2Ffull-record%2FWOS:000289391000014","View Full Record in Web of Science")</f>
        <v>View Full Record in Web of Science</v>
      </c>
    </row>
    <row r="758" spans="1:72" x14ac:dyDescent="0.15">
      <c r="A758" t="s">
        <v>72</v>
      </c>
      <c r="B758" t="s">
        <v>13764</v>
      </c>
      <c r="C758" t="s">
        <v>74</v>
      </c>
      <c r="D758" t="s">
        <v>74</v>
      </c>
      <c r="E758" t="s">
        <v>74</v>
      </c>
      <c r="F758" t="s">
        <v>13765</v>
      </c>
      <c r="G758" t="s">
        <v>74</v>
      </c>
      <c r="H758" t="s">
        <v>74</v>
      </c>
      <c r="I758" t="s">
        <v>13766</v>
      </c>
      <c r="J758" t="s">
        <v>4460</v>
      </c>
      <c r="K758" t="s">
        <v>74</v>
      </c>
      <c r="L758" t="s">
        <v>74</v>
      </c>
      <c r="M758" t="s">
        <v>78</v>
      </c>
      <c r="N758" t="s">
        <v>79</v>
      </c>
      <c r="O758" t="s">
        <v>74</v>
      </c>
      <c r="P758" t="s">
        <v>74</v>
      </c>
      <c r="Q758" t="s">
        <v>74</v>
      </c>
      <c r="R758" t="s">
        <v>74</v>
      </c>
      <c r="S758" t="s">
        <v>74</v>
      </c>
      <c r="T758" t="s">
        <v>13767</v>
      </c>
      <c r="U758" t="s">
        <v>13768</v>
      </c>
      <c r="V758" t="s">
        <v>13769</v>
      </c>
      <c r="W758" t="s">
        <v>13770</v>
      </c>
      <c r="X758" t="s">
        <v>13771</v>
      </c>
      <c r="Y758" t="s">
        <v>13772</v>
      </c>
      <c r="Z758" t="s">
        <v>13773</v>
      </c>
      <c r="AA758" t="s">
        <v>13774</v>
      </c>
      <c r="AB758" t="s">
        <v>13775</v>
      </c>
      <c r="AC758" t="s">
        <v>13776</v>
      </c>
      <c r="AD758" t="s">
        <v>13777</v>
      </c>
      <c r="AE758" t="s">
        <v>13778</v>
      </c>
      <c r="AF758" t="s">
        <v>74</v>
      </c>
      <c r="AG758">
        <v>69</v>
      </c>
      <c r="AH758">
        <v>19</v>
      </c>
      <c r="AI758">
        <v>22</v>
      </c>
      <c r="AJ758">
        <v>1</v>
      </c>
      <c r="AK758">
        <v>40</v>
      </c>
      <c r="AL758" t="s">
        <v>926</v>
      </c>
      <c r="AM758" t="s">
        <v>508</v>
      </c>
      <c r="AN758" t="s">
        <v>927</v>
      </c>
      <c r="AO758" t="s">
        <v>4472</v>
      </c>
      <c r="AP758" t="s">
        <v>4473</v>
      </c>
      <c r="AQ758" t="s">
        <v>74</v>
      </c>
      <c r="AR758" t="s">
        <v>4474</v>
      </c>
      <c r="AS758" t="s">
        <v>4475</v>
      </c>
      <c r="AT758" t="s">
        <v>12548</v>
      </c>
      <c r="AU758">
        <v>2011</v>
      </c>
      <c r="AV758">
        <v>58</v>
      </c>
      <c r="AW758" t="s">
        <v>5648</v>
      </c>
      <c r="AX758" t="s">
        <v>74</v>
      </c>
      <c r="AY758" t="s">
        <v>74</v>
      </c>
      <c r="AZ758" t="s">
        <v>74</v>
      </c>
      <c r="BA758" t="s">
        <v>74</v>
      </c>
      <c r="BB758">
        <v>948</v>
      </c>
      <c r="BC758">
        <v>958</v>
      </c>
      <c r="BD758" t="s">
        <v>74</v>
      </c>
      <c r="BE758" t="s">
        <v>13779</v>
      </c>
      <c r="BF758" t="str">
        <f>HYPERLINK("http://dx.doi.org/10.1016/j.dsr2.2010.10.050","http://dx.doi.org/10.1016/j.dsr2.2010.10.050")</f>
        <v>http://dx.doi.org/10.1016/j.dsr2.2010.10.050</v>
      </c>
      <c r="BG758" t="s">
        <v>74</v>
      </c>
      <c r="BH758" t="s">
        <v>74</v>
      </c>
      <c r="BI758">
        <v>11</v>
      </c>
      <c r="BJ758" t="s">
        <v>271</v>
      </c>
      <c r="BK758" t="s">
        <v>100</v>
      </c>
      <c r="BL758" t="s">
        <v>271</v>
      </c>
      <c r="BM758" t="s">
        <v>13780</v>
      </c>
      <c r="BN758" t="s">
        <v>74</v>
      </c>
      <c r="BO758" t="s">
        <v>74</v>
      </c>
      <c r="BP758" t="s">
        <v>74</v>
      </c>
      <c r="BQ758" t="s">
        <v>74</v>
      </c>
      <c r="BR758" t="s">
        <v>103</v>
      </c>
      <c r="BS758" t="s">
        <v>13781</v>
      </c>
      <c r="BT758" t="str">
        <f>HYPERLINK("https%3A%2F%2Fwww.webofscience.com%2Fwos%2Fwoscc%2Ffull-record%2FWOS:000289456000007","View Full Record in Web of Science")</f>
        <v>View Full Record in Web of Science</v>
      </c>
    </row>
    <row r="759" spans="1:72" x14ac:dyDescent="0.15">
      <c r="A759" t="s">
        <v>72</v>
      </c>
      <c r="B759" t="s">
        <v>13782</v>
      </c>
      <c r="C759" t="s">
        <v>74</v>
      </c>
      <c r="D759" t="s">
        <v>74</v>
      </c>
      <c r="E759" t="s">
        <v>74</v>
      </c>
      <c r="F759" t="s">
        <v>13783</v>
      </c>
      <c r="G759" t="s">
        <v>74</v>
      </c>
      <c r="H759" t="s">
        <v>74</v>
      </c>
      <c r="I759" t="s">
        <v>13784</v>
      </c>
      <c r="J759" t="s">
        <v>5177</v>
      </c>
      <c r="K759" t="s">
        <v>74</v>
      </c>
      <c r="L759" t="s">
        <v>74</v>
      </c>
      <c r="M759" t="s">
        <v>78</v>
      </c>
      <c r="N759" t="s">
        <v>79</v>
      </c>
      <c r="O759" t="s">
        <v>74</v>
      </c>
      <c r="P759" t="s">
        <v>74</v>
      </c>
      <c r="Q759" t="s">
        <v>74</v>
      </c>
      <c r="R759" t="s">
        <v>74</v>
      </c>
      <c r="S759" t="s">
        <v>74</v>
      </c>
      <c r="T759" t="s">
        <v>13785</v>
      </c>
      <c r="U759" t="s">
        <v>13786</v>
      </c>
      <c r="V759" t="s">
        <v>13787</v>
      </c>
      <c r="W759" t="s">
        <v>13788</v>
      </c>
      <c r="X759" t="s">
        <v>13789</v>
      </c>
      <c r="Y759" t="s">
        <v>13790</v>
      </c>
      <c r="Z759" t="s">
        <v>13791</v>
      </c>
      <c r="AA759" t="s">
        <v>13792</v>
      </c>
      <c r="AB759" t="s">
        <v>13793</v>
      </c>
      <c r="AC759" t="s">
        <v>13794</v>
      </c>
      <c r="AD759" t="s">
        <v>13795</v>
      </c>
      <c r="AE759" t="s">
        <v>13796</v>
      </c>
      <c r="AF759" t="s">
        <v>74</v>
      </c>
      <c r="AG759">
        <v>77</v>
      </c>
      <c r="AH759">
        <v>107</v>
      </c>
      <c r="AI759">
        <v>124</v>
      </c>
      <c r="AJ759">
        <v>2</v>
      </c>
      <c r="AK759">
        <v>148</v>
      </c>
      <c r="AL759" t="s">
        <v>1323</v>
      </c>
      <c r="AM759" t="s">
        <v>1324</v>
      </c>
      <c r="AN759" t="s">
        <v>1325</v>
      </c>
      <c r="AO759" t="s">
        <v>5189</v>
      </c>
      <c r="AP759" t="s">
        <v>5190</v>
      </c>
      <c r="AQ759" t="s">
        <v>74</v>
      </c>
      <c r="AR759" t="s">
        <v>5177</v>
      </c>
      <c r="AS759" t="s">
        <v>5191</v>
      </c>
      <c r="AT759" t="s">
        <v>12548</v>
      </c>
      <c r="AU759">
        <v>2011</v>
      </c>
      <c r="AV759">
        <v>92</v>
      </c>
      <c r="AW759">
        <v>4</v>
      </c>
      <c r="AX759" t="s">
        <v>74</v>
      </c>
      <c r="AY759" t="s">
        <v>74</v>
      </c>
      <c r="AZ759" t="s">
        <v>74</v>
      </c>
      <c r="BA759" t="s">
        <v>74</v>
      </c>
      <c r="BB759">
        <v>967</v>
      </c>
      <c r="BC759">
        <v>982</v>
      </c>
      <c r="BD759" t="s">
        <v>74</v>
      </c>
      <c r="BE759" t="s">
        <v>13797</v>
      </c>
      <c r="BF759" t="str">
        <f>HYPERLINK("http://dx.doi.org/10.1890/10-0378.1","http://dx.doi.org/10.1890/10-0378.1")</f>
        <v>http://dx.doi.org/10.1890/10-0378.1</v>
      </c>
      <c r="BG759" t="s">
        <v>74</v>
      </c>
      <c r="BH759" t="s">
        <v>74</v>
      </c>
      <c r="BI759">
        <v>16</v>
      </c>
      <c r="BJ759" t="s">
        <v>5191</v>
      </c>
      <c r="BK759" t="s">
        <v>100</v>
      </c>
      <c r="BL759" t="s">
        <v>5193</v>
      </c>
      <c r="BM759" t="s">
        <v>13798</v>
      </c>
      <c r="BN759">
        <v>21661558</v>
      </c>
      <c r="BO759" t="s">
        <v>74</v>
      </c>
      <c r="BP759" t="s">
        <v>74</v>
      </c>
      <c r="BQ759" t="s">
        <v>74</v>
      </c>
      <c r="BR759" t="s">
        <v>103</v>
      </c>
      <c r="BS759" t="s">
        <v>13799</v>
      </c>
      <c r="BT759" t="str">
        <f>HYPERLINK("https%3A%2F%2Fwww.webofscience.com%2Fwos%2Fwoscc%2Ffull-record%2FWOS:000290533700017","View Full Record in Web of Science")</f>
        <v>View Full Record in Web of Science</v>
      </c>
    </row>
    <row r="760" spans="1:72" x14ac:dyDescent="0.15">
      <c r="A760" t="s">
        <v>72</v>
      </c>
      <c r="B760" t="s">
        <v>13800</v>
      </c>
      <c r="C760" t="s">
        <v>74</v>
      </c>
      <c r="D760" t="s">
        <v>74</v>
      </c>
      <c r="E760" t="s">
        <v>74</v>
      </c>
      <c r="F760" t="s">
        <v>13801</v>
      </c>
      <c r="G760" t="s">
        <v>74</v>
      </c>
      <c r="H760" t="s">
        <v>74</v>
      </c>
      <c r="I760" t="s">
        <v>13802</v>
      </c>
      <c r="J760" t="s">
        <v>13803</v>
      </c>
      <c r="K760" t="s">
        <v>74</v>
      </c>
      <c r="L760" t="s">
        <v>74</v>
      </c>
      <c r="M760" t="s">
        <v>78</v>
      </c>
      <c r="N760" t="s">
        <v>79</v>
      </c>
      <c r="O760" t="s">
        <v>74</v>
      </c>
      <c r="P760" t="s">
        <v>74</v>
      </c>
      <c r="Q760" t="s">
        <v>74</v>
      </c>
      <c r="R760" t="s">
        <v>74</v>
      </c>
      <c r="S760" t="s">
        <v>74</v>
      </c>
      <c r="T760" t="s">
        <v>13804</v>
      </c>
      <c r="U760" t="s">
        <v>13805</v>
      </c>
      <c r="V760" t="s">
        <v>13806</v>
      </c>
      <c r="W760" t="s">
        <v>13807</v>
      </c>
      <c r="X760" t="s">
        <v>13808</v>
      </c>
      <c r="Y760" t="s">
        <v>13809</v>
      </c>
      <c r="Z760" t="s">
        <v>13810</v>
      </c>
      <c r="AA760" t="s">
        <v>13811</v>
      </c>
      <c r="AB760" t="s">
        <v>74</v>
      </c>
      <c r="AC760" t="s">
        <v>13812</v>
      </c>
      <c r="AD760" t="s">
        <v>13813</v>
      </c>
      <c r="AE760" t="s">
        <v>13814</v>
      </c>
      <c r="AF760" t="s">
        <v>74</v>
      </c>
      <c r="AG760">
        <v>42</v>
      </c>
      <c r="AH760">
        <v>33</v>
      </c>
      <c r="AI760">
        <v>34</v>
      </c>
      <c r="AJ760">
        <v>0</v>
      </c>
      <c r="AK760">
        <v>6</v>
      </c>
      <c r="AL760" t="s">
        <v>1441</v>
      </c>
      <c r="AM760" t="s">
        <v>1442</v>
      </c>
      <c r="AN760" t="s">
        <v>1443</v>
      </c>
      <c r="AO760" t="s">
        <v>13815</v>
      </c>
      <c r="AP760" t="s">
        <v>13816</v>
      </c>
      <c r="AQ760" t="s">
        <v>74</v>
      </c>
      <c r="AR760" t="s">
        <v>13817</v>
      </c>
      <c r="AS760" t="s">
        <v>13818</v>
      </c>
      <c r="AT760" t="s">
        <v>12548</v>
      </c>
      <c r="AU760">
        <v>2011</v>
      </c>
      <c r="AV760">
        <v>175</v>
      </c>
      <c r="AW760" t="s">
        <v>3418</v>
      </c>
      <c r="AX760" t="s">
        <v>74</v>
      </c>
      <c r="AY760" t="s">
        <v>74</v>
      </c>
      <c r="AZ760" t="s">
        <v>74</v>
      </c>
      <c r="BA760" t="s">
        <v>74</v>
      </c>
      <c r="BB760">
        <v>63</v>
      </c>
      <c r="BC760">
        <v>73</v>
      </c>
      <c r="BD760" t="s">
        <v>74</v>
      </c>
      <c r="BE760" t="s">
        <v>13819</v>
      </c>
      <c r="BF760" t="str">
        <f>HYPERLINK("http://dx.doi.org/10.1007/s10661-010-1493-5","http://dx.doi.org/10.1007/s10661-010-1493-5")</f>
        <v>http://dx.doi.org/10.1007/s10661-010-1493-5</v>
      </c>
      <c r="BG760" t="s">
        <v>74</v>
      </c>
      <c r="BH760" t="s">
        <v>74</v>
      </c>
      <c r="BI760">
        <v>11</v>
      </c>
      <c r="BJ760" t="s">
        <v>6748</v>
      </c>
      <c r="BK760" t="s">
        <v>100</v>
      </c>
      <c r="BL760" t="s">
        <v>5193</v>
      </c>
      <c r="BM760" t="s">
        <v>13820</v>
      </c>
      <c r="BN760">
        <v>20473562</v>
      </c>
      <c r="BO760" t="s">
        <v>74</v>
      </c>
      <c r="BP760" t="s">
        <v>74</v>
      </c>
      <c r="BQ760" t="s">
        <v>74</v>
      </c>
      <c r="BR760" t="s">
        <v>103</v>
      </c>
      <c r="BS760" t="s">
        <v>13821</v>
      </c>
      <c r="BT760" t="str">
        <f>HYPERLINK("https%3A%2F%2Fwww.webofscience.com%2Fwos%2Fwoscc%2Ffull-record%2FWOS:000288026600006","View Full Record in Web of Science")</f>
        <v>View Full Record in Web of Science</v>
      </c>
    </row>
    <row r="761" spans="1:72" x14ac:dyDescent="0.15">
      <c r="A761" t="s">
        <v>72</v>
      </c>
      <c r="B761" t="s">
        <v>13822</v>
      </c>
      <c r="C761" t="s">
        <v>74</v>
      </c>
      <c r="D761" t="s">
        <v>74</v>
      </c>
      <c r="E761" t="s">
        <v>74</v>
      </c>
      <c r="F761" t="s">
        <v>13823</v>
      </c>
      <c r="G761" t="s">
        <v>74</v>
      </c>
      <c r="H761" t="s">
        <v>74</v>
      </c>
      <c r="I761" t="s">
        <v>13824</v>
      </c>
      <c r="J761" t="s">
        <v>13825</v>
      </c>
      <c r="K761" t="s">
        <v>74</v>
      </c>
      <c r="L761" t="s">
        <v>74</v>
      </c>
      <c r="M761" t="s">
        <v>78</v>
      </c>
      <c r="N761" t="s">
        <v>79</v>
      </c>
      <c r="O761" t="s">
        <v>74</v>
      </c>
      <c r="P761" t="s">
        <v>74</v>
      </c>
      <c r="Q761" t="s">
        <v>74</v>
      </c>
      <c r="R761" t="s">
        <v>74</v>
      </c>
      <c r="S761" t="s">
        <v>74</v>
      </c>
      <c r="T761" t="s">
        <v>13826</v>
      </c>
      <c r="U761" t="s">
        <v>13827</v>
      </c>
      <c r="V761" t="s">
        <v>13828</v>
      </c>
      <c r="W761" t="s">
        <v>13829</v>
      </c>
      <c r="X761" t="s">
        <v>13830</v>
      </c>
      <c r="Y761" t="s">
        <v>13831</v>
      </c>
      <c r="Z761" t="s">
        <v>13832</v>
      </c>
      <c r="AA761" t="s">
        <v>74</v>
      </c>
      <c r="AB761" t="s">
        <v>13833</v>
      </c>
      <c r="AC761" t="s">
        <v>74</v>
      </c>
      <c r="AD761" t="s">
        <v>74</v>
      </c>
      <c r="AE761" t="s">
        <v>74</v>
      </c>
      <c r="AF761" t="s">
        <v>74</v>
      </c>
      <c r="AG761">
        <v>57</v>
      </c>
      <c r="AH761">
        <v>158</v>
      </c>
      <c r="AI761">
        <v>211</v>
      </c>
      <c r="AJ761">
        <v>11</v>
      </c>
      <c r="AK761">
        <v>180</v>
      </c>
      <c r="AL761" t="s">
        <v>507</v>
      </c>
      <c r="AM761" t="s">
        <v>508</v>
      </c>
      <c r="AN761" t="s">
        <v>509</v>
      </c>
      <c r="AO761" t="s">
        <v>13834</v>
      </c>
      <c r="AP761" t="s">
        <v>13835</v>
      </c>
      <c r="AQ761" t="s">
        <v>74</v>
      </c>
      <c r="AR761" t="s">
        <v>13836</v>
      </c>
      <c r="AS761" t="s">
        <v>13837</v>
      </c>
      <c r="AT761" t="s">
        <v>13150</v>
      </c>
      <c r="AU761">
        <v>2011</v>
      </c>
      <c r="AV761">
        <v>125</v>
      </c>
      <c r="AW761">
        <v>3</v>
      </c>
      <c r="AX761" t="s">
        <v>74</v>
      </c>
      <c r="AY761" t="s">
        <v>74</v>
      </c>
      <c r="AZ761" t="s">
        <v>74</v>
      </c>
      <c r="BA761" t="s">
        <v>74</v>
      </c>
      <c r="BB761">
        <v>1028</v>
      </c>
      <c r="BC761">
        <v>1036</v>
      </c>
      <c r="BD761" t="s">
        <v>74</v>
      </c>
      <c r="BE761" t="s">
        <v>13838</v>
      </c>
      <c r="BF761" t="str">
        <f>HYPERLINK("http://dx.doi.org/10.1016/j.foodchem.2010.10.013","http://dx.doi.org/10.1016/j.foodchem.2010.10.013")</f>
        <v>http://dx.doi.org/10.1016/j.foodchem.2010.10.013</v>
      </c>
      <c r="BG761" t="s">
        <v>74</v>
      </c>
      <c r="BH761" t="s">
        <v>74</v>
      </c>
      <c r="BI761">
        <v>9</v>
      </c>
      <c r="BJ761" t="s">
        <v>13839</v>
      </c>
      <c r="BK761" t="s">
        <v>100</v>
      </c>
      <c r="BL761" t="s">
        <v>13840</v>
      </c>
      <c r="BM761" t="s">
        <v>13841</v>
      </c>
      <c r="BN761" t="s">
        <v>74</v>
      </c>
      <c r="BO761" t="s">
        <v>74</v>
      </c>
      <c r="BP761" t="s">
        <v>74</v>
      </c>
      <c r="BQ761" t="s">
        <v>74</v>
      </c>
      <c r="BR761" t="s">
        <v>103</v>
      </c>
      <c r="BS761" t="s">
        <v>13842</v>
      </c>
      <c r="BT761" t="str">
        <f>HYPERLINK("https%3A%2F%2Fwww.webofscience.com%2Fwos%2Fwoscc%2Ffull-record%2FWOS:000284818400030","View Full Record in Web of Science")</f>
        <v>View Full Record in Web of Science</v>
      </c>
    </row>
    <row r="762" spans="1:72" x14ac:dyDescent="0.15">
      <c r="A762" t="s">
        <v>72</v>
      </c>
      <c r="B762" t="s">
        <v>13843</v>
      </c>
      <c r="C762" t="s">
        <v>74</v>
      </c>
      <c r="D762" t="s">
        <v>74</v>
      </c>
      <c r="E762" t="s">
        <v>74</v>
      </c>
      <c r="F762" t="s">
        <v>13844</v>
      </c>
      <c r="G762" t="s">
        <v>74</v>
      </c>
      <c r="H762" t="s">
        <v>74</v>
      </c>
      <c r="I762" t="s">
        <v>13845</v>
      </c>
      <c r="J762" t="s">
        <v>5300</v>
      </c>
      <c r="K762" t="s">
        <v>74</v>
      </c>
      <c r="L762" t="s">
        <v>74</v>
      </c>
      <c r="M762" t="s">
        <v>78</v>
      </c>
      <c r="N762" t="s">
        <v>2002</v>
      </c>
      <c r="O762" t="s">
        <v>74</v>
      </c>
      <c r="P762" t="s">
        <v>74</v>
      </c>
      <c r="Q762" t="s">
        <v>74</v>
      </c>
      <c r="R762" t="s">
        <v>74</v>
      </c>
      <c r="S762" t="s">
        <v>74</v>
      </c>
      <c r="T762" t="s">
        <v>74</v>
      </c>
      <c r="U762" t="s">
        <v>13846</v>
      </c>
      <c r="V762" t="s">
        <v>74</v>
      </c>
      <c r="W762" t="s">
        <v>13847</v>
      </c>
      <c r="X762" t="s">
        <v>13848</v>
      </c>
      <c r="Y762" t="s">
        <v>13849</v>
      </c>
      <c r="Z762" t="s">
        <v>74</v>
      </c>
      <c r="AA762" t="s">
        <v>74</v>
      </c>
      <c r="AB762" t="s">
        <v>74</v>
      </c>
      <c r="AC762" t="s">
        <v>13850</v>
      </c>
      <c r="AD762" t="s">
        <v>2067</v>
      </c>
      <c r="AE762" t="s">
        <v>74</v>
      </c>
      <c r="AF762" t="s">
        <v>74</v>
      </c>
      <c r="AG762">
        <v>25</v>
      </c>
      <c r="AH762">
        <v>3</v>
      </c>
      <c r="AI762">
        <v>3</v>
      </c>
      <c r="AJ762">
        <v>0</v>
      </c>
      <c r="AK762">
        <v>9</v>
      </c>
      <c r="AL762" t="s">
        <v>1712</v>
      </c>
      <c r="AM762" t="s">
        <v>1036</v>
      </c>
      <c r="AN762" t="s">
        <v>1713</v>
      </c>
      <c r="AO762" t="s">
        <v>5311</v>
      </c>
      <c r="AP762" t="s">
        <v>74</v>
      </c>
      <c r="AQ762" t="s">
        <v>74</v>
      </c>
      <c r="AR762" t="s">
        <v>5300</v>
      </c>
      <c r="AS762" t="s">
        <v>131</v>
      </c>
      <c r="AT762" t="s">
        <v>12548</v>
      </c>
      <c r="AU762">
        <v>2011</v>
      </c>
      <c r="AV762">
        <v>39</v>
      </c>
      <c r="AW762">
        <v>4</v>
      </c>
      <c r="AX762" t="s">
        <v>74</v>
      </c>
      <c r="AY762" t="s">
        <v>74</v>
      </c>
      <c r="AZ762" t="s">
        <v>74</v>
      </c>
      <c r="BA762" t="s">
        <v>74</v>
      </c>
      <c r="BB762">
        <v>415</v>
      </c>
      <c r="BC762">
        <v>416</v>
      </c>
      <c r="BD762" t="s">
        <v>74</v>
      </c>
      <c r="BE762" t="s">
        <v>13851</v>
      </c>
      <c r="BF762" t="str">
        <f>HYPERLINK("http://dx.doi.org/10.1130/focus042011.1","http://dx.doi.org/10.1130/focus042011.1")</f>
        <v>http://dx.doi.org/10.1130/focus042011.1</v>
      </c>
      <c r="BG762" t="s">
        <v>74</v>
      </c>
      <c r="BH762" t="s">
        <v>74</v>
      </c>
      <c r="BI762">
        <v>2</v>
      </c>
      <c r="BJ762" t="s">
        <v>131</v>
      </c>
      <c r="BK762" t="s">
        <v>100</v>
      </c>
      <c r="BL762" t="s">
        <v>131</v>
      </c>
      <c r="BM762" t="s">
        <v>13364</v>
      </c>
      <c r="BN762" t="s">
        <v>74</v>
      </c>
      <c r="BO762" t="s">
        <v>152</v>
      </c>
      <c r="BP762" t="s">
        <v>74</v>
      </c>
      <c r="BQ762" t="s">
        <v>74</v>
      </c>
      <c r="BR762" t="s">
        <v>103</v>
      </c>
      <c r="BS762" t="s">
        <v>13852</v>
      </c>
      <c r="BT762" t="str">
        <f>HYPERLINK("https%3A%2F%2Fwww.webofscience.com%2Fwos%2Fwoscc%2Ffull-record%2FWOS:000288507300032","View Full Record in Web of Science")</f>
        <v>View Full Record in Web of Science</v>
      </c>
    </row>
    <row r="763" spans="1:72" x14ac:dyDescent="0.15">
      <c r="A763" t="s">
        <v>72</v>
      </c>
      <c r="B763" t="s">
        <v>13853</v>
      </c>
      <c r="C763" t="s">
        <v>74</v>
      </c>
      <c r="D763" t="s">
        <v>74</v>
      </c>
      <c r="E763" t="s">
        <v>74</v>
      </c>
      <c r="F763" t="s">
        <v>13854</v>
      </c>
      <c r="G763" t="s">
        <v>74</v>
      </c>
      <c r="H763" t="s">
        <v>74</v>
      </c>
      <c r="I763" t="s">
        <v>13855</v>
      </c>
      <c r="J763" t="s">
        <v>13267</v>
      </c>
      <c r="K763" t="s">
        <v>74</v>
      </c>
      <c r="L763" t="s">
        <v>74</v>
      </c>
      <c r="M763" t="s">
        <v>78</v>
      </c>
      <c r="N763" t="s">
        <v>79</v>
      </c>
      <c r="O763" t="s">
        <v>74</v>
      </c>
      <c r="P763" t="s">
        <v>74</v>
      </c>
      <c r="Q763" t="s">
        <v>74</v>
      </c>
      <c r="R763" t="s">
        <v>74</v>
      </c>
      <c r="S763" t="s">
        <v>74</v>
      </c>
      <c r="T763" t="s">
        <v>13856</v>
      </c>
      <c r="U763" t="s">
        <v>13857</v>
      </c>
      <c r="V763" t="s">
        <v>13858</v>
      </c>
      <c r="W763" t="s">
        <v>13859</v>
      </c>
      <c r="X763" t="s">
        <v>13860</v>
      </c>
      <c r="Y763" t="s">
        <v>13861</v>
      </c>
      <c r="Z763" t="s">
        <v>13862</v>
      </c>
      <c r="AA763" t="s">
        <v>13863</v>
      </c>
      <c r="AB763" t="s">
        <v>13864</v>
      </c>
      <c r="AC763" t="s">
        <v>13865</v>
      </c>
      <c r="AD763" t="s">
        <v>2067</v>
      </c>
      <c r="AE763" t="s">
        <v>74</v>
      </c>
      <c r="AF763" t="s">
        <v>74</v>
      </c>
      <c r="AG763">
        <v>154</v>
      </c>
      <c r="AH763">
        <v>64</v>
      </c>
      <c r="AI763">
        <v>74</v>
      </c>
      <c r="AJ763">
        <v>0</v>
      </c>
      <c r="AK763">
        <v>10</v>
      </c>
      <c r="AL763" t="s">
        <v>308</v>
      </c>
      <c r="AM763" t="s">
        <v>309</v>
      </c>
      <c r="AN763" t="s">
        <v>310</v>
      </c>
      <c r="AO763" t="s">
        <v>13275</v>
      </c>
      <c r="AP763" t="s">
        <v>13866</v>
      </c>
      <c r="AQ763" t="s">
        <v>74</v>
      </c>
      <c r="AR763" t="s">
        <v>13276</v>
      </c>
      <c r="AS763" t="s">
        <v>13277</v>
      </c>
      <c r="AT763" t="s">
        <v>12548</v>
      </c>
      <c r="AU763">
        <v>2011</v>
      </c>
      <c r="AV763">
        <v>19</v>
      </c>
      <c r="AW763">
        <v>3</v>
      </c>
      <c r="AX763" t="s">
        <v>74</v>
      </c>
      <c r="AY763" t="s">
        <v>74</v>
      </c>
      <c r="AZ763" t="s">
        <v>864</v>
      </c>
      <c r="BA763" t="s">
        <v>74</v>
      </c>
      <c r="BB763">
        <v>594</v>
      </c>
      <c r="BC763">
        <v>607</v>
      </c>
      <c r="BD763" t="s">
        <v>74</v>
      </c>
      <c r="BE763" t="s">
        <v>13867</v>
      </c>
      <c r="BF763" t="str">
        <f>HYPERLINK("http://dx.doi.org/10.1016/j.gr.2010.08.001","http://dx.doi.org/10.1016/j.gr.2010.08.001")</f>
        <v>http://dx.doi.org/10.1016/j.gr.2010.08.001</v>
      </c>
      <c r="BG763" t="s">
        <v>74</v>
      </c>
      <c r="BH763" t="s">
        <v>74</v>
      </c>
      <c r="BI763">
        <v>14</v>
      </c>
      <c r="BJ763" t="s">
        <v>130</v>
      </c>
      <c r="BK763" t="s">
        <v>100</v>
      </c>
      <c r="BL763" t="s">
        <v>131</v>
      </c>
      <c r="BM763" t="s">
        <v>13279</v>
      </c>
      <c r="BN763" t="s">
        <v>74</v>
      </c>
      <c r="BO763" t="s">
        <v>74</v>
      </c>
      <c r="BP763" t="s">
        <v>74</v>
      </c>
      <c r="BQ763" t="s">
        <v>74</v>
      </c>
      <c r="BR763" t="s">
        <v>103</v>
      </c>
      <c r="BS763" t="s">
        <v>13868</v>
      </c>
      <c r="BT763" t="str">
        <f>HYPERLINK("https%3A%2F%2Fwww.webofscience.com%2Fwos%2Fwoscc%2Ffull-record%2FWOS:000289047000004","View Full Record in Web of Science")</f>
        <v>View Full Record in Web of Science</v>
      </c>
    </row>
    <row r="764" spans="1:72" x14ac:dyDescent="0.15">
      <c r="A764" t="s">
        <v>72</v>
      </c>
      <c r="B764" t="s">
        <v>13869</v>
      </c>
      <c r="C764" t="s">
        <v>74</v>
      </c>
      <c r="D764" t="s">
        <v>74</v>
      </c>
      <c r="E764" t="s">
        <v>74</v>
      </c>
      <c r="F764" t="s">
        <v>13870</v>
      </c>
      <c r="G764" t="s">
        <v>74</v>
      </c>
      <c r="H764" t="s">
        <v>74</v>
      </c>
      <c r="I764" t="s">
        <v>13871</v>
      </c>
      <c r="J764" t="s">
        <v>13872</v>
      </c>
      <c r="K764" t="s">
        <v>74</v>
      </c>
      <c r="L764" t="s">
        <v>74</v>
      </c>
      <c r="M764" t="s">
        <v>78</v>
      </c>
      <c r="N764" t="s">
        <v>79</v>
      </c>
      <c r="O764" t="s">
        <v>74</v>
      </c>
      <c r="P764" t="s">
        <v>74</v>
      </c>
      <c r="Q764" t="s">
        <v>74</v>
      </c>
      <c r="R764" t="s">
        <v>74</v>
      </c>
      <c r="S764" t="s">
        <v>74</v>
      </c>
      <c r="T764" t="s">
        <v>13873</v>
      </c>
      <c r="U764" t="s">
        <v>13874</v>
      </c>
      <c r="V764" t="s">
        <v>13875</v>
      </c>
      <c r="W764" t="s">
        <v>13876</v>
      </c>
      <c r="X764" t="s">
        <v>13877</v>
      </c>
      <c r="Y764" t="s">
        <v>13878</v>
      </c>
      <c r="Z764" t="s">
        <v>13879</v>
      </c>
      <c r="AA764" t="s">
        <v>13880</v>
      </c>
      <c r="AB764" t="s">
        <v>13881</v>
      </c>
      <c r="AC764" t="s">
        <v>13882</v>
      </c>
      <c r="AD764" t="s">
        <v>13883</v>
      </c>
      <c r="AE764" t="s">
        <v>13884</v>
      </c>
      <c r="AF764" t="s">
        <v>74</v>
      </c>
      <c r="AG764">
        <v>17</v>
      </c>
      <c r="AH764">
        <v>77</v>
      </c>
      <c r="AI764">
        <v>86</v>
      </c>
      <c r="AJ764">
        <v>4</v>
      </c>
      <c r="AK764">
        <v>46</v>
      </c>
      <c r="AL764" t="s">
        <v>1571</v>
      </c>
      <c r="AM764" t="s">
        <v>1572</v>
      </c>
      <c r="AN764" t="s">
        <v>1573</v>
      </c>
      <c r="AO764" t="s">
        <v>13885</v>
      </c>
      <c r="AP764" t="s">
        <v>74</v>
      </c>
      <c r="AQ764" t="s">
        <v>74</v>
      </c>
      <c r="AR764" t="s">
        <v>13886</v>
      </c>
      <c r="AS764" t="s">
        <v>13887</v>
      </c>
      <c r="AT764" t="s">
        <v>12548</v>
      </c>
      <c r="AU764">
        <v>2011</v>
      </c>
      <c r="AV764">
        <v>15</v>
      </c>
      <c r="AW764">
        <v>2</v>
      </c>
      <c r="AX764" t="s">
        <v>74</v>
      </c>
      <c r="AY764" t="s">
        <v>74</v>
      </c>
      <c r="AZ764" t="s">
        <v>74</v>
      </c>
      <c r="BA764" t="s">
        <v>74</v>
      </c>
      <c r="BB764">
        <v>109</v>
      </c>
      <c r="BC764">
        <v>119</v>
      </c>
      <c r="BD764" t="s">
        <v>74</v>
      </c>
      <c r="BE764" t="s">
        <v>13888</v>
      </c>
      <c r="BF764" t="str">
        <f>HYPERLINK("http://dx.doi.org/10.1007/s10291-010-0174-8","http://dx.doi.org/10.1007/s10291-010-0174-8")</f>
        <v>http://dx.doi.org/10.1007/s10291-010-0174-8</v>
      </c>
      <c r="BG764" t="s">
        <v>74</v>
      </c>
      <c r="BH764" t="s">
        <v>74</v>
      </c>
      <c r="BI764">
        <v>11</v>
      </c>
      <c r="BJ764" t="s">
        <v>13889</v>
      </c>
      <c r="BK764" t="s">
        <v>100</v>
      </c>
      <c r="BL764" t="s">
        <v>13889</v>
      </c>
      <c r="BM764" t="s">
        <v>13890</v>
      </c>
      <c r="BN764" t="s">
        <v>74</v>
      </c>
      <c r="BO764" t="s">
        <v>74</v>
      </c>
      <c r="BP764" t="s">
        <v>74</v>
      </c>
      <c r="BQ764" t="s">
        <v>74</v>
      </c>
      <c r="BR764" t="s">
        <v>103</v>
      </c>
      <c r="BS764" t="s">
        <v>13891</v>
      </c>
      <c r="BT764" t="str">
        <f>HYPERLINK("https%3A%2F%2Fwww.webofscience.com%2Fwos%2Fwoscc%2Ffull-record%2FWOS:000288801200003","View Full Record in Web of Science")</f>
        <v>View Full Record in Web of Science</v>
      </c>
    </row>
    <row r="765" spans="1:72" x14ac:dyDescent="0.15">
      <c r="A765" t="s">
        <v>72</v>
      </c>
      <c r="B765" t="s">
        <v>871</v>
      </c>
      <c r="C765" t="s">
        <v>74</v>
      </c>
      <c r="D765" t="s">
        <v>74</v>
      </c>
      <c r="E765" t="s">
        <v>74</v>
      </c>
      <c r="F765" t="s">
        <v>872</v>
      </c>
      <c r="G765" t="s">
        <v>74</v>
      </c>
      <c r="H765" t="s">
        <v>74</v>
      </c>
      <c r="I765" t="s">
        <v>13892</v>
      </c>
      <c r="J765" t="s">
        <v>874</v>
      </c>
      <c r="K765" t="s">
        <v>74</v>
      </c>
      <c r="L765" t="s">
        <v>74</v>
      </c>
      <c r="M765" t="s">
        <v>78</v>
      </c>
      <c r="N765" t="s">
        <v>79</v>
      </c>
      <c r="O765" t="s">
        <v>74</v>
      </c>
      <c r="P765" t="s">
        <v>74</v>
      </c>
      <c r="Q765" t="s">
        <v>74</v>
      </c>
      <c r="R765" t="s">
        <v>74</v>
      </c>
      <c r="S765" t="s">
        <v>74</v>
      </c>
      <c r="T765" t="s">
        <v>74</v>
      </c>
      <c r="U765" t="s">
        <v>13893</v>
      </c>
      <c r="V765" t="s">
        <v>13894</v>
      </c>
      <c r="W765" t="s">
        <v>13895</v>
      </c>
      <c r="X765" t="s">
        <v>878</v>
      </c>
      <c r="Y765" t="s">
        <v>13896</v>
      </c>
      <c r="Z765" t="s">
        <v>13897</v>
      </c>
      <c r="AA765" t="s">
        <v>881</v>
      </c>
      <c r="AB765" t="s">
        <v>882</v>
      </c>
      <c r="AC765" t="s">
        <v>2312</v>
      </c>
      <c r="AD765" t="s">
        <v>240</v>
      </c>
      <c r="AE765" t="s">
        <v>13898</v>
      </c>
      <c r="AF765" t="s">
        <v>74</v>
      </c>
      <c r="AG765">
        <v>42</v>
      </c>
      <c r="AH765">
        <v>38</v>
      </c>
      <c r="AI765">
        <v>43</v>
      </c>
      <c r="AJ765">
        <v>0</v>
      </c>
      <c r="AK765">
        <v>18</v>
      </c>
      <c r="AL765" t="s">
        <v>885</v>
      </c>
      <c r="AM765" t="s">
        <v>886</v>
      </c>
      <c r="AN765" t="s">
        <v>887</v>
      </c>
      <c r="AO765" t="s">
        <v>888</v>
      </c>
      <c r="AP765" t="s">
        <v>74</v>
      </c>
      <c r="AQ765" t="s">
        <v>74</v>
      </c>
      <c r="AR765" t="s">
        <v>889</v>
      </c>
      <c r="AS765" t="s">
        <v>890</v>
      </c>
      <c r="AT765" t="s">
        <v>12548</v>
      </c>
      <c r="AU765">
        <v>2011</v>
      </c>
      <c r="AV765">
        <v>61</v>
      </c>
      <c r="AW765" t="s">
        <v>74</v>
      </c>
      <c r="AX765">
        <v>4</v>
      </c>
      <c r="AY765" t="s">
        <v>74</v>
      </c>
      <c r="AZ765" t="s">
        <v>74</v>
      </c>
      <c r="BA765" t="s">
        <v>74</v>
      </c>
      <c r="BB765">
        <v>979</v>
      </c>
      <c r="BC765">
        <v>984</v>
      </c>
      <c r="BD765" t="s">
        <v>74</v>
      </c>
      <c r="BE765" t="s">
        <v>13899</v>
      </c>
      <c r="BF765" t="str">
        <f>HYPERLINK("http://dx.doi.org/10.1099/ijs.0.021022-0","http://dx.doi.org/10.1099/ijs.0.021022-0")</f>
        <v>http://dx.doi.org/10.1099/ijs.0.021022-0</v>
      </c>
      <c r="BG765" t="s">
        <v>74</v>
      </c>
      <c r="BH765" t="s">
        <v>74</v>
      </c>
      <c r="BI765">
        <v>6</v>
      </c>
      <c r="BJ765" t="s">
        <v>892</v>
      </c>
      <c r="BK765" t="s">
        <v>100</v>
      </c>
      <c r="BL765" t="s">
        <v>892</v>
      </c>
      <c r="BM765" t="s">
        <v>12940</v>
      </c>
      <c r="BN765">
        <v>20511467</v>
      </c>
      <c r="BO765" t="s">
        <v>1039</v>
      </c>
      <c r="BP765" t="s">
        <v>74</v>
      </c>
      <c r="BQ765" t="s">
        <v>74</v>
      </c>
      <c r="BR765" t="s">
        <v>103</v>
      </c>
      <c r="BS765" t="s">
        <v>13900</v>
      </c>
      <c r="BT765" t="str">
        <f>HYPERLINK("https%3A%2F%2Fwww.webofscience.com%2Fwos%2Fwoscc%2Ffull-record%2FWOS:000290135000050","View Full Record in Web of Science")</f>
        <v>View Full Record in Web of Science</v>
      </c>
    </row>
    <row r="766" spans="1:72" x14ac:dyDescent="0.15">
      <c r="A766" t="s">
        <v>72</v>
      </c>
      <c r="B766" t="s">
        <v>13901</v>
      </c>
      <c r="C766" t="s">
        <v>74</v>
      </c>
      <c r="D766" t="s">
        <v>74</v>
      </c>
      <c r="E766" t="s">
        <v>74</v>
      </c>
      <c r="F766" t="s">
        <v>13902</v>
      </c>
      <c r="G766" t="s">
        <v>74</v>
      </c>
      <c r="H766" t="s">
        <v>74</v>
      </c>
      <c r="I766" t="s">
        <v>13903</v>
      </c>
      <c r="J766" t="s">
        <v>10587</v>
      </c>
      <c r="K766" t="s">
        <v>74</v>
      </c>
      <c r="L766" t="s">
        <v>74</v>
      </c>
      <c r="M766" t="s">
        <v>78</v>
      </c>
      <c r="N766" t="s">
        <v>79</v>
      </c>
      <c r="O766" t="s">
        <v>74</v>
      </c>
      <c r="P766" t="s">
        <v>74</v>
      </c>
      <c r="Q766" t="s">
        <v>74</v>
      </c>
      <c r="R766" t="s">
        <v>74</v>
      </c>
      <c r="S766" t="s">
        <v>74</v>
      </c>
      <c r="T766" t="s">
        <v>13904</v>
      </c>
      <c r="U766" t="s">
        <v>13905</v>
      </c>
      <c r="V766" t="s">
        <v>13906</v>
      </c>
      <c r="W766" t="s">
        <v>13907</v>
      </c>
      <c r="X766" t="s">
        <v>13908</v>
      </c>
      <c r="Y766" t="s">
        <v>13909</v>
      </c>
      <c r="Z766" t="s">
        <v>13910</v>
      </c>
      <c r="AA766" t="s">
        <v>13911</v>
      </c>
      <c r="AB766" t="s">
        <v>13912</v>
      </c>
      <c r="AC766" t="s">
        <v>13913</v>
      </c>
      <c r="AD766" t="s">
        <v>13914</v>
      </c>
      <c r="AE766" t="s">
        <v>13915</v>
      </c>
      <c r="AF766" t="s">
        <v>74</v>
      </c>
      <c r="AG766">
        <v>98</v>
      </c>
      <c r="AH766">
        <v>33</v>
      </c>
      <c r="AI766">
        <v>35</v>
      </c>
      <c r="AJ766">
        <v>0</v>
      </c>
      <c r="AK766">
        <v>23</v>
      </c>
      <c r="AL766" t="s">
        <v>2968</v>
      </c>
      <c r="AM766" t="s">
        <v>508</v>
      </c>
      <c r="AN766" t="s">
        <v>2969</v>
      </c>
      <c r="AO766" t="s">
        <v>10597</v>
      </c>
      <c r="AP766" t="s">
        <v>10598</v>
      </c>
      <c r="AQ766" t="s">
        <v>74</v>
      </c>
      <c r="AR766" t="s">
        <v>10599</v>
      </c>
      <c r="AS766" t="s">
        <v>10600</v>
      </c>
      <c r="AT766" t="s">
        <v>12548</v>
      </c>
      <c r="AU766">
        <v>2011</v>
      </c>
      <c r="AV766">
        <v>52</v>
      </c>
      <c r="AW766">
        <v>4</v>
      </c>
      <c r="AX766" t="s">
        <v>74</v>
      </c>
      <c r="AY766" t="s">
        <v>74</v>
      </c>
      <c r="AZ766" t="s">
        <v>74</v>
      </c>
      <c r="BA766" t="s">
        <v>74</v>
      </c>
      <c r="BB766">
        <v>665</v>
      </c>
      <c r="BC766">
        <v>690</v>
      </c>
      <c r="BD766" t="s">
        <v>74</v>
      </c>
      <c r="BE766" t="s">
        <v>13916</v>
      </c>
      <c r="BF766" t="str">
        <f>HYPERLINK("http://dx.doi.org/10.1093/petrology/egq099","http://dx.doi.org/10.1093/petrology/egq099")</f>
        <v>http://dx.doi.org/10.1093/petrology/egq099</v>
      </c>
      <c r="BG766" t="s">
        <v>74</v>
      </c>
      <c r="BH766" t="s">
        <v>74</v>
      </c>
      <c r="BI766">
        <v>26</v>
      </c>
      <c r="BJ766" t="s">
        <v>488</v>
      </c>
      <c r="BK766" t="s">
        <v>100</v>
      </c>
      <c r="BL766" t="s">
        <v>488</v>
      </c>
      <c r="BM766" t="s">
        <v>13917</v>
      </c>
      <c r="BN766" t="s">
        <v>74</v>
      </c>
      <c r="BO766" t="s">
        <v>152</v>
      </c>
      <c r="BP766" t="s">
        <v>74</v>
      </c>
      <c r="BQ766" t="s">
        <v>74</v>
      </c>
      <c r="BR766" t="s">
        <v>103</v>
      </c>
      <c r="BS766" t="s">
        <v>13918</v>
      </c>
      <c r="BT766" t="str">
        <f>HYPERLINK("https%3A%2F%2Fwww.webofscience.com%2Fwos%2Fwoscc%2Ffull-record%2FWOS:000289841100002","View Full Record in Web of Science")</f>
        <v>View Full Record in Web of Science</v>
      </c>
    </row>
    <row r="767" spans="1:72" x14ac:dyDescent="0.15">
      <c r="A767" t="s">
        <v>72</v>
      </c>
      <c r="B767" t="s">
        <v>13919</v>
      </c>
      <c r="C767" t="s">
        <v>74</v>
      </c>
      <c r="D767" t="s">
        <v>74</v>
      </c>
      <c r="E767" t="s">
        <v>74</v>
      </c>
      <c r="F767" t="s">
        <v>13920</v>
      </c>
      <c r="G767" t="s">
        <v>74</v>
      </c>
      <c r="H767" t="s">
        <v>74</v>
      </c>
      <c r="I767" t="s">
        <v>13921</v>
      </c>
      <c r="J767" t="s">
        <v>13922</v>
      </c>
      <c r="K767" t="s">
        <v>74</v>
      </c>
      <c r="L767" t="s">
        <v>74</v>
      </c>
      <c r="M767" t="s">
        <v>78</v>
      </c>
      <c r="N767" t="s">
        <v>79</v>
      </c>
      <c r="O767" t="s">
        <v>74</v>
      </c>
      <c r="P767" t="s">
        <v>74</v>
      </c>
      <c r="Q767" t="s">
        <v>74</v>
      </c>
      <c r="R767" t="s">
        <v>74</v>
      </c>
      <c r="S767" t="s">
        <v>74</v>
      </c>
      <c r="T767" t="s">
        <v>13923</v>
      </c>
      <c r="U767" t="s">
        <v>13924</v>
      </c>
      <c r="V767" t="s">
        <v>13925</v>
      </c>
      <c r="W767" t="s">
        <v>13926</v>
      </c>
      <c r="X767" t="s">
        <v>2015</v>
      </c>
      <c r="Y767" t="s">
        <v>13927</v>
      </c>
      <c r="Z767" t="s">
        <v>13928</v>
      </c>
      <c r="AA767" t="s">
        <v>13929</v>
      </c>
      <c r="AB767" t="s">
        <v>74</v>
      </c>
      <c r="AC767" t="s">
        <v>13930</v>
      </c>
      <c r="AD767" t="s">
        <v>4947</v>
      </c>
      <c r="AE767" t="s">
        <v>13931</v>
      </c>
      <c r="AF767" t="s">
        <v>74</v>
      </c>
      <c r="AG767">
        <v>19</v>
      </c>
      <c r="AH767">
        <v>4</v>
      </c>
      <c r="AI767">
        <v>4</v>
      </c>
      <c r="AJ767">
        <v>0</v>
      </c>
      <c r="AK767">
        <v>8</v>
      </c>
      <c r="AL767" t="s">
        <v>1441</v>
      </c>
      <c r="AM767" t="s">
        <v>91</v>
      </c>
      <c r="AN767" t="s">
        <v>1902</v>
      </c>
      <c r="AO767" t="s">
        <v>13932</v>
      </c>
      <c r="AP767" t="s">
        <v>13933</v>
      </c>
      <c r="AQ767" t="s">
        <v>74</v>
      </c>
      <c r="AR767" t="s">
        <v>13922</v>
      </c>
      <c r="AS767" t="s">
        <v>13934</v>
      </c>
      <c r="AT767" t="s">
        <v>12548</v>
      </c>
      <c r="AU767">
        <v>2011</v>
      </c>
      <c r="AV767">
        <v>21</v>
      </c>
      <c r="AW767">
        <v>3</v>
      </c>
      <c r="AX767" t="s">
        <v>74</v>
      </c>
      <c r="AY767" t="s">
        <v>74</v>
      </c>
      <c r="AZ767" t="s">
        <v>74</v>
      </c>
      <c r="BA767" t="s">
        <v>74</v>
      </c>
      <c r="BB767">
        <v>231</v>
      </c>
      <c r="BC767">
        <v>236</v>
      </c>
      <c r="BD767" t="s">
        <v>74</v>
      </c>
      <c r="BE767" t="s">
        <v>13935</v>
      </c>
      <c r="BF767" t="str">
        <f>HYPERLINK("http://dx.doi.org/10.1007/s00572-010-0328-0","http://dx.doi.org/10.1007/s00572-010-0328-0")</f>
        <v>http://dx.doi.org/10.1007/s00572-010-0328-0</v>
      </c>
      <c r="BG767" t="s">
        <v>74</v>
      </c>
      <c r="BH767" t="s">
        <v>74</v>
      </c>
      <c r="BI767">
        <v>6</v>
      </c>
      <c r="BJ767" t="s">
        <v>4790</v>
      </c>
      <c r="BK767" t="s">
        <v>100</v>
      </c>
      <c r="BL767" t="s">
        <v>4790</v>
      </c>
      <c r="BM767" t="s">
        <v>13936</v>
      </c>
      <c r="BN767">
        <v>20628887</v>
      </c>
      <c r="BO767" t="s">
        <v>74</v>
      </c>
      <c r="BP767" t="s">
        <v>74</v>
      </c>
      <c r="BQ767" t="s">
        <v>74</v>
      </c>
      <c r="BR767" t="s">
        <v>103</v>
      </c>
      <c r="BS767" t="s">
        <v>13937</v>
      </c>
      <c r="BT767" t="str">
        <f>HYPERLINK("https%3A%2F%2Fwww.webofscience.com%2Fwos%2Fwoscc%2Ffull-record%2FWOS:000288459400009","View Full Record in Web of Science")</f>
        <v>View Full Record in Web of Science</v>
      </c>
    </row>
    <row r="768" spans="1:72" x14ac:dyDescent="0.15">
      <c r="A768" t="s">
        <v>72</v>
      </c>
      <c r="B768" t="s">
        <v>13938</v>
      </c>
      <c r="C768" t="s">
        <v>74</v>
      </c>
      <c r="D768" t="s">
        <v>74</v>
      </c>
      <c r="E768" t="s">
        <v>74</v>
      </c>
      <c r="F768" t="s">
        <v>13939</v>
      </c>
      <c r="G768" t="s">
        <v>74</v>
      </c>
      <c r="H768" t="s">
        <v>74</v>
      </c>
      <c r="I768" t="s">
        <v>13940</v>
      </c>
      <c r="J768" t="s">
        <v>13941</v>
      </c>
      <c r="K768" t="s">
        <v>74</v>
      </c>
      <c r="L768" t="s">
        <v>74</v>
      </c>
      <c r="M768" t="s">
        <v>78</v>
      </c>
      <c r="N768" t="s">
        <v>79</v>
      </c>
      <c r="O768" t="s">
        <v>74</v>
      </c>
      <c r="P768" t="s">
        <v>74</v>
      </c>
      <c r="Q768" t="s">
        <v>74</v>
      </c>
      <c r="R768" t="s">
        <v>74</v>
      </c>
      <c r="S768" t="s">
        <v>74</v>
      </c>
      <c r="T768" t="s">
        <v>74</v>
      </c>
      <c r="U768" t="s">
        <v>13942</v>
      </c>
      <c r="V768" t="s">
        <v>13943</v>
      </c>
      <c r="W768" t="s">
        <v>13944</v>
      </c>
      <c r="X768" t="s">
        <v>13945</v>
      </c>
      <c r="Y768" t="s">
        <v>13946</v>
      </c>
      <c r="Z768" t="s">
        <v>11946</v>
      </c>
      <c r="AA768" t="s">
        <v>13947</v>
      </c>
      <c r="AB768" t="s">
        <v>13948</v>
      </c>
      <c r="AC768" t="s">
        <v>13949</v>
      </c>
      <c r="AD768" t="s">
        <v>11950</v>
      </c>
      <c r="AE768" t="s">
        <v>13950</v>
      </c>
      <c r="AF768" t="s">
        <v>74</v>
      </c>
      <c r="AG768">
        <v>32</v>
      </c>
      <c r="AH768">
        <v>138</v>
      </c>
      <c r="AI768">
        <v>147</v>
      </c>
      <c r="AJ768">
        <v>1</v>
      </c>
      <c r="AK768">
        <v>127</v>
      </c>
      <c r="AL768" t="s">
        <v>2577</v>
      </c>
      <c r="AM768" t="s">
        <v>1490</v>
      </c>
      <c r="AN768" t="s">
        <v>6989</v>
      </c>
      <c r="AO768" t="s">
        <v>13951</v>
      </c>
      <c r="AP768" t="s">
        <v>74</v>
      </c>
      <c r="AQ768" t="s">
        <v>74</v>
      </c>
      <c r="AR768" t="s">
        <v>13952</v>
      </c>
      <c r="AS768" t="s">
        <v>13953</v>
      </c>
      <c r="AT768" t="s">
        <v>12548</v>
      </c>
      <c r="AU768">
        <v>2011</v>
      </c>
      <c r="AV768">
        <v>1</v>
      </c>
      <c r="AW768">
        <v>1</v>
      </c>
      <c r="AX768" t="s">
        <v>74</v>
      </c>
      <c r="AY768" t="s">
        <v>74</v>
      </c>
      <c r="AZ768" t="s">
        <v>74</v>
      </c>
      <c r="BA768" t="s">
        <v>74</v>
      </c>
      <c r="BB768">
        <v>50</v>
      </c>
      <c r="BC768">
        <v>53</v>
      </c>
      <c r="BD768" t="s">
        <v>74</v>
      </c>
      <c r="BE768" t="s">
        <v>13954</v>
      </c>
      <c r="BF768" t="str">
        <f>HYPERLINK("http://dx.doi.org/10.1038/NCLIMATE1060","http://dx.doi.org/10.1038/NCLIMATE1060")</f>
        <v>http://dx.doi.org/10.1038/NCLIMATE1060</v>
      </c>
      <c r="BG768" t="s">
        <v>74</v>
      </c>
      <c r="BH768" t="s">
        <v>74</v>
      </c>
      <c r="BI768">
        <v>4</v>
      </c>
      <c r="BJ768" t="s">
        <v>13955</v>
      </c>
      <c r="BK768" t="s">
        <v>867</v>
      </c>
      <c r="BL768" t="s">
        <v>4454</v>
      </c>
      <c r="BM768" t="s">
        <v>13956</v>
      </c>
      <c r="BN768" t="s">
        <v>74</v>
      </c>
      <c r="BO768" t="s">
        <v>74</v>
      </c>
      <c r="BP768" t="s">
        <v>74</v>
      </c>
      <c r="BQ768" t="s">
        <v>74</v>
      </c>
      <c r="BR768" t="s">
        <v>103</v>
      </c>
      <c r="BS768" t="s">
        <v>13957</v>
      </c>
      <c r="BT768" t="str">
        <f>HYPERLINK("https%3A%2F%2Fwww.webofscience.com%2Fwos%2Fwoscc%2Ffull-record%2FWOS:000293718100023","View Full Record in Web of Science")</f>
        <v>View Full Record in Web of Science</v>
      </c>
    </row>
    <row r="769" spans="1:72" x14ac:dyDescent="0.15">
      <c r="A769" t="s">
        <v>72</v>
      </c>
      <c r="B769" t="s">
        <v>13958</v>
      </c>
      <c r="C769" t="s">
        <v>74</v>
      </c>
      <c r="D769" t="s">
        <v>74</v>
      </c>
      <c r="E769" t="s">
        <v>74</v>
      </c>
      <c r="F769" t="s">
        <v>13959</v>
      </c>
      <c r="G769" t="s">
        <v>74</v>
      </c>
      <c r="H769" t="s">
        <v>74</v>
      </c>
      <c r="I769" t="s">
        <v>13960</v>
      </c>
      <c r="J769" t="s">
        <v>13961</v>
      </c>
      <c r="K769" t="s">
        <v>74</v>
      </c>
      <c r="L769" t="s">
        <v>74</v>
      </c>
      <c r="M769" t="s">
        <v>78</v>
      </c>
      <c r="N769" t="s">
        <v>79</v>
      </c>
      <c r="O769" t="s">
        <v>74</v>
      </c>
      <c r="P769" t="s">
        <v>74</v>
      </c>
      <c r="Q769" t="s">
        <v>74</v>
      </c>
      <c r="R769" t="s">
        <v>74</v>
      </c>
      <c r="S769" t="s">
        <v>74</v>
      </c>
      <c r="T769" t="s">
        <v>74</v>
      </c>
      <c r="U769" t="s">
        <v>13962</v>
      </c>
      <c r="V769" t="s">
        <v>13963</v>
      </c>
      <c r="W769" t="s">
        <v>13964</v>
      </c>
      <c r="X769" t="s">
        <v>13965</v>
      </c>
      <c r="Y769" t="s">
        <v>13966</v>
      </c>
      <c r="Z769" t="s">
        <v>13967</v>
      </c>
      <c r="AA769" t="s">
        <v>13968</v>
      </c>
      <c r="AB769" t="s">
        <v>13969</v>
      </c>
      <c r="AC769" t="s">
        <v>13970</v>
      </c>
      <c r="AD769" t="s">
        <v>13971</v>
      </c>
      <c r="AE769" t="s">
        <v>13972</v>
      </c>
      <c r="AF769" t="s">
        <v>74</v>
      </c>
      <c r="AG769">
        <v>51</v>
      </c>
      <c r="AH769">
        <v>1049</v>
      </c>
      <c r="AI769">
        <v>1106</v>
      </c>
      <c r="AJ769">
        <v>17</v>
      </c>
      <c r="AK769">
        <v>115</v>
      </c>
      <c r="AL769" t="s">
        <v>169</v>
      </c>
      <c r="AM769" t="s">
        <v>170</v>
      </c>
      <c r="AN769" t="s">
        <v>171</v>
      </c>
      <c r="AO769" t="s">
        <v>13973</v>
      </c>
      <c r="AP769" t="s">
        <v>13974</v>
      </c>
      <c r="AQ769" t="s">
        <v>74</v>
      </c>
      <c r="AR769" t="s">
        <v>13975</v>
      </c>
      <c r="AS769" t="s">
        <v>13976</v>
      </c>
      <c r="AT769" t="s">
        <v>12548</v>
      </c>
      <c r="AU769">
        <v>2011</v>
      </c>
      <c r="AV769">
        <v>9</v>
      </c>
      <c r="AW769">
        <v>4</v>
      </c>
      <c r="AX769" t="s">
        <v>74</v>
      </c>
      <c r="AY769" t="s">
        <v>74</v>
      </c>
      <c r="AZ769" t="s">
        <v>74</v>
      </c>
      <c r="BA769" t="s">
        <v>74</v>
      </c>
      <c r="BB769" t="s">
        <v>74</v>
      </c>
      <c r="BC769" t="s">
        <v>74</v>
      </c>
      <c r="BD769" t="s">
        <v>13977</v>
      </c>
      <c r="BE769" t="s">
        <v>13978</v>
      </c>
      <c r="BF769" t="str">
        <f>HYPERLINK("http://dx.doi.org/10.1371/journal.pbio.1000606","http://dx.doi.org/10.1371/journal.pbio.1000606")</f>
        <v>http://dx.doi.org/10.1371/journal.pbio.1000606</v>
      </c>
      <c r="BG769" t="s">
        <v>74</v>
      </c>
      <c r="BH769" t="s">
        <v>74</v>
      </c>
      <c r="BI769">
        <v>9</v>
      </c>
      <c r="BJ769" t="s">
        <v>13596</v>
      </c>
      <c r="BK769" t="s">
        <v>100</v>
      </c>
      <c r="BL769" t="s">
        <v>13597</v>
      </c>
      <c r="BM769" t="s">
        <v>13979</v>
      </c>
      <c r="BN769">
        <v>21483714</v>
      </c>
      <c r="BO769" t="s">
        <v>13980</v>
      </c>
      <c r="BP769" t="s">
        <v>74</v>
      </c>
      <c r="BQ769" t="s">
        <v>74</v>
      </c>
      <c r="BR769" t="s">
        <v>103</v>
      </c>
      <c r="BS769" t="s">
        <v>13981</v>
      </c>
      <c r="BT769" t="str">
        <f>HYPERLINK("https%3A%2F%2Fwww.webofscience.com%2Fwos%2Fwoscc%2Ffull-record%2FWOS:000289938900001","View Full Record in Web of Science")</f>
        <v>View Full Record in Web of Science</v>
      </c>
    </row>
    <row r="770" spans="1:72" x14ac:dyDescent="0.15">
      <c r="A770" t="s">
        <v>72</v>
      </c>
      <c r="B770" t="s">
        <v>13982</v>
      </c>
      <c r="C770" t="s">
        <v>74</v>
      </c>
      <c r="D770" t="s">
        <v>74</v>
      </c>
      <c r="E770" t="s">
        <v>74</v>
      </c>
      <c r="F770" t="s">
        <v>13983</v>
      </c>
      <c r="G770" t="s">
        <v>74</v>
      </c>
      <c r="H770" t="s">
        <v>74</v>
      </c>
      <c r="I770" t="s">
        <v>13984</v>
      </c>
      <c r="J770" t="s">
        <v>1889</v>
      </c>
      <c r="K770" t="s">
        <v>74</v>
      </c>
      <c r="L770" t="s">
        <v>74</v>
      </c>
      <c r="M770" t="s">
        <v>78</v>
      </c>
      <c r="N770" t="s">
        <v>79</v>
      </c>
      <c r="O770" t="s">
        <v>74</v>
      </c>
      <c r="P770" t="s">
        <v>74</v>
      </c>
      <c r="Q770" t="s">
        <v>74</v>
      </c>
      <c r="R770" t="s">
        <v>74</v>
      </c>
      <c r="S770" t="s">
        <v>74</v>
      </c>
      <c r="T770" t="s">
        <v>13985</v>
      </c>
      <c r="U770" t="s">
        <v>13986</v>
      </c>
      <c r="V770" t="s">
        <v>13987</v>
      </c>
      <c r="W770" t="s">
        <v>13988</v>
      </c>
      <c r="X770" t="s">
        <v>13989</v>
      </c>
      <c r="Y770" t="s">
        <v>13990</v>
      </c>
      <c r="Z770" t="s">
        <v>13991</v>
      </c>
      <c r="AA770" t="s">
        <v>13992</v>
      </c>
      <c r="AB770" t="s">
        <v>13993</v>
      </c>
      <c r="AC770" t="s">
        <v>13994</v>
      </c>
      <c r="AD770" t="s">
        <v>13995</v>
      </c>
      <c r="AE770" t="s">
        <v>13996</v>
      </c>
      <c r="AF770" t="s">
        <v>74</v>
      </c>
      <c r="AG770">
        <v>51</v>
      </c>
      <c r="AH770">
        <v>32</v>
      </c>
      <c r="AI770">
        <v>32</v>
      </c>
      <c r="AJ770">
        <v>0</v>
      </c>
      <c r="AK770">
        <v>19</v>
      </c>
      <c r="AL770" t="s">
        <v>1441</v>
      </c>
      <c r="AM770" t="s">
        <v>91</v>
      </c>
      <c r="AN770" t="s">
        <v>1902</v>
      </c>
      <c r="AO770" t="s">
        <v>1903</v>
      </c>
      <c r="AP770" t="s">
        <v>1904</v>
      </c>
      <c r="AQ770" t="s">
        <v>74</v>
      </c>
      <c r="AR770" t="s">
        <v>1905</v>
      </c>
      <c r="AS770" t="s">
        <v>1906</v>
      </c>
      <c r="AT770" t="s">
        <v>12548</v>
      </c>
      <c r="AU770">
        <v>2011</v>
      </c>
      <c r="AV770">
        <v>34</v>
      </c>
      <c r="AW770">
        <v>4</v>
      </c>
      <c r="AX770" t="s">
        <v>74</v>
      </c>
      <c r="AY770" t="s">
        <v>74</v>
      </c>
      <c r="AZ770" t="s">
        <v>74</v>
      </c>
      <c r="BA770" t="s">
        <v>74</v>
      </c>
      <c r="BB770">
        <v>489</v>
      </c>
      <c r="BC770">
        <v>500</v>
      </c>
      <c r="BD770" t="s">
        <v>74</v>
      </c>
      <c r="BE770" t="s">
        <v>13997</v>
      </c>
      <c r="BF770" t="str">
        <f>HYPERLINK("http://dx.doi.org/10.1007/s00300-010-0903-z","http://dx.doi.org/10.1007/s00300-010-0903-z")</f>
        <v>http://dx.doi.org/10.1007/s00300-010-0903-z</v>
      </c>
      <c r="BG770" t="s">
        <v>74</v>
      </c>
      <c r="BH770" t="s">
        <v>74</v>
      </c>
      <c r="BI770">
        <v>12</v>
      </c>
      <c r="BJ770" t="s">
        <v>1908</v>
      </c>
      <c r="BK770" t="s">
        <v>100</v>
      </c>
      <c r="BL770" t="s">
        <v>1909</v>
      </c>
      <c r="BM770" t="s">
        <v>13433</v>
      </c>
      <c r="BN770" t="s">
        <v>74</v>
      </c>
      <c r="BO770" t="s">
        <v>1284</v>
      </c>
      <c r="BP770" t="s">
        <v>74</v>
      </c>
      <c r="BQ770" t="s">
        <v>74</v>
      </c>
      <c r="BR770" t="s">
        <v>103</v>
      </c>
      <c r="BS770" t="s">
        <v>13998</v>
      </c>
      <c r="BT770" t="str">
        <f>HYPERLINK("https%3A%2F%2Fwww.webofscience.com%2Fwos%2Fwoscc%2Ffull-record%2FWOS:000288454400002","View Full Record in Web of Science")</f>
        <v>View Full Record in Web of Science</v>
      </c>
    </row>
    <row r="771" spans="1:72" x14ac:dyDescent="0.15">
      <c r="A771" t="s">
        <v>72</v>
      </c>
      <c r="B771" t="s">
        <v>13999</v>
      </c>
      <c r="C771" t="s">
        <v>74</v>
      </c>
      <c r="D771" t="s">
        <v>74</v>
      </c>
      <c r="E771" t="s">
        <v>74</v>
      </c>
      <c r="F771" t="s">
        <v>14000</v>
      </c>
      <c r="G771" t="s">
        <v>74</v>
      </c>
      <c r="H771" t="s">
        <v>74</v>
      </c>
      <c r="I771" t="s">
        <v>14001</v>
      </c>
      <c r="J771" t="s">
        <v>1889</v>
      </c>
      <c r="K771" t="s">
        <v>74</v>
      </c>
      <c r="L771" t="s">
        <v>74</v>
      </c>
      <c r="M771" t="s">
        <v>78</v>
      </c>
      <c r="N771" t="s">
        <v>79</v>
      </c>
      <c r="O771" t="s">
        <v>74</v>
      </c>
      <c r="P771" t="s">
        <v>74</v>
      </c>
      <c r="Q771" t="s">
        <v>74</v>
      </c>
      <c r="R771" t="s">
        <v>74</v>
      </c>
      <c r="S771" t="s">
        <v>74</v>
      </c>
      <c r="T771" t="s">
        <v>14002</v>
      </c>
      <c r="U771" t="s">
        <v>14003</v>
      </c>
      <c r="V771" t="s">
        <v>14004</v>
      </c>
      <c r="W771" t="s">
        <v>14005</v>
      </c>
      <c r="X771" t="s">
        <v>14006</v>
      </c>
      <c r="Y771" t="s">
        <v>14007</v>
      </c>
      <c r="Z771" t="s">
        <v>14008</v>
      </c>
      <c r="AA771" t="s">
        <v>74</v>
      </c>
      <c r="AB771" t="s">
        <v>74</v>
      </c>
      <c r="AC771" t="s">
        <v>14009</v>
      </c>
      <c r="AD771" t="s">
        <v>14010</v>
      </c>
      <c r="AE771" t="s">
        <v>14011</v>
      </c>
      <c r="AF771" t="s">
        <v>74</v>
      </c>
      <c r="AG771">
        <v>91</v>
      </c>
      <c r="AH771">
        <v>60</v>
      </c>
      <c r="AI771">
        <v>66</v>
      </c>
      <c r="AJ771">
        <v>0</v>
      </c>
      <c r="AK771">
        <v>24</v>
      </c>
      <c r="AL771" t="s">
        <v>1441</v>
      </c>
      <c r="AM771" t="s">
        <v>91</v>
      </c>
      <c r="AN771" t="s">
        <v>1902</v>
      </c>
      <c r="AO771" t="s">
        <v>1903</v>
      </c>
      <c r="AP771" t="s">
        <v>1904</v>
      </c>
      <c r="AQ771" t="s">
        <v>74</v>
      </c>
      <c r="AR771" t="s">
        <v>1905</v>
      </c>
      <c r="AS771" t="s">
        <v>1906</v>
      </c>
      <c r="AT771" t="s">
        <v>12548</v>
      </c>
      <c r="AU771">
        <v>2011</v>
      </c>
      <c r="AV771">
        <v>34</v>
      </c>
      <c r="AW771">
        <v>4</v>
      </c>
      <c r="AX771" t="s">
        <v>74</v>
      </c>
      <c r="AY771" t="s">
        <v>74</v>
      </c>
      <c r="AZ771" t="s">
        <v>74</v>
      </c>
      <c r="BA771" t="s">
        <v>74</v>
      </c>
      <c r="BB771">
        <v>549</v>
      </c>
      <c r="BC771">
        <v>564</v>
      </c>
      <c r="BD771" t="s">
        <v>74</v>
      </c>
      <c r="BE771" t="s">
        <v>14012</v>
      </c>
      <c r="BF771" t="str">
        <f>HYPERLINK("http://dx.doi.org/10.1007/s00300-010-0913-x","http://dx.doi.org/10.1007/s00300-010-0913-x")</f>
        <v>http://dx.doi.org/10.1007/s00300-010-0913-x</v>
      </c>
      <c r="BG771" t="s">
        <v>74</v>
      </c>
      <c r="BH771" t="s">
        <v>74</v>
      </c>
      <c r="BI771">
        <v>16</v>
      </c>
      <c r="BJ771" t="s">
        <v>1908</v>
      </c>
      <c r="BK771" t="s">
        <v>100</v>
      </c>
      <c r="BL771" t="s">
        <v>1909</v>
      </c>
      <c r="BM771" t="s">
        <v>13433</v>
      </c>
      <c r="BN771" t="s">
        <v>74</v>
      </c>
      <c r="BO771" t="s">
        <v>74</v>
      </c>
      <c r="BP771" t="s">
        <v>74</v>
      </c>
      <c r="BQ771" t="s">
        <v>74</v>
      </c>
      <c r="BR771" t="s">
        <v>103</v>
      </c>
      <c r="BS771" t="s">
        <v>14013</v>
      </c>
      <c r="BT771" t="str">
        <f>HYPERLINK("https%3A%2F%2Fwww.webofscience.com%2Fwos%2Fwoscc%2Ffull-record%2FWOS:000288454400008","View Full Record in Web of Science")</f>
        <v>View Full Record in Web of Science</v>
      </c>
    </row>
    <row r="772" spans="1:72" x14ac:dyDescent="0.15">
      <c r="A772" t="s">
        <v>72</v>
      </c>
      <c r="B772" t="s">
        <v>14014</v>
      </c>
      <c r="C772" t="s">
        <v>74</v>
      </c>
      <c r="D772" t="s">
        <v>74</v>
      </c>
      <c r="E772" t="s">
        <v>74</v>
      </c>
      <c r="F772" t="s">
        <v>14015</v>
      </c>
      <c r="G772" t="s">
        <v>74</v>
      </c>
      <c r="H772" t="s">
        <v>74</v>
      </c>
      <c r="I772" t="s">
        <v>14016</v>
      </c>
      <c r="J772" t="s">
        <v>1889</v>
      </c>
      <c r="K772" t="s">
        <v>74</v>
      </c>
      <c r="L772" t="s">
        <v>74</v>
      </c>
      <c r="M772" t="s">
        <v>78</v>
      </c>
      <c r="N772" t="s">
        <v>79</v>
      </c>
      <c r="O772" t="s">
        <v>74</v>
      </c>
      <c r="P772" t="s">
        <v>74</v>
      </c>
      <c r="Q772" t="s">
        <v>74</v>
      </c>
      <c r="R772" t="s">
        <v>74</v>
      </c>
      <c r="S772" t="s">
        <v>74</v>
      </c>
      <c r="T772" t="s">
        <v>14017</v>
      </c>
      <c r="U772" t="s">
        <v>14018</v>
      </c>
      <c r="V772" t="s">
        <v>14019</v>
      </c>
      <c r="W772" t="s">
        <v>14020</v>
      </c>
      <c r="X772" t="s">
        <v>188</v>
      </c>
      <c r="Y772" t="s">
        <v>14021</v>
      </c>
      <c r="Z772" t="s">
        <v>14022</v>
      </c>
      <c r="AA772" t="s">
        <v>14023</v>
      </c>
      <c r="AB772" t="s">
        <v>14024</v>
      </c>
      <c r="AC772" t="s">
        <v>14025</v>
      </c>
      <c r="AD772" t="s">
        <v>14026</v>
      </c>
      <c r="AE772" t="s">
        <v>14027</v>
      </c>
      <c r="AF772" t="s">
        <v>74</v>
      </c>
      <c r="AG772">
        <v>46</v>
      </c>
      <c r="AH772">
        <v>21</v>
      </c>
      <c r="AI772">
        <v>21</v>
      </c>
      <c r="AJ772">
        <v>0</v>
      </c>
      <c r="AK772">
        <v>29</v>
      </c>
      <c r="AL772" t="s">
        <v>1441</v>
      </c>
      <c r="AM772" t="s">
        <v>91</v>
      </c>
      <c r="AN772" t="s">
        <v>1595</v>
      </c>
      <c r="AO772" t="s">
        <v>1903</v>
      </c>
      <c r="AP772" t="s">
        <v>74</v>
      </c>
      <c r="AQ772" t="s">
        <v>74</v>
      </c>
      <c r="AR772" t="s">
        <v>1905</v>
      </c>
      <c r="AS772" t="s">
        <v>1906</v>
      </c>
      <c r="AT772" t="s">
        <v>12548</v>
      </c>
      <c r="AU772">
        <v>2011</v>
      </c>
      <c r="AV772">
        <v>34</v>
      </c>
      <c r="AW772">
        <v>4</v>
      </c>
      <c r="AX772" t="s">
        <v>74</v>
      </c>
      <c r="AY772" t="s">
        <v>74</v>
      </c>
      <c r="AZ772" t="s">
        <v>74</v>
      </c>
      <c r="BA772" t="s">
        <v>74</v>
      </c>
      <c r="BB772">
        <v>565</v>
      </c>
      <c r="BC772">
        <v>574</v>
      </c>
      <c r="BD772" t="s">
        <v>74</v>
      </c>
      <c r="BE772" t="s">
        <v>14028</v>
      </c>
      <c r="BF772" t="str">
        <f>HYPERLINK("http://dx.doi.org/10.1007/s00300-010-0915-8","http://dx.doi.org/10.1007/s00300-010-0915-8")</f>
        <v>http://dx.doi.org/10.1007/s00300-010-0915-8</v>
      </c>
      <c r="BG772" t="s">
        <v>74</v>
      </c>
      <c r="BH772" t="s">
        <v>74</v>
      </c>
      <c r="BI772">
        <v>10</v>
      </c>
      <c r="BJ772" t="s">
        <v>1908</v>
      </c>
      <c r="BK772" t="s">
        <v>100</v>
      </c>
      <c r="BL772" t="s">
        <v>1909</v>
      </c>
      <c r="BM772" t="s">
        <v>13433</v>
      </c>
      <c r="BN772" t="s">
        <v>74</v>
      </c>
      <c r="BO772" t="s">
        <v>1284</v>
      </c>
      <c r="BP772" t="s">
        <v>74</v>
      </c>
      <c r="BQ772" t="s">
        <v>74</v>
      </c>
      <c r="BR772" t="s">
        <v>103</v>
      </c>
      <c r="BS772" t="s">
        <v>14029</v>
      </c>
      <c r="BT772" t="str">
        <f>HYPERLINK("https%3A%2F%2Fwww.webofscience.com%2Fwos%2Fwoscc%2Ffull-record%2FWOS:000288454400009","View Full Record in Web of Science")</f>
        <v>View Full Record in Web of Science</v>
      </c>
    </row>
    <row r="773" spans="1:72" x14ac:dyDescent="0.15">
      <c r="A773" t="s">
        <v>72</v>
      </c>
      <c r="B773" t="s">
        <v>14030</v>
      </c>
      <c r="C773" t="s">
        <v>74</v>
      </c>
      <c r="D773" t="s">
        <v>74</v>
      </c>
      <c r="E773" t="s">
        <v>74</v>
      </c>
      <c r="F773" t="s">
        <v>14031</v>
      </c>
      <c r="G773" t="s">
        <v>74</v>
      </c>
      <c r="H773" t="s">
        <v>74</v>
      </c>
      <c r="I773" t="s">
        <v>14032</v>
      </c>
      <c r="J773" t="s">
        <v>1889</v>
      </c>
      <c r="K773" t="s">
        <v>74</v>
      </c>
      <c r="L773" t="s">
        <v>74</v>
      </c>
      <c r="M773" t="s">
        <v>78</v>
      </c>
      <c r="N773" t="s">
        <v>79</v>
      </c>
      <c r="O773" t="s">
        <v>74</v>
      </c>
      <c r="P773" t="s">
        <v>74</v>
      </c>
      <c r="Q773" t="s">
        <v>74</v>
      </c>
      <c r="R773" t="s">
        <v>74</v>
      </c>
      <c r="S773" t="s">
        <v>74</v>
      </c>
      <c r="T773" t="s">
        <v>14033</v>
      </c>
      <c r="U773" t="s">
        <v>14034</v>
      </c>
      <c r="V773" t="s">
        <v>14035</v>
      </c>
      <c r="W773" t="s">
        <v>14036</v>
      </c>
      <c r="X773" t="s">
        <v>2015</v>
      </c>
      <c r="Y773" t="s">
        <v>14037</v>
      </c>
      <c r="Z773" t="s">
        <v>14038</v>
      </c>
      <c r="AA773" t="s">
        <v>14039</v>
      </c>
      <c r="AB773" t="s">
        <v>14040</v>
      </c>
      <c r="AC773" t="s">
        <v>14041</v>
      </c>
      <c r="AD773" t="s">
        <v>14042</v>
      </c>
      <c r="AE773" t="s">
        <v>14043</v>
      </c>
      <c r="AF773" t="s">
        <v>74</v>
      </c>
      <c r="AG773">
        <v>31</v>
      </c>
      <c r="AH773">
        <v>8</v>
      </c>
      <c r="AI773">
        <v>8</v>
      </c>
      <c r="AJ773">
        <v>0</v>
      </c>
      <c r="AK773">
        <v>28</v>
      </c>
      <c r="AL773" t="s">
        <v>1441</v>
      </c>
      <c r="AM773" t="s">
        <v>91</v>
      </c>
      <c r="AN773" t="s">
        <v>1595</v>
      </c>
      <c r="AO773" t="s">
        <v>1903</v>
      </c>
      <c r="AP773" t="s">
        <v>1904</v>
      </c>
      <c r="AQ773" t="s">
        <v>74</v>
      </c>
      <c r="AR773" t="s">
        <v>1905</v>
      </c>
      <c r="AS773" t="s">
        <v>1906</v>
      </c>
      <c r="AT773" t="s">
        <v>12548</v>
      </c>
      <c r="AU773">
        <v>2011</v>
      </c>
      <c r="AV773">
        <v>34</v>
      </c>
      <c r="AW773">
        <v>4</v>
      </c>
      <c r="AX773" t="s">
        <v>74</v>
      </c>
      <c r="AY773" t="s">
        <v>74</v>
      </c>
      <c r="AZ773" t="s">
        <v>74</v>
      </c>
      <c r="BA773" t="s">
        <v>74</v>
      </c>
      <c r="BB773">
        <v>597</v>
      </c>
      <c r="BC773">
        <v>602</v>
      </c>
      <c r="BD773" t="s">
        <v>74</v>
      </c>
      <c r="BE773" t="s">
        <v>14044</v>
      </c>
      <c r="BF773" t="str">
        <f>HYPERLINK("http://dx.doi.org/10.1007/s00300-010-0909-6","http://dx.doi.org/10.1007/s00300-010-0909-6")</f>
        <v>http://dx.doi.org/10.1007/s00300-010-0909-6</v>
      </c>
      <c r="BG773" t="s">
        <v>74</v>
      </c>
      <c r="BH773" t="s">
        <v>74</v>
      </c>
      <c r="BI773">
        <v>6</v>
      </c>
      <c r="BJ773" t="s">
        <v>1908</v>
      </c>
      <c r="BK773" t="s">
        <v>100</v>
      </c>
      <c r="BL773" t="s">
        <v>1909</v>
      </c>
      <c r="BM773" t="s">
        <v>13433</v>
      </c>
      <c r="BN773" t="s">
        <v>74</v>
      </c>
      <c r="BO773" t="s">
        <v>74</v>
      </c>
      <c r="BP773" t="s">
        <v>74</v>
      </c>
      <c r="BQ773" t="s">
        <v>74</v>
      </c>
      <c r="BR773" t="s">
        <v>103</v>
      </c>
      <c r="BS773" t="s">
        <v>14045</v>
      </c>
      <c r="BT773" t="str">
        <f>HYPERLINK("https%3A%2F%2Fwww.webofscience.com%2Fwos%2Fwoscc%2Ffull-record%2FWOS:000288454400013","View Full Record in Web of Science")</f>
        <v>View Full Record in Web of Science</v>
      </c>
    </row>
    <row r="774" spans="1:72" x14ac:dyDescent="0.15">
      <c r="A774" t="s">
        <v>72</v>
      </c>
      <c r="B774" t="s">
        <v>14046</v>
      </c>
      <c r="C774" t="s">
        <v>74</v>
      </c>
      <c r="D774" t="s">
        <v>74</v>
      </c>
      <c r="E774" t="s">
        <v>74</v>
      </c>
      <c r="F774" t="s">
        <v>14047</v>
      </c>
      <c r="G774" t="s">
        <v>74</v>
      </c>
      <c r="H774" t="s">
        <v>74</v>
      </c>
      <c r="I774" t="s">
        <v>14048</v>
      </c>
      <c r="J774" t="s">
        <v>2656</v>
      </c>
      <c r="K774" t="s">
        <v>74</v>
      </c>
      <c r="L774" t="s">
        <v>74</v>
      </c>
      <c r="M774" t="s">
        <v>78</v>
      </c>
      <c r="N774" t="s">
        <v>79</v>
      </c>
      <c r="O774" t="s">
        <v>74</v>
      </c>
      <c r="P774" t="s">
        <v>74</v>
      </c>
      <c r="Q774" t="s">
        <v>74</v>
      </c>
      <c r="R774" t="s">
        <v>74</v>
      </c>
      <c r="S774" t="s">
        <v>74</v>
      </c>
      <c r="T774" t="s">
        <v>14049</v>
      </c>
      <c r="U774" t="s">
        <v>74</v>
      </c>
      <c r="V774" t="s">
        <v>14050</v>
      </c>
      <c r="W774" t="s">
        <v>14051</v>
      </c>
      <c r="X774" t="s">
        <v>14052</v>
      </c>
      <c r="Y774" t="s">
        <v>14053</v>
      </c>
      <c r="Z774" t="s">
        <v>14054</v>
      </c>
      <c r="AA774" t="s">
        <v>74</v>
      </c>
      <c r="AB774" t="s">
        <v>74</v>
      </c>
      <c r="AC774" t="s">
        <v>14055</v>
      </c>
      <c r="AD774" t="s">
        <v>14056</v>
      </c>
      <c r="AE774" t="s">
        <v>14057</v>
      </c>
      <c r="AF774" t="s">
        <v>74</v>
      </c>
      <c r="AG774">
        <v>45</v>
      </c>
      <c r="AH774">
        <v>7</v>
      </c>
      <c r="AI774">
        <v>13</v>
      </c>
      <c r="AJ774">
        <v>0</v>
      </c>
      <c r="AK774">
        <v>10</v>
      </c>
      <c r="AL774" t="s">
        <v>2669</v>
      </c>
      <c r="AM774" t="s">
        <v>309</v>
      </c>
      <c r="AN774" t="s">
        <v>2670</v>
      </c>
      <c r="AO774" t="s">
        <v>2671</v>
      </c>
      <c r="AP774" t="s">
        <v>2672</v>
      </c>
      <c r="AQ774" t="s">
        <v>74</v>
      </c>
      <c r="AR774" t="s">
        <v>2673</v>
      </c>
      <c r="AS774" t="s">
        <v>2674</v>
      </c>
      <c r="AT774" t="s">
        <v>12548</v>
      </c>
      <c r="AU774">
        <v>2011</v>
      </c>
      <c r="AV774">
        <v>5</v>
      </c>
      <c r="AW774">
        <v>1</v>
      </c>
      <c r="AX774" t="s">
        <v>74</v>
      </c>
      <c r="AY774" t="s">
        <v>74</v>
      </c>
      <c r="AZ774" t="s">
        <v>74</v>
      </c>
      <c r="BA774" t="s">
        <v>74</v>
      </c>
      <c r="BB774">
        <v>21</v>
      </c>
      <c r="BC774">
        <v>39</v>
      </c>
      <c r="BD774" t="s">
        <v>74</v>
      </c>
      <c r="BE774" t="s">
        <v>14058</v>
      </c>
      <c r="BF774" t="str">
        <f>HYPERLINK("http://dx.doi.org/10.1016/j.polar.2010.11.001","http://dx.doi.org/10.1016/j.polar.2010.11.001")</f>
        <v>http://dx.doi.org/10.1016/j.polar.2010.11.001</v>
      </c>
      <c r="BG774" t="s">
        <v>74</v>
      </c>
      <c r="BH774" t="s">
        <v>74</v>
      </c>
      <c r="BI774">
        <v>19</v>
      </c>
      <c r="BJ774" t="s">
        <v>2676</v>
      </c>
      <c r="BK774" t="s">
        <v>100</v>
      </c>
      <c r="BL774" t="s">
        <v>343</v>
      </c>
      <c r="BM774" t="s">
        <v>14059</v>
      </c>
      <c r="BN774" t="s">
        <v>74</v>
      </c>
      <c r="BO774" t="s">
        <v>1284</v>
      </c>
      <c r="BP774" t="s">
        <v>74</v>
      </c>
      <c r="BQ774" t="s">
        <v>74</v>
      </c>
      <c r="BR774" t="s">
        <v>103</v>
      </c>
      <c r="BS774" t="s">
        <v>14060</v>
      </c>
      <c r="BT774" t="str">
        <f>HYPERLINK("https%3A%2F%2Fwww.webofscience.com%2Fwos%2Fwoscc%2Ffull-record%2FWOS:000209057700003","View Full Record in Web of Science")</f>
        <v>View Full Record in Web of Science</v>
      </c>
    </row>
    <row r="775" spans="1:72" x14ac:dyDescent="0.15">
      <c r="A775" t="s">
        <v>72</v>
      </c>
      <c r="B775" t="s">
        <v>14061</v>
      </c>
      <c r="C775" t="s">
        <v>74</v>
      </c>
      <c r="D775" t="s">
        <v>74</v>
      </c>
      <c r="E775" t="s">
        <v>74</v>
      </c>
      <c r="F775" t="s">
        <v>14062</v>
      </c>
      <c r="G775" t="s">
        <v>74</v>
      </c>
      <c r="H775" t="s">
        <v>74</v>
      </c>
      <c r="I775" t="s">
        <v>14063</v>
      </c>
      <c r="J775" t="s">
        <v>2656</v>
      </c>
      <c r="K775" t="s">
        <v>74</v>
      </c>
      <c r="L775" t="s">
        <v>74</v>
      </c>
      <c r="M775" t="s">
        <v>78</v>
      </c>
      <c r="N775" t="s">
        <v>4724</v>
      </c>
      <c r="O775" t="s">
        <v>74</v>
      </c>
      <c r="P775" t="s">
        <v>74</v>
      </c>
      <c r="Q775" t="s">
        <v>74</v>
      </c>
      <c r="R775" t="s">
        <v>74</v>
      </c>
      <c r="S775" t="s">
        <v>74</v>
      </c>
      <c r="T775" t="s">
        <v>74</v>
      </c>
      <c r="U775" t="s">
        <v>74</v>
      </c>
      <c r="V775" t="s">
        <v>74</v>
      </c>
      <c r="W775" t="s">
        <v>14064</v>
      </c>
      <c r="X775" t="s">
        <v>14065</v>
      </c>
      <c r="Y775" t="s">
        <v>14066</v>
      </c>
      <c r="Z775" t="s">
        <v>14067</v>
      </c>
      <c r="AA775" t="s">
        <v>74</v>
      </c>
      <c r="AB775" t="s">
        <v>74</v>
      </c>
      <c r="AC775" t="s">
        <v>74</v>
      </c>
      <c r="AD775" t="s">
        <v>74</v>
      </c>
      <c r="AE775" t="s">
        <v>74</v>
      </c>
      <c r="AF775" t="s">
        <v>74</v>
      </c>
      <c r="AG775">
        <v>1</v>
      </c>
      <c r="AH775">
        <v>0</v>
      </c>
      <c r="AI775">
        <v>0</v>
      </c>
      <c r="AJ775">
        <v>0</v>
      </c>
      <c r="AK775">
        <v>2</v>
      </c>
      <c r="AL775" t="s">
        <v>2669</v>
      </c>
      <c r="AM775" t="s">
        <v>309</v>
      </c>
      <c r="AN775" t="s">
        <v>2670</v>
      </c>
      <c r="AO775" t="s">
        <v>2671</v>
      </c>
      <c r="AP775" t="s">
        <v>2672</v>
      </c>
      <c r="AQ775" t="s">
        <v>74</v>
      </c>
      <c r="AR775" t="s">
        <v>2673</v>
      </c>
      <c r="AS775" t="s">
        <v>2674</v>
      </c>
      <c r="AT775" t="s">
        <v>12548</v>
      </c>
      <c r="AU775">
        <v>2011</v>
      </c>
      <c r="AV775">
        <v>5</v>
      </c>
      <c r="AW775">
        <v>1</v>
      </c>
      <c r="AX775" t="s">
        <v>74</v>
      </c>
      <c r="AY775" t="s">
        <v>74</v>
      </c>
      <c r="AZ775" t="s">
        <v>74</v>
      </c>
      <c r="BA775" t="s">
        <v>74</v>
      </c>
      <c r="BB775">
        <v>73</v>
      </c>
      <c r="BC775">
        <v>73</v>
      </c>
      <c r="BD775" t="s">
        <v>74</v>
      </c>
      <c r="BE775" t="s">
        <v>14068</v>
      </c>
      <c r="BF775" t="str">
        <f>HYPERLINK("http://dx.doi.org/10.1016/j.polar.2010.12.001","http://dx.doi.org/10.1016/j.polar.2010.12.001")</f>
        <v>http://dx.doi.org/10.1016/j.polar.2010.12.001</v>
      </c>
      <c r="BG775" t="s">
        <v>74</v>
      </c>
      <c r="BH775" t="s">
        <v>74</v>
      </c>
      <c r="BI775">
        <v>1</v>
      </c>
      <c r="BJ775" t="s">
        <v>2676</v>
      </c>
      <c r="BK775" t="s">
        <v>100</v>
      </c>
      <c r="BL775" t="s">
        <v>343</v>
      </c>
      <c r="BM775" t="s">
        <v>14059</v>
      </c>
      <c r="BN775" t="s">
        <v>74</v>
      </c>
      <c r="BO775" t="s">
        <v>1284</v>
      </c>
      <c r="BP775" t="s">
        <v>74</v>
      </c>
      <c r="BQ775" t="s">
        <v>74</v>
      </c>
      <c r="BR775" t="s">
        <v>103</v>
      </c>
      <c r="BS775" t="s">
        <v>14069</v>
      </c>
      <c r="BT775" t="str">
        <f>HYPERLINK("https%3A%2F%2Fwww.webofscience.com%2Fwos%2Fwoscc%2Ffull-record%2FWOS:000209057700006","View Full Record in Web of Science")</f>
        <v>View Full Record in Web of Science</v>
      </c>
    </row>
    <row r="776" spans="1:72" x14ac:dyDescent="0.15">
      <c r="A776" t="s">
        <v>72</v>
      </c>
      <c r="B776" t="s">
        <v>14070</v>
      </c>
      <c r="C776" t="s">
        <v>74</v>
      </c>
      <c r="D776" t="s">
        <v>74</v>
      </c>
      <c r="E776" t="s">
        <v>74</v>
      </c>
      <c r="F776" t="s">
        <v>14071</v>
      </c>
      <c r="G776" t="s">
        <v>74</v>
      </c>
      <c r="H776" t="s">
        <v>74</v>
      </c>
      <c r="I776" t="s">
        <v>14072</v>
      </c>
      <c r="J776" t="s">
        <v>3994</v>
      </c>
      <c r="K776" t="s">
        <v>74</v>
      </c>
      <c r="L776" t="s">
        <v>74</v>
      </c>
      <c r="M776" t="s">
        <v>78</v>
      </c>
      <c r="N776" t="s">
        <v>79</v>
      </c>
      <c r="O776" t="s">
        <v>74</v>
      </c>
      <c r="P776" t="s">
        <v>74</v>
      </c>
      <c r="Q776" t="s">
        <v>74</v>
      </c>
      <c r="R776" t="s">
        <v>74</v>
      </c>
      <c r="S776" t="s">
        <v>74</v>
      </c>
      <c r="T776" t="s">
        <v>74</v>
      </c>
      <c r="U776" t="s">
        <v>14073</v>
      </c>
      <c r="V776" t="s">
        <v>14074</v>
      </c>
      <c r="W776" t="s">
        <v>14075</v>
      </c>
      <c r="X776" t="s">
        <v>14076</v>
      </c>
      <c r="Y776" t="s">
        <v>14077</v>
      </c>
      <c r="Z776" t="s">
        <v>14078</v>
      </c>
      <c r="AA776" t="s">
        <v>14079</v>
      </c>
      <c r="AB776" t="s">
        <v>14080</v>
      </c>
      <c r="AC776" t="s">
        <v>14081</v>
      </c>
      <c r="AD776" t="s">
        <v>14082</v>
      </c>
      <c r="AE776" t="s">
        <v>14083</v>
      </c>
      <c r="AF776" t="s">
        <v>74</v>
      </c>
      <c r="AG776">
        <v>106</v>
      </c>
      <c r="AH776">
        <v>53</v>
      </c>
      <c r="AI776">
        <v>57</v>
      </c>
      <c r="AJ776">
        <v>1</v>
      </c>
      <c r="AK776">
        <v>41</v>
      </c>
      <c r="AL776" t="s">
        <v>926</v>
      </c>
      <c r="AM776" t="s">
        <v>508</v>
      </c>
      <c r="AN776" t="s">
        <v>927</v>
      </c>
      <c r="AO776" t="s">
        <v>4005</v>
      </c>
      <c r="AP776" t="s">
        <v>74</v>
      </c>
      <c r="AQ776" t="s">
        <v>74</v>
      </c>
      <c r="AR776" t="s">
        <v>4006</v>
      </c>
      <c r="AS776" t="s">
        <v>4007</v>
      </c>
      <c r="AT776" t="s">
        <v>12548</v>
      </c>
      <c r="AU776">
        <v>2011</v>
      </c>
      <c r="AV776">
        <v>30</v>
      </c>
      <c r="AW776" t="s">
        <v>5648</v>
      </c>
      <c r="AX776" t="s">
        <v>74</v>
      </c>
      <c r="AY776" t="s">
        <v>74</v>
      </c>
      <c r="AZ776" t="s">
        <v>74</v>
      </c>
      <c r="BA776" t="s">
        <v>74</v>
      </c>
      <c r="BB776">
        <v>832</v>
      </c>
      <c r="BC776">
        <v>854</v>
      </c>
      <c r="BD776" t="s">
        <v>74</v>
      </c>
      <c r="BE776" t="s">
        <v>14084</v>
      </c>
      <c r="BF776" t="str">
        <f>HYPERLINK("http://dx.doi.org/10.1016/j.quascirev.2010.09.007","http://dx.doi.org/10.1016/j.quascirev.2010.09.007")</f>
        <v>http://dx.doi.org/10.1016/j.quascirev.2010.09.007</v>
      </c>
      <c r="BG776" t="s">
        <v>74</v>
      </c>
      <c r="BH776" t="s">
        <v>74</v>
      </c>
      <c r="BI776">
        <v>23</v>
      </c>
      <c r="BJ776" t="s">
        <v>1496</v>
      </c>
      <c r="BK776" t="s">
        <v>100</v>
      </c>
      <c r="BL776" t="s">
        <v>1497</v>
      </c>
      <c r="BM776" t="s">
        <v>14085</v>
      </c>
      <c r="BN776" t="s">
        <v>74</v>
      </c>
      <c r="BO776" t="s">
        <v>74</v>
      </c>
      <c r="BP776" t="s">
        <v>74</v>
      </c>
      <c r="BQ776" t="s">
        <v>74</v>
      </c>
      <c r="BR776" t="s">
        <v>103</v>
      </c>
      <c r="BS776" t="s">
        <v>14086</v>
      </c>
      <c r="BT776" t="str">
        <f>HYPERLINK("https%3A%2F%2Fwww.webofscience.com%2Fwos%2Fwoscc%2Ffull-record%2FWOS:000289128900006","View Full Record in Web of Science")</f>
        <v>View Full Record in Web of Science</v>
      </c>
    </row>
    <row r="777" spans="1:72" x14ac:dyDescent="0.15">
      <c r="A777" t="s">
        <v>72</v>
      </c>
      <c r="B777" t="s">
        <v>14087</v>
      </c>
      <c r="C777" t="s">
        <v>74</v>
      </c>
      <c r="D777" t="s">
        <v>74</v>
      </c>
      <c r="E777" t="s">
        <v>74</v>
      </c>
      <c r="F777" t="s">
        <v>14088</v>
      </c>
      <c r="G777" t="s">
        <v>74</v>
      </c>
      <c r="H777" t="s">
        <v>74</v>
      </c>
      <c r="I777" t="s">
        <v>14089</v>
      </c>
      <c r="J777" t="s">
        <v>3994</v>
      </c>
      <c r="K777" t="s">
        <v>74</v>
      </c>
      <c r="L777" t="s">
        <v>74</v>
      </c>
      <c r="M777" t="s">
        <v>78</v>
      </c>
      <c r="N777" t="s">
        <v>79</v>
      </c>
      <c r="O777" t="s">
        <v>74</v>
      </c>
      <c r="P777" t="s">
        <v>74</v>
      </c>
      <c r="Q777" t="s">
        <v>74</v>
      </c>
      <c r="R777" t="s">
        <v>74</v>
      </c>
      <c r="S777" t="s">
        <v>74</v>
      </c>
      <c r="T777" t="s">
        <v>14090</v>
      </c>
      <c r="U777" t="s">
        <v>14091</v>
      </c>
      <c r="V777" t="s">
        <v>14092</v>
      </c>
      <c r="W777" t="s">
        <v>14093</v>
      </c>
      <c r="X777" t="s">
        <v>3488</v>
      </c>
      <c r="Y777" t="s">
        <v>14094</v>
      </c>
      <c r="Z777" t="s">
        <v>14095</v>
      </c>
      <c r="AA777" t="s">
        <v>74</v>
      </c>
      <c r="AB777" t="s">
        <v>14096</v>
      </c>
      <c r="AC777" t="s">
        <v>14097</v>
      </c>
      <c r="AD777" t="s">
        <v>14098</v>
      </c>
      <c r="AE777" t="s">
        <v>14099</v>
      </c>
      <c r="AF777" t="s">
        <v>74</v>
      </c>
      <c r="AG777">
        <v>59</v>
      </c>
      <c r="AH777">
        <v>4</v>
      </c>
      <c r="AI777">
        <v>5</v>
      </c>
      <c r="AJ777">
        <v>0</v>
      </c>
      <c r="AK777">
        <v>16</v>
      </c>
      <c r="AL777" t="s">
        <v>926</v>
      </c>
      <c r="AM777" t="s">
        <v>508</v>
      </c>
      <c r="AN777" t="s">
        <v>927</v>
      </c>
      <c r="AO777" t="s">
        <v>4005</v>
      </c>
      <c r="AP777" t="s">
        <v>6060</v>
      </c>
      <c r="AQ777" t="s">
        <v>74</v>
      </c>
      <c r="AR777" t="s">
        <v>4006</v>
      </c>
      <c r="AS777" t="s">
        <v>4007</v>
      </c>
      <c r="AT777" t="s">
        <v>12548</v>
      </c>
      <c r="AU777">
        <v>2011</v>
      </c>
      <c r="AV777">
        <v>30</v>
      </c>
      <c r="AW777" t="s">
        <v>5648</v>
      </c>
      <c r="AX777" t="s">
        <v>74</v>
      </c>
      <c r="AY777" t="s">
        <v>74</v>
      </c>
      <c r="AZ777" t="s">
        <v>74</v>
      </c>
      <c r="BA777" t="s">
        <v>74</v>
      </c>
      <c r="BB777">
        <v>876</v>
      </c>
      <c r="BC777">
        <v>886</v>
      </c>
      <c r="BD777" t="s">
        <v>74</v>
      </c>
      <c r="BE777" t="s">
        <v>14100</v>
      </c>
      <c r="BF777" t="str">
        <f>HYPERLINK("http://dx.doi.org/10.1016/j.quascirev.2011.01.006","http://dx.doi.org/10.1016/j.quascirev.2011.01.006")</f>
        <v>http://dx.doi.org/10.1016/j.quascirev.2011.01.006</v>
      </c>
      <c r="BG777" t="s">
        <v>74</v>
      </c>
      <c r="BH777" t="s">
        <v>74</v>
      </c>
      <c r="BI777">
        <v>11</v>
      </c>
      <c r="BJ777" t="s">
        <v>1496</v>
      </c>
      <c r="BK777" t="s">
        <v>100</v>
      </c>
      <c r="BL777" t="s">
        <v>1497</v>
      </c>
      <c r="BM777" t="s">
        <v>14085</v>
      </c>
      <c r="BN777" t="s">
        <v>74</v>
      </c>
      <c r="BO777" t="s">
        <v>74</v>
      </c>
      <c r="BP777" t="s">
        <v>74</v>
      </c>
      <c r="BQ777" t="s">
        <v>74</v>
      </c>
      <c r="BR777" t="s">
        <v>103</v>
      </c>
      <c r="BS777" t="s">
        <v>14101</v>
      </c>
      <c r="BT777" t="str">
        <f>HYPERLINK("https%3A%2F%2Fwww.webofscience.com%2Fwos%2Fwoscc%2Ffull-record%2FWOS:000289128900009","View Full Record in Web of Science")</f>
        <v>View Full Record in Web of Science</v>
      </c>
    </row>
    <row r="778" spans="1:72" x14ac:dyDescent="0.15">
      <c r="A778" t="s">
        <v>72</v>
      </c>
      <c r="B778" t="s">
        <v>14102</v>
      </c>
      <c r="C778" t="s">
        <v>74</v>
      </c>
      <c r="D778" t="s">
        <v>74</v>
      </c>
      <c r="E778" t="s">
        <v>74</v>
      </c>
      <c r="F778" t="s">
        <v>14103</v>
      </c>
      <c r="G778" t="s">
        <v>74</v>
      </c>
      <c r="H778" t="s">
        <v>74</v>
      </c>
      <c r="I778" t="s">
        <v>14104</v>
      </c>
      <c r="J778" t="s">
        <v>6107</v>
      </c>
      <c r="K778" t="s">
        <v>74</v>
      </c>
      <c r="L778" t="s">
        <v>74</v>
      </c>
      <c r="M778" t="s">
        <v>4016</v>
      </c>
      <c r="N778" t="s">
        <v>79</v>
      </c>
      <c r="O778" t="s">
        <v>74</v>
      </c>
      <c r="P778" t="s">
        <v>74</v>
      </c>
      <c r="Q778" t="s">
        <v>74</v>
      </c>
      <c r="R778" t="s">
        <v>74</v>
      </c>
      <c r="S778" t="s">
        <v>74</v>
      </c>
      <c r="T778" t="s">
        <v>14105</v>
      </c>
      <c r="U778" t="s">
        <v>74</v>
      </c>
      <c r="V778" t="s">
        <v>14106</v>
      </c>
      <c r="W778" t="s">
        <v>14107</v>
      </c>
      <c r="X778" t="s">
        <v>14108</v>
      </c>
      <c r="Y778" t="s">
        <v>14109</v>
      </c>
      <c r="Z778" t="s">
        <v>14110</v>
      </c>
      <c r="AA778" t="s">
        <v>74</v>
      </c>
      <c r="AB778" t="s">
        <v>74</v>
      </c>
      <c r="AC778" t="s">
        <v>74</v>
      </c>
      <c r="AD778" t="s">
        <v>74</v>
      </c>
      <c r="AE778" t="s">
        <v>74</v>
      </c>
      <c r="AF778" t="s">
        <v>74</v>
      </c>
      <c r="AG778">
        <v>12</v>
      </c>
      <c r="AH778">
        <v>1</v>
      </c>
      <c r="AI778">
        <v>1</v>
      </c>
      <c r="AJ778">
        <v>0</v>
      </c>
      <c r="AK778">
        <v>0</v>
      </c>
      <c r="AL778" t="s">
        <v>6114</v>
      </c>
      <c r="AM778" t="s">
        <v>6115</v>
      </c>
      <c r="AN778" t="s">
        <v>6116</v>
      </c>
      <c r="AO778" t="s">
        <v>6117</v>
      </c>
      <c r="AP778" t="s">
        <v>74</v>
      </c>
      <c r="AQ778" t="s">
        <v>74</v>
      </c>
      <c r="AR778" t="s">
        <v>6118</v>
      </c>
      <c r="AS778" t="s">
        <v>6119</v>
      </c>
      <c r="AT778" t="s">
        <v>12804</v>
      </c>
      <c r="AU778">
        <v>2011</v>
      </c>
      <c r="AV778">
        <v>2</v>
      </c>
      <c r="AW778">
        <v>2</v>
      </c>
      <c r="AX778" t="s">
        <v>74</v>
      </c>
      <c r="AY778" t="s">
        <v>74</v>
      </c>
      <c r="AZ778" t="s">
        <v>74</v>
      </c>
      <c r="BA778" t="s">
        <v>74</v>
      </c>
      <c r="BB778">
        <v>70</v>
      </c>
      <c r="BC778">
        <v>78</v>
      </c>
      <c r="BD778" t="s">
        <v>74</v>
      </c>
      <c r="BE778" t="s">
        <v>74</v>
      </c>
      <c r="BF778" t="s">
        <v>74</v>
      </c>
      <c r="BG778" t="s">
        <v>74</v>
      </c>
      <c r="BH778" t="s">
        <v>74</v>
      </c>
      <c r="BI778">
        <v>9</v>
      </c>
      <c r="BJ778" t="s">
        <v>6120</v>
      </c>
      <c r="BK778" t="s">
        <v>2132</v>
      </c>
      <c r="BL778" t="s">
        <v>6120</v>
      </c>
      <c r="BM778" t="s">
        <v>14111</v>
      </c>
      <c r="BN778" t="s">
        <v>74</v>
      </c>
      <c r="BO778" t="s">
        <v>74</v>
      </c>
      <c r="BP778" t="s">
        <v>74</v>
      </c>
      <c r="BQ778" t="s">
        <v>74</v>
      </c>
      <c r="BR778" t="s">
        <v>103</v>
      </c>
      <c r="BS778" t="s">
        <v>14112</v>
      </c>
      <c r="BT778" t="str">
        <f>HYPERLINK("https%3A%2F%2Fwww.webofscience.com%2Fwos%2Fwoscc%2Ffull-record%2FWOS:000215955800002","View Full Record in Web of Science")</f>
        <v>View Full Record in Web of Science</v>
      </c>
    </row>
    <row r="779" spans="1:72" x14ac:dyDescent="0.15">
      <c r="A779" t="s">
        <v>72</v>
      </c>
      <c r="B779" t="s">
        <v>14113</v>
      </c>
      <c r="C779" t="s">
        <v>74</v>
      </c>
      <c r="D779" t="s">
        <v>74</v>
      </c>
      <c r="E779" t="s">
        <v>74</v>
      </c>
      <c r="F779" t="s">
        <v>14114</v>
      </c>
      <c r="G779" t="s">
        <v>74</v>
      </c>
      <c r="H779" t="s">
        <v>74</v>
      </c>
      <c r="I779" t="s">
        <v>14115</v>
      </c>
      <c r="J779" t="s">
        <v>14116</v>
      </c>
      <c r="K779" t="s">
        <v>74</v>
      </c>
      <c r="L779" t="s">
        <v>74</v>
      </c>
      <c r="M779" t="s">
        <v>78</v>
      </c>
      <c r="N779" t="s">
        <v>79</v>
      </c>
      <c r="O779" t="s">
        <v>74</v>
      </c>
      <c r="P779" t="s">
        <v>74</v>
      </c>
      <c r="Q779" t="s">
        <v>74</v>
      </c>
      <c r="R779" t="s">
        <v>74</v>
      </c>
      <c r="S779" t="s">
        <v>74</v>
      </c>
      <c r="T779" t="s">
        <v>74</v>
      </c>
      <c r="U779" t="s">
        <v>14117</v>
      </c>
      <c r="V779" t="s">
        <v>14118</v>
      </c>
      <c r="W779" t="s">
        <v>14119</v>
      </c>
      <c r="X779" t="s">
        <v>14120</v>
      </c>
      <c r="Y779" t="s">
        <v>14121</v>
      </c>
      <c r="Z779" t="s">
        <v>14122</v>
      </c>
      <c r="AA779" t="s">
        <v>14123</v>
      </c>
      <c r="AB779" t="s">
        <v>74</v>
      </c>
      <c r="AC779" t="s">
        <v>14124</v>
      </c>
      <c r="AD779" t="s">
        <v>14125</v>
      </c>
      <c r="AE779" t="s">
        <v>14126</v>
      </c>
      <c r="AF779" t="s">
        <v>74</v>
      </c>
      <c r="AG779">
        <v>73</v>
      </c>
      <c r="AH779">
        <v>31</v>
      </c>
      <c r="AI779">
        <v>33</v>
      </c>
      <c r="AJ779">
        <v>0</v>
      </c>
      <c r="AK779">
        <v>14</v>
      </c>
      <c r="AL779" t="s">
        <v>1323</v>
      </c>
      <c r="AM779" t="s">
        <v>1324</v>
      </c>
      <c r="AN779" t="s">
        <v>1325</v>
      </c>
      <c r="AO779" t="s">
        <v>14127</v>
      </c>
      <c r="AP779" t="s">
        <v>14128</v>
      </c>
      <c r="AQ779" t="s">
        <v>74</v>
      </c>
      <c r="AR779" t="s">
        <v>14129</v>
      </c>
      <c r="AS779" t="s">
        <v>14130</v>
      </c>
      <c r="AT779" t="s">
        <v>12548</v>
      </c>
      <c r="AU779">
        <v>2011</v>
      </c>
      <c r="AV779">
        <v>36</v>
      </c>
      <c r="AW779">
        <v>2</v>
      </c>
      <c r="AX779" t="s">
        <v>74</v>
      </c>
      <c r="AY779" t="s">
        <v>74</v>
      </c>
      <c r="AZ779" t="s">
        <v>74</v>
      </c>
      <c r="BA779" t="s">
        <v>74</v>
      </c>
      <c r="BB779">
        <v>223</v>
      </c>
      <c r="BC779">
        <v>240</v>
      </c>
      <c r="BD779" t="s">
        <v>74</v>
      </c>
      <c r="BE779" t="s">
        <v>14131</v>
      </c>
      <c r="BF779" t="str">
        <f>HYPERLINK("http://dx.doi.org/10.1111/j.1365-3113.2010.00553.x","http://dx.doi.org/10.1111/j.1365-3113.2010.00553.x")</f>
        <v>http://dx.doi.org/10.1111/j.1365-3113.2010.00553.x</v>
      </c>
      <c r="BG779" t="s">
        <v>74</v>
      </c>
      <c r="BH779" t="s">
        <v>74</v>
      </c>
      <c r="BI779">
        <v>18</v>
      </c>
      <c r="BJ779" t="s">
        <v>14132</v>
      </c>
      <c r="BK779" t="s">
        <v>100</v>
      </c>
      <c r="BL779" t="s">
        <v>14132</v>
      </c>
      <c r="BM779" t="s">
        <v>14133</v>
      </c>
      <c r="BN779" t="s">
        <v>74</v>
      </c>
      <c r="BO779" t="s">
        <v>74</v>
      </c>
      <c r="BP779" t="s">
        <v>74</v>
      </c>
      <c r="BQ779" t="s">
        <v>74</v>
      </c>
      <c r="BR779" t="s">
        <v>103</v>
      </c>
      <c r="BS779" t="s">
        <v>14134</v>
      </c>
      <c r="BT779" t="str">
        <f>HYPERLINK("https%3A%2F%2Fwww.webofscience.com%2Fwos%2Fwoscc%2Ffull-record%2FWOS:000288449300003","View Full Record in Web of Science")</f>
        <v>View Full Record in Web of Science</v>
      </c>
    </row>
    <row r="780" spans="1:72" x14ac:dyDescent="0.15">
      <c r="A780" t="s">
        <v>72</v>
      </c>
      <c r="B780" t="s">
        <v>14135</v>
      </c>
      <c r="C780" t="s">
        <v>74</v>
      </c>
      <c r="D780" t="s">
        <v>74</v>
      </c>
      <c r="E780" t="s">
        <v>74</v>
      </c>
      <c r="F780" t="s">
        <v>14136</v>
      </c>
      <c r="G780" t="s">
        <v>74</v>
      </c>
      <c r="H780" t="s">
        <v>74</v>
      </c>
      <c r="I780" t="s">
        <v>14137</v>
      </c>
      <c r="J780" t="s">
        <v>14138</v>
      </c>
      <c r="K780" t="s">
        <v>74</v>
      </c>
      <c r="L780" t="s">
        <v>74</v>
      </c>
      <c r="M780" t="s">
        <v>78</v>
      </c>
      <c r="N780" t="s">
        <v>79</v>
      </c>
      <c r="O780" t="s">
        <v>74</v>
      </c>
      <c r="P780" t="s">
        <v>74</v>
      </c>
      <c r="Q780" t="s">
        <v>74</v>
      </c>
      <c r="R780" t="s">
        <v>74</v>
      </c>
      <c r="S780" t="s">
        <v>74</v>
      </c>
      <c r="T780" t="s">
        <v>14139</v>
      </c>
      <c r="U780" t="s">
        <v>14140</v>
      </c>
      <c r="V780" t="s">
        <v>14141</v>
      </c>
      <c r="W780" t="s">
        <v>14142</v>
      </c>
      <c r="X780" t="s">
        <v>14143</v>
      </c>
      <c r="Y780" t="s">
        <v>14144</v>
      </c>
      <c r="Z780" t="s">
        <v>14145</v>
      </c>
      <c r="AA780" t="s">
        <v>14146</v>
      </c>
      <c r="AB780" t="s">
        <v>74</v>
      </c>
      <c r="AC780" t="s">
        <v>74</v>
      </c>
      <c r="AD780" t="s">
        <v>74</v>
      </c>
      <c r="AE780" t="s">
        <v>74</v>
      </c>
      <c r="AF780" t="s">
        <v>74</v>
      </c>
      <c r="AG780">
        <v>73</v>
      </c>
      <c r="AH780">
        <v>1</v>
      </c>
      <c r="AI780">
        <v>1</v>
      </c>
      <c r="AJ780">
        <v>1</v>
      </c>
      <c r="AK780">
        <v>7</v>
      </c>
      <c r="AL780" t="s">
        <v>14147</v>
      </c>
      <c r="AM780" t="s">
        <v>14148</v>
      </c>
      <c r="AN780" t="s">
        <v>14149</v>
      </c>
      <c r="AO780" t="s">
        <v>14150</v>
      </c>
      <c r="AP780" t="s">
        <v>14151</v>
      </c>
      <c r="AQ780" t="s">
        <v>74</v>
      </c>
      <c r="AR780" t="s">
        <v>14138</v>
      </c>
      <c r="AS780" t="s">
        <v>14152</v>
      </c>
      <c r="AT780" t="s">
        <v>12548</v>
      </c>
      <c r="AU780">
        <v>2011</v>
      </c>
      <c r="AV780">
        <v>60</v>
      </c>
      <c r="AW780">
        <v>1</v>
      </c>
      <c r="AX780" t="s">
        <v>74</v>
      </c>
      <c r="AY780" t="s">
        <v>74</v>
      </c>
      <c r="AZ780" t="s">
        <v>74</v>
      </c>
      <c r="BA780" t="s">
        <v>74</v>
      </c>
      <c r="BB780">
        <v>55</v>
      </c>
      <c r="BC780">
        <v>70</v>
      </c>
      <c r="BD780" t="s">
        <v>74</v>
      </c>
      <c r="BE780" t="s">
        <v>74</v>
      </c>
      <c r="BF780" t="s">
        <v>74</v>
      </c>
      <c r="BG780" t="s">
        <v>74</v>
      </c>
      <c r="BH780" t="s">
        <v>74</v>
      </c>
      <c r="BI780">
        <v>16</v>
      </c>
      <c r="BJ780" t="s">
        <v>14153</v>
      </c>
      <c r="BK780" t="s">
        <v>2132</v>
      </c>
      <c r="BL780" t="s">
        <v>14154</v>
      </c>
      <c r="BM780" t="s">
        <v>14155</v>
      </c>
      <c r="BN780" t="s">
        <v>74</v>
      </c>
      <c r="BO780" t="s">
        <v>74</v>
      </c>
      <c r="BP780" t="s">
        <v>74</v>
      </c>
      <c r="BQ780" t="s">
        <v>74</v>
      </c>
      <c r="BR780" t="s">
        <v>103</v>
      </c>
      <c r="BS780" t="s">
        <v>14156</v>
      </c>
      <c r="BT780" t="str">
        <f>HYPERLINK("https%3A%2F%2Fwww.webofscience.com%2Fwos%2Fwoscc%2Ffull-record%2FWOS:000213663600005","View Full Record in Web of Science")</f>
        <v>View Full Record in Web of Science</v>
      </c>
    </row>
    <row r="781" spans="1:72" x14ac:dyDescent="0.15">
      <c r="A781" t="s">
        <v>72</v>
      </c>
      <c r="B781" t="s">
        <v>14157</v>
      </c>
      <c r="C781" t="s">
        <v>74</v>
      </c>
      <c r="D781" t="s">
        <v>74</v>
      </c>
      <c r="E781" t="s">
        <v>74</v>
      </c>
      <c r="F781" t="s">
        <v>14158</v>
      </c>
      <c r="G781" t="s">
        <v>74</v>
      </c>
      <c r="H781" t="s">
        <v>74</v>
      </c>
      <c r="I781" t="s">
        <v>14159</v>
      </c>
      <c r="J781" t="s">
        <v>9067</v>
      </c>
      <c r="K781" t="s">
        <v>74</v>
      </c>
      <c r="L781" t="s">
        <v>74</v>
      </c>
      <c r="M781" t="s">
        <v>78</v>
      </c>
      <c r="N781" t="s">
        <v>79</v>
      </c>
      <c r="O781" t="s">
        <v>74</v>
      </c>
      <c r="P781" t="s">
        <v>74</v>
      </c>
      <c r="Q781" t="s">
        <v>74</v>
      </c>
      <c r="R781" t="s">
        <v>74</v>
      </c>
      <c r="S781" t="s">
        <v>74</v>
      </c>
      <c r="T781" t="s">
        <v>14160</v>
      </c>
      <c r="U781" t="s">
        <v>14161</v>
      </c>
      <c r="V781" t="s">
        <v>14162</v>
      </c>
      <c r="W781" t="s">
        <v>14163</v>
      </c>
      <c r="X781" t="s">
        <v>84</v>
      </c>
      <c r="Y781" t="s">
        <v>14164</v>
      </c>
      <c r="Z781" t="s">
        <v>14165</v>
      </c>
      <c r="AA781" t="s">
        <v>14166</v>
      </c>
      <c r="AB781" t="s">
        <v>14167</v>
      </c>
      <c r="AC781" t="s">
        <v>14168</v>
      </c>
      <c r="AD781" t="s">
        <v>14169</v>
      </c>
      <c r="AE781" t="s">
        <v>14170</v>
      </c>
      <c r="AF781" t="s">
        <v>74</v>
      </c>
      <c r="AG781">
        <v>46</v>
      </c>
      <c r="AH781">
        <v>8</v>
      </c>
      <c r="AI781">
        <v>11</v>
      </c>
      <c r="AJ781">
        <v>3</v>
      </c>
      <c r="AK781">
        <v>22</v>
      </c>
      <c r="AL781" t="s">
        <v>1441</v>
      </c>
      <c r="AM781" t="s">
        <v>1442</v>
      </c>
      <c r="AN781" t="s">
        <v>1443</v>
      </c>
      <c r="AO781" t="s">
        <v>9079</v>
      </c>
      <c r="AP781" t="s">
        <v>9080</v>
      </c>
      <c r="AQ781" t="s">
        <v>74</v>
      </c>
      <c r="AR781" t="s">
        <v>9081</v>
      </c>
      <c r="AS781" t="s">
        <v>9082</v>
      </c>
      <c r="AT781" t="s">
        <v>12548</v>
      </c>
      <c r="AU781">
        <v>2011</v>
      </c>
      <c r="AV781">
        <v>27</v>
      </c>
      <c r="AW781">
        <v>4</v>
      </c>
      <c r="AX781" t="s">
        <v>74</v>
      </c>
      <c r="AY781" t="s">
        <v>74</v>
      </c>
      <c r="AZ781" t="s">
        <v>74</v>
      </c>
      <c r="BA781" t="s">
        <v>74</v>
      </c>
      <c r="BB781">
        <v>841</v>
      </c>
      <c r="BC781">
        <v>850</v>
      </c>
      <c r="BD781" t="s">
        <v>74</v>
      </c>
      <c r="BE781" t="s">
        <v>14171</v>
      </c>
      <c r="BF781" t="str">
        <f>HYPERLINK("http://dx.doi.org/10.1007/s11274-010-0526-0","http://dx.doi.org/10.1007/s11274-010-0526-0")</f>
        <v>http://dx.doi.org/10.1007/s11274-010-0526-0</v>
      </c>
      <c r="BG781" t="s">
        <v>74</v>
      </c>
      <c r="BH781" t="s">
        <v>74</v>
      </c>
      <c r="BI781">
        <v>10</v>
      </c>
      <c r="BJ781" t="s">
        <v>3270</v>
      </c>
      <c r="BK781" t="s">
        <v>100</v>
      </c>
      <c r="BL781" t="s">
        <v>3270</v>
      </c>
      <c r="BM781" t="s">
        <v>14172</v>
      </c>
      <c r="BN781" t="s">
        <v>74</v>
      </c>
      <c r="BO781" t="s">
        <v>74</v>
      </c>
      <c r="BP781" t="s">
        <v>74</v>
      </c>
      <c r="BQ781" t="s">
        <v>74</v>
      </c>
      <c r="BR781" t="s">
        <v>103</v>
      </c>
      <c r="BS781" t="s">
        <v>14173</v>
      </c>
      <c r="BT781" t="str">
        <f>HYPERLINK("https%3A%2F%2Fwww.webofscience.com%2Fwos%2Fwoscc%2Ffull-record%2FWOS:000288252400014","View Full Record in Web of Science")</f>
        <v>View Full Record in Web of Science</v>
      </c>
    </row>
    <row r="782" spans="1:72" x14ac:dyDescent="0.15">
      <c r="A782" t="s">
        <v>72</v>
      </c>
      <c r="B782" t="s">
        <v>6145</v>
      </c>
      <c r="C782" t="s">
        <v>74</v>
      </c>
      <c r="D782" t="s">
        <v>74</v>
      </c>
      <c r="E782" t="s">
        <v>74</v>
      </c>
      <c r="F782" t="s">
        <v>6146</v>
      </c>
      <c r="G782" t="s">
        <v>74</v>
      </c>
      <c r="H782" t="s">
        <v>74</v>
      </c>
      <c r="I782" t="s">
        <v>14174</v>
      </c>
      <c r="J782" t="s">
        <v>6126</v>
      </c>
      <c r="K782" t="s">
        <v>74</v>
      </c>
      <c r="L782" t="s">
        <v>74</v>
      </c>
      <c r="M782" t="s">
        <v>78</v>
      </c>
      <c r="N782" t="s">
        <v>79</v>
      </c>
      <c r="O782" t="s">
        <v>74</v>
      </c>
      <c r="P782" t="s">
        <v>74</v>
      </c>
      <c r="Q782" t="s">
        <v>74</v>
      </c>
      <c r="R782" t="s">
        <v>74</v>
      </c>
      <c r="S782" t="s">
        <v>74</v>
      </c>
      <c r="T782" t="s">
        <v>14175</v>
      </c>
      <c r="U782" t="s">
        <v>14176</v>
      </c>
      <c r="V782" t="s">
        <v>14177</v>
      </c>
      <c r="W782" t="s">
        <v>14178</v>
      </c>
      <c r="X782" t="s">
        <v>14179</v>
      </c>
      <c r="Y782" t="s">
        <v>14180</v>
      </c>
      <c r="Z782" t="s">
        <v>6154</v>
      </c>
      <c r="AA782" t="s">
        <v>74</v>
      </c>
      <c r="AB782" t="s">
        <v>74</v>
      </c>
      <c r="AC782" t="s">
        <v>14181</v>
      </c>
      <c r="AD782" t="s">
        <v>14182</v>
      </c>
      <c r="AE782" t="s">
        <v>14183</v>
      </c>
      <c r="AF782" t="s">
        <v>74</v>
      </c>
      <c r="AG782">
        <v>88</v>
      </c>
      <c r="AH782">
        <v>63</v>
      </c>
      <c r="AI782">
        <v>70</v>
      </c>
      <c r="AJ782">
        <v>0</v>
      </c>
      <c r="AK782">
        <v>30</v>
      </c>
      <c r="AL782" t="s">
        <v>2968</v>
      </c>
      <c r="AM782" t="s">
        <v>508</v>
      </c>
      <c r="AN782" t="s">
        <v>2969</v>
      </c>
      <c r="AO782" t="s">
        <v>6138</v>
      </c>
      <c r="AP782" t="s">
        <v>6139</v>
      </c>
      <c r="AQ782" t="s">
        <v>74</v>
      </c>
      <c r="AR782" t="s">
        <v>6140</v>
      </c>
      <c r="AS782" t="s">
        <v>6141</v>
      </c>
      <c r="AT782" t="s">
        <v>12548</v>
      </c>
      <c r="AU782">
        <v>2011</v>
      </c>
      <c r="AV782">
        <v>161</v>
      </c>
      <c r="AW782">
        <v>4</v>
      </c>
      <c r="AX782" t="s">
        <v>74</v>
      </c>
      <c r="AY782" t="s">
        <v>74</v>
      </c>
      <c r="AZ782" t="s">
        <v>74</v>
      </c>
      <c r="BA782" t="s">
        <v>74</v>
      </c>
      <c r="BB782">
        <v>769</v>
      </c>
      <c r="BC782">
        <v>788</v>
      </c>
      <c r="BD782" t="s">
        <v>74</v>
      </c>
      <c r="BE782" t="s">
        <v>14184</v>
      </c>
      <c r="BF782" t="str">
        <f>HYPERLINK("http://dx.doi.org/10.1111/j.1096-3642.2010.00659.x","http://dx.doi.org/10.1111/j.1096-3642.2010.00659.x")</f>
        <v>http://dx.doi.org/10.1111/j.1096-3642.2010.00659.x</v>
      </c>
      <c r="BG782" t="s">
        <v>74</v>
      </c>
      <c r="BH782" t="s">
        <v>74</v>
      </c>
      <c r="BI782">
        <v>20</v>
      </c>
      <c r="BJ782" t="s">
        <v>3232</v>
      </c>
      <c r="BK782" t="s">
        <v>100</v>
      </c>
      <c r="BL782" t="s">
        <v>3232</v>
      </c>
      <c r="BM782" t="s">
        <v>14185</v>
      </c>
      <c r="BN782" t="s">
        <v>74</v>
      </c>
      <c r="BO782" t="s">
        <v>152</v>
      </c>
      <c r="BP782" t="s">
        <v>74</v>
      </c>
      <c r="BQ782" t="s">
        <v>74</v>
      </c>
      <c r="BR782" t="s">
        <v>103</v>
      </c>
      <c r="BS782" t="s">
        <v>14186</v>
      </c>
      <c r="BT782" t="str">
        <f>HYPERLINK("https%3A%2F%2Fwww.webofscience.com%2Fwos%2Fwoscc%2Ffull-record%2FWOS:000288677700004","View Full Record in Web of Science")</f>
        <v>View Full Record in Web of Science</v>
      </c>
    </row>
    <row r="783" spans="1:72" x14ac:dyDescent="0.15">
      <c r="A783" t="s">
        <v>72</v>
      </c>
      <c r="B783" t="s">
        <v>14187</v>
      </c>
      <c r="C783" t="s">
        <v>74</v>
      </c>
      <c r="D783" t="s">
        <v>74</v>
      </c>
      <c r="E783" t="s">
        <v>74</v>
      </c>
      <c r="F783" t="s">
        <v>14188</v>
      </c>
      <c r="G783" t="s">
        <v>74</v>
      </c>
      <c r="H783" t="s">
        <v>74</v>
      </c>
      <c r="I783" t="s">
        <v>14189</v>
      </c>
      <c r="J783" t="s">
        <v>14190</v>
      </c>
      <c r="K783" t="s">
        <v>74</v>
      </c>
      <c r="L783" t="s">
        <v>74</v>
      </c>
      <c r="M783" t="s">
        <v>78</v>
      </c>
      <c r="N783" t="s">
        <v>79</v>
      </c>
      <c r="O783" t="s">
        <v>74</v>
      </c>
      <c r="P783" t="s">
        <v>74</v>
      </c>
      <c r="Q783" t="s">
        <v>74</v>
      </c>
      <c r="R783" t="s">
        <v>74</v>
      </c>
      <c r="S783" t="s">
        <v>74</v>
      </c>
      <c r="T783" t="s">
        <v>14191</v>
      </c>
      <c r="U783" t="s">
        <v>14192</v>
      </c>
      <c r="V783" t="s">
        <v>14193</v>
      </c>
      <c r="W783" t="s">
        <v>14194</v>
      </c>
      <c r="X783" t="s">
        <v>14195</v>
      </c>
      <c r="Y783" t="s">
        <v>14196</v>
      </c>
      <c r="Z783" t="s">
        <v>14197</v>
      </c>
      <c r="AA783" t="s">
        <v>74</v>
      </c>
      <c r="AB783" t="s">
        <v>14198</v>
      </c>
      <c r="AC783" t="s">
        <v>14199</v>
      </c>
      <c r="AD783" t="s">
        <v>14200</v>
      </c>
      <c r="AE783" t="s">
        <v>14201</v>
      </c>
      <c r="AF783" t="s">
        <v>74</v>
      </c>
      <c r="AG783">
        <v>39</v>
      </c>
      <c r="AH783">
        <v>32</v>
      </c>
      <c r="AI783">
        <v>34</v>
      </c>
      <c r="AJ783">
        <v>0</v>
      </c>
      <c r="AK783">
        <v>24</v>
      </c>
      <c r="AL783" t="s">
        <v>1441</v>
      </c>
      <c r="AM783" t="s">
        <v>91</v>
      </c>
      <c r="AN783" t="s">
        <v>1595</v>
      </c>
      <c r="AO783" t="s">
        <v>14202</v>
      </c>
      <c r="AP783" t="s">
        <v>14203</v>
      </c>
      <c r="AQ783" t="s">
        <v>74</v>
      </c>
      <c r="AR783" t="s">
        <v>14204</v>
      </c>
      <c r="AS783" t="s">
        <v>14205</v>
      </c>
      <c r="AT783" t="s">
        <v>12548</v>
      </c>
      <c r="AU783">
        <v>2011</v>
      </c>
      <c r="AV783">
        <v>163</v>
      </c>
      <c r="AW783">
        <v>8</v>
      </c>
      <c r="AX783" t="s">
        <v>74</v>
      </c>
      <c r="AY783" t="s">
        <v>74</v>
      </c>
      <c r="AZ783" t="s">
        <v>74</v>
      </c>
      <c r="BA783" t="s">
        <v>74</v>
      </c>
      <c r="BB783">
        <v>1038</v>
      </c>
      <c r="BC783">
        <v>1052</v>
      </c>
      <c r="BD783" t="s">
        <v>74</v>
      </c>
      <c r="BE783" t="s">
        <v>14206</v>
      </c>
      <c r="BF783" t="str">
        <f>HYPERLINK("http://dx.doi.org/10.1007/s12010-010-9107-9","http://dx.doi.org/10.1007/s12010-010-9107-9")</f>
        <v>http://dx.doi.org/10.1007/s12010-010-9107-9</v>
      </c>
      <c r="BG783" t="s">
        <v>74</v>
      </c>
      <c r="BH783" t="s">
        <v>74</v>
      </c>
      <c r="BI783">
        <v>15</v>
      </c>
      <c r="BJ783" t="s">
        <v>6008</v>
      </c>
      <c r="BK783" t="s">
        <v>100</v>
      </c>
      <c r="BL783" t="s">
        <v>6008</v>
      </c>
      <c r="BM783" t="s">
        <v>14207</v>
      </c>
      <c r="BN783">
        <v>20972644</v>
      </c>
      <c r="BO783" t="s">
        <v>74</v>
      </c>
      <c r="BP783" t="s">
        <v>74</v>
      </c>
      <c r="BQ783" t="s">
        <v>74</v>
      </c>
      <c r="BR783" t="s">
        <v>103</v>
      </c>
      <c r="BS783" t="s">
        <v>14208</v>
      </c>
      <c r="BT783" t="str">
        <f>HYPERLINK("https%3A%2F%2Fwww.webofscience.com%2Fwos%2Fwoscc%2Ffull-record%2FWOS:000288167500010","View Full Record in Web of Science")</f>
        <v>View Full Record in Web of Science</v>
      </c>
    </row>
    <row r="784" spans="1:72" x14ac:dyDescent="0.15">
      <c r="A784" t="s">
        <v>72</v>
      </c>
      <c r="B784" t="s">
        <v>14209</v>
      </c>
      <c r="C784" t="s">
        <v>74</v>
      </c>
      <c r="D784" t="s">
        <v>74</v>
      </c>
      <c r="E784" t="s">
        <v>74</v>
      </c>
      <c r="F784" t="s">
        <v>14210</v>
      </c>
      <c r="G784" t="s">
        <v>74</v>
      </c>
      <c r="H784" t="s">
        <v>74</v>
      </c>
      <c r="I784" t="s">
        <v>14211</v>
      </c>
      <c r="J784" t="s">
        <v>9110</v>
      </c>
      <c r="K784" t="s">
        <v>74</v>
      </c>
      <c r="L784" t="s">
        <v>74</v>
      </c>
      <c r="M784" t="s">
        <v>78</v>
      </c>
      <c r="N784" t="s">
        <v>79</v>
      </c>
      <c r="O784" t="s">
        <v>74</v>
      </c>
      <c r="P784" t="s">
        <v>74</v>
      </c>
      <c r="Q784" t="s">
        <v>74</v>
      </c>
      <c r="R784" t="s">
        <v>74</v>
      </c>
      <c r="S784" t="s">
        <v>74</v>
      </c>
      <c r="T784" t="s">
        <v>14212</v>
      </c>
      <c r="U784" t="s">
        <v>14213</v>
      </c>
      <c r="V784" t="s">
        <v>14214</v>
      </c>
      <c r="W784" t="s">
        <v>14215</v>
      </c>
      <c r="X784" t="s">
        <v>14216</v>
      </c>
      <c r="Y784" t="s">
        <v>14217</v>
      </c>
      <c r="Z784" t="s">
        <v>14218</v>
      </c>
      <c r="AA784" t="s">
        <v>14219</v>
      </c>
      <c r="AB784" t="s">
        <v>14220</v>
      </c>
      <c r="AC784" t="s">
        <v>14221</v>
      </c>
      <c r="AD784" t="s">
        <v>14222</v>
      </c>
      <c r="AE784" t="s">
        <v>14223</v>
      </c>
      <c r="AF784" t="s">
        <v>74</v>
      </c>
      <c r="AG784">
        <v>31</v>
      </c>
      <c r="AH784">
        <v>44</v>
      </c>
      <c r="AI784">
        <v>51</v>
      </c>
      <c r="AJ784">
        <v>2</v>
      </c>
      <c r="AK784">
        <v>40</v>
      </c>
      <c r="AL784" t="s">
        <v>9122</v>
      </c>
      <c r="AM784" t="s">
        <v>1490</v>
      </c>
      <c r="AN784" t="s">
        <v>9123</v>
      </c>
      <c r="AO784" t="s">
        <v>9124</v>
      </c>
      <c r="AP784" t="s">
        <v>9125</v>
      </c>
      <c r="AQ784" t="s">
        <v>74</v>
      </c>
      <c r="AR784" t="s">
        <v>9126</v>
      </c>
      <c r="AS784" t="s">
        <v>9127</v>
      </c>
      <c r="AT784" t="s">
        <v>12548</v>
      </c>
      <c r="AU784">
        <v>2011</v>
      </c>
      <c r="AV784">
        <v>17</v>
      </c>
      <c r="AW784">
        <v>2</v>
      </c>
      <c r="AX784" t="s">
        <v>74</v>
      </c>
      <c r="AY784" t="s">
        <v>74</v>
      </c>
      <c r="AZ784" t="s">
        <v>74</v>
      </c>
      <c r="BA784" t="s">
        <v>74</v>
      </c>
      <c r="BB784" t="s">
        <v>14224</v>
      </c>
      <c r="BC784" t="s">
        <v>14225</v>
      </c>
      <c r="BD784" t="s">
        <v>74</v>
      </c>
      <c r="BE784" t="s">
        <v>14226</v>
      </c>
      <c r="BF784" t="str">
        <f>HYPERLINK("http://dx.doi.org/10.1111/j.1365-2095.2010.00791.x","http://dx.doi.org/10.1111/j.1365-2095.2010.00791.x")</f>
        <v>http://dx.doi.org/10.1111/j.1365-2095.2010.00791.x</v>
      </c>
      <c r="BG784" t="s">
        <v>74</v>
      </c>
      <c r="BH784" t="s">
        <v>74</v>
      </c>
      <c r="BI784">
        <v>10</v>
      </c>
      <c r="BJ784" t="s">
        <v>4362</v>
      </c>
      <c r="BK784" t="s">
        <v>100</v>
      </c>
      <c r="BL784" t="s">
        <v>4362</v>
      </c>
      <c r="BM784" t="s">
        <v>14227</v>
      </c>
      <c r="BN784" t="s">
        <v>74</v>
      </c>
      <c r="BO784" t="s">
        <v>2134</v>
      </c>
      <c r="BP784" t="s">
        <v>74</v>
      </c>
      <c r="BQ784" t="s">
        <v>74</v>
      </c>
      <c r="BR784" t="s">
        <v>103</v>
      </c>
      <c r="BS784" t="s">
        <v>14228</v>
      </c>
      <c r="BT784" t="str">
        <f>HYPERLINK("https%3A%2F%2Fwww.webofscience.com%2Fwos%2Fwoscc%2Ffull-record%2FWOS:000288223100052","View Full Record in Web of Science")</f>
        <v>View Full Record in Web of Science</v>
      </c>
    </row>
    <row r="785" spans="1:72" x14ac:dyDescent="0.15">
      <c r="A785" t="s">
        <v>72</v>
      </c>
      <c r="B785" t="s">
        <v>14229</v>
      </c>
      <c r="C785" t="s">
        <v>74</v>
      </c>
      <c r="D785" t="s">
        <v>74</v>
      </c>
      <c r="E785" t="s">
        <v>74</v>
      </c>
      <c r="F785" t="s">
        <v>14230</v>
      </c>
      <c r="G785" t="s">
        <v>74</v>
      </c>
      <c r="H785" t="s">
        <v>74</v>
      </c>
      <c r="I785" t="s">
        <v>14231</v>
      </c>
      <c r="J785" t="s">
        <v>707</v>
      </c>
      <c r="K785" t="s">
        <v>74</v>
      </c>
      <c r="L785" t="s">
        <v>74</v>
      </c>
      <c r="M785" t="s">
        <v>78</v>
      </c>
      <c r="N785" t="s">
        <v>79</v>
      </c>
      <c r="O785" t="s">
        <v>74</v>
      </c>
      <c r="P785" t="s">
        <v>74</v>
      </c>
      <c r="Q785" t="s">
        <v>74</v>
      </c>
      <c r="R785" t="s">
        <v>74</v>
      </c>
      <c r="S785" t="s">
        <v>74</v>
      </c>
      <c r="T785" t="s">
        <v>14232</v>
      </c>
      <c r="U785" t="s">
        <v>14233</v>
      </c>
      <c r="V785" t="s">
        <v>14234</v>
      </c>
      <c r="W785" t="s">
        <v>14235</v>
      </c>
      <c r="X785" t="s">
        <v>14236</v>
      </c>
      <c r="Y785" t="s">
        <v>14237</v>
      </c>
      <c r="Z785" t="s">
        <v>14238</v>
      </c>
      <c r="AA785" t="s">
        <v>1590</v>
      </c>
      <c r="AB785" t="s">
        <v>1591</v>
      </c>
      <c r="AC785" t="s">
        <v>14239</v>
      </c>
      <c r="AD785" t="s">
        <v>4493</v>
      </c>
      <c r="AE785" t="s">
        <v>14240</v>
      </c>
      <c r="AF785" t="s">
        <v>74</v>
      </c>
      <c r="AG785">
        <v>32</v>
      </c>
      <c r="AH785">
        <v>12</v>
      </c>
      <c r="AI785">
        <v>13</v>
      </c>
      <c r="AJ785">
        <v>0</v>
      </c>
      <c r="AK785">
        <v>25</v>
      </c>
      <c r="AL785" t="s">
        <v>693</v>
      </c>
      <c r="AM785" t="s">
        <v>91</v>
      </c>
      <c r="AN785" t="s">
        <v>694</v>
      </c>
      <c r="AO785" t="s">
        <v>717</v>
      </c>
      <c r="AP785" t="s">
        <v>718</v>
      </c>
      <c r="AQ785" t="s">
        <v>74</v>
      </c>
      <c r="AR785" t="s">
        <v>719</v>
      </c>
      <c r="AS785" t="s">
        <v>720</v>
      </c>
      <c r="AT785" t="s">
        <v>12548</v>
      </c>
      <c r="AU785">
        <v>2011</v>
      </c>
      <c r="AV785">
        <v>23</v>
      </c>
      <c r="AW785">
        <v>2</v>
      </c>
      <c r="AX785" t="s">
        <v>74</v>
      </c>
      <c r="AY785" t="s">
        <v>74</v>
      </c>
      <c r="AZ785" t="s">
        <v>74</v>
      </c>
      <c r="BA785" t="s">
        <v>74</v>
      </c>
      <c r="BB785">
        <v>107</v>
      </c>
      <c r="BC785">
        <v>116</v>
      </c>
      <c r="BD785" t="s">
        <v>74</v>
      </c>
      <c r="BE785" t="s">
        <v>14241</v>
      </c>
      <c r="BF785" t="str">
        <f>HYPERLINK("http://dx.doi.org/10.1017/S095410201000091X","http://dx.doi.org/10.1017/S095410201000091X")</f>
        <v>http://dx.doi.org/10.1017/S095410201000091X</v>
      </c>
      <c r="BG785" t="s">
        <v>74</v>
      </c>
      <c r="BH785" t="s">
        <v>74</v>
      </c>
      <c r="BI785">
        <v>10</v>
      </c>
      <c r="BJ785" t="s">
        <v>722</v>
      </c>
      <c r="BK785" t="s">
        <v>100</v>
      </c>
      <c r="BL785" t="s">
        <v>723</v>
      </c>
      <c r="BM785" t="s">
        <v>13492</v>
      </c>
      <c r="BN785" t="s">
        <v>74</v>
      </c>
      <c r="BO785" t="s">
        <v>74</v>
      </c>
      <c r="BP785" t="s">
        <v>74</v>
      </c>
      <c r="BQ785" t="s">
        <v>74</v>
      </c>
      <c r="BR785" t="s">
        <v>103</v>
      </c>
      <c r="BS785" t="s">
        <v>14242</v>
      </c>
      <c r="BT785" t="str">
        <f>HYPERLINK("https%3A%2F%2Fwww.webofscience.com%2Fwos%2Fwoscc%2Ffull-record%2FWOS:000288080600002","View Full Record in Web of Science")</f>
        <v>View Full Record in Web of Science</v>
      </c>
    </row>
    <row r="786" spans="1:72" x14ac:dyDescent="0.15">
      <c r="A786" t="s">
        <v>72</v>
      </c>
      <c r="B786" t="s">
        <v>14243</v>
      </c>
      <c r="C786" t="s">
        <v>74</v>
      </c>
      <c r="D786" t="s">
        <v>74</v>
      </c>
      <c r="E786" t="s">
        <v>74</v>
      </c>
      <c r="F786" t="s">
        <v>14244</v>
      </c>
      <c r="G786" t="s">
        <v>74</v>
      </c>
      <c r="H786" t="s">
        <v>74</v>
      </c>
      <c r="I786" t="s">
        <v>14245</v>
      </c>
      <c r="J786" t="s">
        <v>707</v>
      </c>
      <c r="K786" t="s">
        <v>74</v>
      </c>
      <c r="L786" t="s">
        <v>74</v>
      </c>
      <c r="M786" t="s">
        <v>78</v>
      </c>
      <c r="N786" t="s">
        <v>79</v>
      </c>
      <c r="O786" t="s">
        <v>74</v>
      </c>
      <c r="P786" t="s">
        <v>74</v>
      </c>
      <c r="Q786" t="s">
        <v>74</v>
      </c>
      <c r="R786" t="s">
        <v>74</v>
      </c>
      <c r="S786" t="s">
        <v>74</v>
      </c>
      <c r="T786" t="s">
        <v>14246</v>
      </c>
      <c r="U786" t="s">
        <v>14247</v>
      </c>
      <c r="V786" t="s">
        <v>14248</v>
      </c>
      <c r="W786" t="s">
        <v>14249</v>
      </c>
      <c r="X786" t="s">
        <v>14250</v>
      </c>
      <c r="Y786" t="s">
        <v>14251</v>
      </c>
      <c r="Z786" t="s">
        <v>14252</v>
      </c>
      <c r="AA786" t="s">
        <v>74</v>
      </c>
      <c r="AB786" t="s">
        <v>14253</v>
      </c>
      <c r="AC786" t="s">
        <v>14254</v>
      </c>
      <c r="AD786" t="s">
        <v>14255</v>
      </c>
      <c r="AE786" t="s">
        <v>14256</v>
      </c>
      <c r="AF786" t="s">
        <v>74</v>
      </c>
      <c r="AG786">
        <v>44</v>
      </c>
      <c r="AH786">
        <v>43</v>
      </c>
      <c r="AI786">
        <v>45</v>
      </c>
      <c r="AJ786">
        <v>1</v>
      </c>
      <c r="AK786">
        <v>31</v>
      </c>
      <c r="AL786" t="s">
        <v>693</v>
      </c>
      <c r="AM786" t="s">
        <v>91</v>
      </c>
      <c r="AN786" t="s">
        <v>694</v>
      </c>
      <c r="AO786" t="s">
        <v>717</v>
      </c>
      <c r="AP786" t="s">
        <v>718</v>
      </c>
      <c r="AQ786" t="s">
        <v>74</v>
      </c>
      <c r="AR786" t="s">
        <v>719</v>
      </c>
      <c r="AS786" t="s">
        <v>720</v>
      </c>
      <c r="AT786" t="s">
        <v>12548</v>
      </c>
      <c r="AU786">
        <v>2011</v>
      </c>
      <c r="AV786">
        <v>23</v>
      </c>
      <c r="AW786">
        <v>2</v>
      </c>
      <c r="AX786" t="s">
        <v>74</v>
      </c>
      <c r="AY786" t="s">
        <v>74</v>
      </c>
      <c r="AZ786" t="s">
        <v>74</v>
      </c>
      <c r="BA786" t="s">
        <v>74</v>
      </c>
      <c r="BB786">
        <v>127</v>
      </c>
      <c r="BC786">
        <v>138</v>
      </c>
      <c r="BD786" t="s">
        <v>74</v>
      </c>
      <c r="BE786" t="s">
        <v>14257</v>
      </c>
      <c r="BF786" t="str">
        <f>HYPERLINK("http://dx.doi.org/10.1017/S0954102010000970","http://dx.doi.org/10.1017/S0954102010000970")</f>
        <v>http://dx.doi.org/10.1017/S0954102010000970</v>
      </c>
      <c r="BG786" t="s">
        <v>74</v>
      </c>
      <c r="BH786" t="s">
        <v>74</v>
      </c>
      <c r="BI786">
        <v>12</v>
      </c>
      <c r="BJ786" t="s">
        <v>722</v>
      </c>
      <c r="BK786" t="s">
        <v>100</v>
      </c>
      <c r="BL786" t="s">
        <v>723</v>
      </c>
      <c r="BM786" t="s">
        <v>13492</v>
      </c>
      <c r="BN786" t="s">
        <v>74</v>
      </c>
      <c r="BO786" t="s">
        <v>74</v>
      </c>
      <c r="BP786" t="s">
        <v>74</v>
      </c>
      <c r="BQ786" t="s">
        <v>74</v>
      </c>
      <c r="BR786" t="s">
        <v>103</v>
      </c>
      <c r="BS786" t="s">
        <v>14258</v>
      </c>
      <c r="BT786" t="str">
        <f>HYPERLINK("https%3A%2F%2Fwww.webofscience.com%2Fwos%2Fwoscc%2Ffull-record%2FWOS:000288080600004","View Full Record in Web of Science")</f>
        <v>View Full Record in Web of Science</v>
      </c>
    </row>
    <row r="787" spans="1:72" x14ac:dyDescent="0.15">
      <c r="A787" t="s">
        <v>72</v>
      </c>
      <c r="B787" t="s">
        <v>14259</v>
      </c>
      <c r="C787" t="s">
        <v>74</v>
      </c>
      <c r="D787" t="s">
        <v>74</v>
      </c>
      <c r="E787" t="s">
        <v>74</v>
      </c>
      <c r="F787" t="s">
        <v>14260</v>
      </c>
      <c r="G787" t="s">
        <v>74</v>
      </c>
      <c r="H787" t="s">
        <v>74</v>
      </c>
      <c r="I787" t="s">
        <v>14261</v>
      </c>
      <c r="J787" t="s">
        <v>707</v>
      </c>
      <c r="K787" t="s">
        <v>74</v>
      </c>
      <c r="L787" t="s">
        <v>74</v>
      </c>
      <c r="M787" t="s">
        <v>78</v>
      </c>
      <c r="N787" t="s">
        <v>79</v>
      </c>
      <c r="O787" t="s">
        <v>74</v>
      </c>
      <c r="P787" t="s">
        <v>74</v>
      </c>
      <c r="Q787" t="s">
        <v>74</v>
      </c>
      <c r="R787" t="s">
        <v>74</v>
      </c>
      <c r="S787" t="s">
        <v>74</v>
      </c>
      <c r="T787" t="s">
        <v>14262</v>
      </c>
      <c r="U787" t="s">
        <v>14263</v>
      </c>
      <c r="V787" t="s">
        <v>14264</v>
      </c>
      <c r="W787" t="s">
        <v>14265</v>
      </c>
      <c r="X787" t="s">
        <v>14266</v>
      </c>
      <c r="Y787" t="s">
        <v>14267</v>
      </c>
      <c r="Z787" t="s">
        <v>14268</v>
      </c>
      <c r="AA787" t="s">
        <v>14269</v>
      </c>
      <c r="AB787" t="s">
        <v>14270</v>
      </c>
      <c r="AC787" t="s">
        <v>14271</v>
      </c>
      <c r="AD787" t="s">
        <v>14272</v>
      </c>
      <c r="AE787" t="s">
        <v>14273</v>
      </c>
      <c r="AF787" t="s">
        <v>74</v>
      </c>
      <c r="AG787">
        <v>31</v>
      </c>
      <c r="AH787">
        <v>6</v>
      </c>
      <c r="AI787">
        <v>7</v>
      </c>
      <c r="AJ787">
        <v>0</v>
      </c>
      <c r="AK787">
        <v>32</v>
      </c>
      <c r="AL787" t="s">
        <v>693</v>
      </c>
      <c r="AM787" t="s">
        <v>91</v>
      </c>
      <c r="AN787" t="s">
        <v>694</v>
      </c>
      <c r="AO787" t="s">
        <v>717</v>
      </c>
      <c r="AP787" t="s">
        <v>74</v>
      </c>
      <c r="AQ787" t="s">
        <v>74</v>
      </c>
      <c r="AR787" t="s">
        <v>719</v>
      </c>
      <c r="AS787" t="s">
        <v>720</v>
      </c>
      <c r="AT787" t="s">
        <v>12548</v>
      </c>
      <c r="AU787">
        <v>2011</v>
      </c>
      <c r="AV787">
        <v>23</v>
      </c>
      <c r="AW787">
        <v>2</v>
      </c>
      <c r="AX787" t="s">
        <v>74</v>
      </c>
      <c r="AY787" t="s">
        <v>74</v>
      </c>
      <c r="AZ787" t="s">
        <v>74</v>
      </c>
      <c r="BA787" t="s">
        <v>74</v>
      </c>
      <c r="BB787">
        <v>139</v>
      </c>
      <c r="BC787">
        <v>143</v>
      </c>
      <c r="BD787" t="s">
        <v>74</v>
      </c>
      <c r="BE787" t="s">
        <v>14274</v>
      </c>
      <c r="BF787" t="str">
        <f>HYPERLINK("http://dx.doi.org/10.1017/S0954102010000908","http://dx.doi.org/10.1017/S0954102010000908")</f>
        <v>http://dx.doi.org/10.1017/S0954102010000908</v>
      </c>
      <c r="BG787" t="s">
        <v>74</v>
      </c>
      <c r="BH787" t="s">
        <v>74</v>
      </c>
      <c r="BI787">
        <v>5</v>
      </c>
      <c r="BJ787" t="s">
        <v>722</v>
      </c>
      <c r="BK787" t="s">
        <v>100</v>
      </c>
      <c r="BL787" t="s">
        <v>723</v>
      </c>
      <c r="BM787" t="s">
        <v>13492</v>
      </c>
      <c r="BN787" t="s">
        <v>74</v>
      </c>
      <c r="BO787" t="s">
        <v>74</v>
      </c>
      <c r="BP787" t="s">
        <v>74</v>
      </c>
      <c r="BQ787" t="s">
        <v>74</v>
      </c>
      <c r="BR787" t="s">
        <v>103</v>
      </c>
      <c r="BS787" t="s">
        <v>14275</v>
      </c>
      <c r="BT787" t="str">
        <f>HYPERLINK("https%3A%2F%2Fwww.webofscience.com%2Fwos%2Fwoscc%2Ffull-record%2FWOS:000288080600005","View Full Record in Web of Science")</f>
        <v>View Full Record in Web of Science</v>
      </c>
    </row>
    <row r="788" spans="1:72" x14ac:dyDescent="0.15">
      <c r="A788" t="s">
        <v>72</v>
      </c>
      <c r="B788" t="s">
        <v>14276</v>
      </c>
      <c r="C788" t="s">
        <v>74</v>
      </c>
      <c r="D788" t="s">
        <v>74</v>
      </c>
      <c r="E788" t="s">
        <v>74</v>
      </c>
      <c r="F788" t="s">
        <v>14277</v>
      </c>
      <c r="G788" t="s">
        <v>74</v>
      </c>
      <c r="H788" t="s">
        <v>74</v>
      </c>
      <c r="I788" t="s">
        <v>14278</v>
      </c>
      <c r="J788" t="s">
        <v>707</v>
      </c>
      <c r="K788" t="s">
        <v>74</v>
      </c>
      <c r="L788" t="s">
        <v>74</v>
      </c>
      <c r="M788" t="s">
        <v>78</v>
      </c>
      <c r="N788" t="s">
        <v>79</v>
      </c>
      <c r="O788" t="s">
        <v>74</v>
      </c>
      <c r="P788" t="s">
        <v>74</v>
      </c>
      <c r="Q788" t="s">
        <v>74</v>
      </c>
      <c r="R788" t="s">
        <v>74</v>
      </c>
      <c r="S788" t="s">
        <v>74</v>
      </c>
      <c r="T788" t="s">
        <v>14279</v>
      </c>
      <c r="U788" t="s">
        <v>14280</v>
      </c>
      <c r="V788" t="s">
        <v>14281</v>
      </c>
      <c r="W788" t="s">
        <v>14282</v>
      </c>
      <c r="X788" t="s">
        <v>14283</v>
      </c>
      <c r="Y788" t="s">
        <v>14284</v>
      </c>
      <c r="Z788" t="s">
        <v>2050</v>
      </c>
      <c r="AA788" t="s">
        <v>14285</v>
      </c>
      <c r="AB788" t="s">
        <v>14286</v>
      </c>
      <c r="AC788" t="s">
        <v>14287</v>
      </c>
      <c r="AD788" t="s">
        <v>14287</v>
      </c>
      <c r="AE788" t="s">
        <v>14288</v>
      </c>
      <c r="AF788" t="s">
        <v>74</v>
      </c>
      <c r="AG788">
        <v>29</v>
      </c>
      <c r="AH788">
        <v>9</v>
      </c>
      <c r="AI788">
        <v>12</v>
      </c>
      <c r="AJ788">
        <v>0</v>
      </c>
      <c r="AK788">
        <v>11</v>
      </c>
      <c r="AL788" t="s">
        <v>693</v>
      </c>
      <c r="AM788" t="s">
        <v>91</v>
      </c>
      <c r="AN788" t="s">
        <v>694</v>
      </c>
      <c r="AO788" t="s">
        <v>717</v>
      </c>
      <c r="AP788" t="s">
        <v>74</v>
      </c>
      <c r="AQ788" t="s">
        <v>74</v>
      </c>
      <c r="AR788" t="s">
        <v>719</v>
      </c>
      <c r="AS788" t="s">
        <v>720</v>
      </c>
      <c r="AT788" t="s">
        <v>12548</v>
      </c>
      <c r="AU788">
        <v>2011</v>
      </c>
      <c r="AV788">
        <v>23</v>
      </c>
      <c r="AW788">
        <v>2</v>
      </c>
      <c r="AX788" t="s">
        <v>74</v>
      </c>
      <c r="AY788" t="s">
        <v>74</v>
      </c>
      <c r="AZ788" t="s">
        <v>74</v>
      </c>
      <c r="BA788" t="s">
        <v>74</v>
      </c>
      <c r="BB788">
        <v>144</v>
      </c>
      <c r="BC788">
        <v>151</v>
      </c>
      <c r="BD788" t="s">
        <v>74</v>
      </c>
      <c r="BE788" t="s">
        <v>14289</v>
      </c>
      <c r="BF788" t="str">
        <f>HYPERLINK("http://dx.doi.org/10.1017/S0954102011000083","http://dx.doi.org/10.1017/S0954102011000083")</f>
        <v>http://dx.doi.org/10.1017/S0954102011000083</v>
      </c>
      <c r="BG788" t="s">
        <v>74</v>
      </c>
      <c r="BH788" t="s">
        <v>74</v>
      </c>
      <c r="BI788">
        <v>8</v>
      </c>
      <c r="BJ788" t="s">
        <v>722</v>
      </c>
      <c r="BK788" t="s">
        <v>100</v>
      </c>
      <c r="BL788" t="s">
        <v>723</v>
      </c>
      <c r="BM788" t="s">
        <v>13492</v>
      </c>
      <c r="BN788" t="s">
        <v>74</v>
      </c>
      <c r="BO788" t="s">
        <v>74</v>
      </c>
      <c r="BP788" t="s">
        <v>74</v>
      </c>
      <c r="BQ788" t="s">
        <v>74</v>
      </c>
      <c r="BR788" t="s">
        <v>103</v>
      </c>
      <c r="BS788" t="s">
        <v>14290</v>
      </c>
      <c r="BT788" t="str">
        <f>HYPERLINK("https%3A%2F%2Fwww.webofscience.com%2Fwos%2Fwoscc%2Ffull-record%2FWOS:000288080600006","View Full Record in Web of Science")</f>
        <v>View Full Record in Web of Science</v>
      </c>
    </row>
    <row r="789" spans="1:72" x14ac:dyDescent="0.15">
      <c r="A789" t="s">
        <v>72</v>
      </c>
      <c r="B789" t="s">
        <v>14291</v>
      </c>
      <c r="C789" t="s">
        <v>74</v>
      </c>
      <c r="D789" t="s">
        <v>74</v>
      </c>
      <c r="E789" t="s">
        <v>74</v>
      </c>
      <c r="F789" t="s">
        <v>14292</v>
      </c>
      <c r="G789" t="s">
        <v>74</v>
      </c>
      <c r="H789" t="s">
        <v>74</v>
      </c>
      <c r="I789" t="s">
        <v>14293</v>
      </c>
      <c r="J789" t="s">
        <v>707</v>
      </c>
      <c r="K789" t="s">
        <v>74</v>
      </c>
      <c r="L789" t="s">
        <v>74</v>
      </c>
      <c r="M789" t="s">
        <v>78</v>
      </c>
      <c r="N789" t="s">
        <v>79</v>
      </c>
      <c r="O789" t="s">
        <v>74</v>
      </c>
      <c r="P789" t="s">
        <v>74</v>
      </c>
      <c r="Q789" t="s">
        <v>74</v>
      </c>
      <c r="R789" t="s">
        <v>74</v>
      </c>
      <c r="S789" t="s">
        <v>74</v>
      </c>
      <c r="T789" t="s">
        <v>74</v>
      </c>
      <c r="U789" t="s">
        <v>74</v>
      </c>
      <c r="V789" t="s">
        <v>74</v>
      </c>
      <c r="W789" t="s">
        <v>14294</v>
      </c>
      <c r="X789" t="s">
        <v>14295</v>
      </c>
      <c r="Y789" t="s">
        <v>14296</v>
      </c>
      <c r="Z789" t="s">
        <v>14297</v>
      </c>
      <c r="AA789" t="s">
        <v>14298</v>
      </c>
      <c r="AB789" t="s">
        <v>14299</v>
      </c>
      <c r="AC789" t="s">
        <v>14300</v>
      </c>
      <c r="AD789" t="s">
        <v>14301</v>
      </c>
      <c r="AE789" t="s">
        <v>14302</v>
      </c>
      <c r="AF789" t="s">
        <v>74</v>
      </c>
      <c r="AG789">
        <v>11</v>
      </c>
      <c r="AH789">
        <v>75</v>
      </c>
      <c r="AI789">
        <v>79</v>
      </c>
      <c r="AJ789">
        <v>1</v>
      </c>
      <c r="AK789">
        <v>25</v>
      </c>
      <c r="AL789" t="s">
        <v>693</v>
      </c>
      <c r="AM789" t="s">
        <v>91</v>
      </c>
      <c r="AN789" t="s">
        <v>694</v>
      </c>
      <c r="AO789" t="s">
        <v>717</v>
      </c>
      <c r="AP789" t="s">
        <v>718</v>
      </c>
      <c r="AQ789" t="s">
        <v>74</v>
      </c>
      <c r="AR789" t="s">
        <v>719</v>
      </c>
      <c r="AS789" t="s">
        <v>720</v>
      </c>
      <c r="AT789" t="s">
        <v>12548</v>
      </c>
      <c r="AU789">
        <v>2011</v>
      </c>
      <c r="AV789">
        <v>23</v>
      </c>
      <c r="AW789">
        <v>2</v>
      </c>
      <c r="AX789" t="s">
        <v>74</v>
      </c>
      <c r="AY789" t="s">
        <v>74</v>
      </c>
      <c r="AZ789" t="s">
        <v>74</v>
      </c>
      <c r="BA789" t="s">
        <v>74</v>
      </c>
      <c r="BB789">
        <v>153</v>
      </c>
      <c r="BC789">
        <v>154</v>
      </c>
      <c r="BD789" t="s">
        <v>74</v>
      </c>
      <c r="BE789" t="s">
        <v>14303</v>
      </c>
      <c r="BF789" t="str">
        <f>HYPERLINK("http://dx.doi.org/10.1017/S0954102010000982","http://dx.doi.org/10.1017/S0954102010000982")</f>
        <v>http://dx.doi.org/10.1017/S0954102010000982</v>
      </c>
      <c r="BG789" t="s">
        <v>74</v>
      </c>
      <c r="BH789" t="s">
        <v>74</v>
      </c>
      <c r="BI789">
        <v>2</v>
      </c>
      <c r="BJ789" t="s">
        <v>722</v>
      </c>
      <c r="BK789" t="s">
        <v>100</v>
      </c>
      <c r="BL789" t="s">
        <v>723</v>
      </c>
      <c r="BM789" t="s">
        <v>13492</v>
      </c>
      <c r="BN789" t="s">
        <v>74</v>
      </c>
      <c r="BO789" t="s">
        <v>74</v>
      </c>
      <c r="BP789" t="s">
        <v>74</v>
      </c>
      <c r="BQ789" t="s">
        <v>74</v>
      </c>
      <c r="BR789" t="s">
        <v>103</v>
      </c>
      <c r="BS789" t="s">
        <v>14304</v>
      </c>
      <c r="BT789" t="str">
        <f>HYPERLINK("https%3A%2F%2Fwww.webofscience.com%2Fwos%2Fwoscc%2Ffull-record%2FWOS:000288080600007","View Full Record in Web of Science")</f>
        <v>View Full Record in Web of Science</v>
      </c>
    </row>
    <row r="790" spans="1:72" x14ac:dyDescent="0.15">
      <c r="A790" t="s">
        <v>72</v>
      </c>
      <c r="B790" t="s">
        <v>14305</v>
      </c>
      <c r="C790" t="s">
        <v>74</v>
      </c>
      <c r="D790" t="s">
        <v>74</v>
      </c>
      <c r="E790" t="s">
        <v>74</v>
      </c>
      <c r="F790" t="s">
        <v>14306</v>
      </c>
      <c r="G790" t="s">
        <v>74</v>
      </c>
      <c r="H790" t="s">
        <v>74</v>
      </c>
      <c r="I790" t="s">
        <v>14307</v>
      </c>
      <c r="J790" t="s">
        <v>707</v>
      </c>
      <c r="K790" t="s">
        <v>74</v>
      </c>
      <c r="L790" t="s">
        <v>74</v>
      </c>
      <c r="M790" t="s">
        <v>78</v>
      </c>
      <c r="N790" t="s">
        <v>79</v>
      </c>
      <c r="O790" t="s">
        <v>74</v>
      </c>
      <c r="P790" t="s">
        <v>74</v>
      </c>
      <c r="Q790" t="s">
        <v>74</v>
      </c>
      <c r="R790" t="s">
        <v>74</v>
      </c>
      <c r="S790" t="s">
        <v>74</v>
      </c>
      <c r="T790" t="s">
        <v>14308</v>
      </c>
      <c r="U790" t="s">
        <v>14309</v>
      </c>
      <c r="V790" t="s">
        <v>14310</v>
      </c>
      <c r="W790" t="s">
        <v>14311</v>
      </c>
      <c r="X790" t="s">
        <v>14312</v>
      </c>
      <c r="Y790" t="s">
        <v>14313</v>
      </c>
      <c r="Z790" t="s">
        <v>14314</v>
      </c>
      <c r="AA790" t="s">
        <v>14315</v>
      </c>
      <c r="AB790" t="s">
        <v>14316</v>
      </c>
      <c r="AC790" t="s">
        <v>14317</v>
      </c>
      <c r="AD790" t="s">
        <v>10672</v>
      </c>
      <c r="AE790" t="s">
        <v>14318</v>
      </c>
      <c r="AF790" t="s">
        <v>74</v>
      </c>
      <c r="AG790">
        <v>32</v>
      </c>
      <c r="AH790">
        <v>19</v>
      </c>
      <c r="AI790">
        <v>21</v>
      </c>
      <c r="AJ790">
        <v>0</v>
      </c>
      <c r="AK790">
        <v>14</v>
      </c>
      <c r="AL790" t="s">
        <v>693</v>
      </c>
      <c r="AM790" t="s">
        <v>91</v>
      </c>
      <c r="AN790" t="s">
        <v>694</v>
      </c>
      <c r="AO790" t="s">
        <v>717</v>
      </c>
      <c r="AP790" t="s">
        <v>718</v>
      </c>
      <c r="AQ790" t="s">
        <v>74</v>
      </c>
      <c r="AR790" t="s">
        <v>719</v>
      </c>
      <c r="AS790" t="s">
        <v>720</v>
      </c>
      <c r="AT790" t="s">
        <v>12548</v>
      </c>
      <c r="AU790">
        <v>2011</v>
      </c>
      <c r="AV790">
        <v>23</v>
      </c>
      <c r="AW790">
        <v>2</v>
      </c>
      <c r="AX790" t="s">
        <v>74</v>
      </c>
      <c r="AY790" t="s">
        <v>74</v>
      </c>
      <c r="AZ790" t="s">
        <v>74</v>
      </c>
      <c r="BA790" t="s">
        <v>74</v>
      </c>
      <c r="BB790">
        <v>155</v>
      </c>
      <c r="BC790">
        <v>163</v>
      </c>
      <c r="BD790" t="s">
        <v>74</v>
      </c>
      <c r="BE790" t="s">
        <v>14319</v>
      </c>
      <c r="BF790" t="str">
        <f>HYPERLINK("http://dx.doi.org/10.1017/S0954102010000878","http://dx.doi.org/10.1017/S0954102010000878")</f>
        <v>http://dx.doi.org/10.1017/S0954102010000878</v>
      </c>
      <c r="BG790" t="s">
        <v>74</v>
      </c>
      <c r="BH790" t="s">
        <v>74</v>
      </c>
      <c r="BI790">
        <v>9</v>
      </c>
      <c r="BJ790" t="s">
        <v>722</v>
      </c>
      <c r="BK790" t="s">
        <v>100</v>
      </c>
      <c r="BL790" t="s">
        <v>723</v>
      </c>
      <c r="BM790" t="s">
        <v>13492</v>
      </c>
      <c r="BN790" t="s">
        <v>74</v>
      </c>
      <c r="BO790" t="s">
        <v>1025</v>
      </c>
      <c r="BP790" t="s">
        <v>74</v>
      </c>
      <c r="BQ790" t="s">
        <v>74</v>
      </c>
      <c r="BR790" t="s">
        <v>103</v>
      </c>
      <c r="BS790" t="s">
        <v>14320</v>
      </c>
      <c r="BT790" t="str">
        <f>HYPERLINK("https%3A%2F%2Fwww.webofscience.com%2Fwos%2Fwoscc%2Ffull-record%2FWOS:000288080600008","View Full Record in Web of Science")</f>
        <v>View Full Record in Web of Science</v>
      </c>
    </row>
    <row r="791" spans="1:72" x14ac:dyDescent="0.15">
      <c r="A791" t="s">
        <v>72</v>
      </c>
      <c r="B791" t="s">
        <v>14321</v>
      </c>
      <c r="C791" t="s">
        <v>74</v>
      </c>
      <c r="D791" t="s">
        <v>74</v>
      </c>
      <c r="E791" t="s">
        <v>74</v>
      </c>
      <c r="F791" t="s">
        <v>14322</v>
      </c>
      <c r="G791" t="s">
        <v>74</v>
      </c>
      <c r="H791" t="s">
        <v>74</v>
      </c>
      <c r="I791" t="s">
        <v>14323</v>
      </c>
      <c r="J791" t="s">
        <v>707</v>
      </c>
      <c r="K791" t="s">
        <v>74</v>
      </c>
      <c r="L791" t="s">
        <v>74</v>
      </c>
      <c r="M791" t="s">
        <v>78</v>
      </c>
      <c r="N791" t="s">
        <v>79</v>
      </c>
      <c r="O791" t="s">
        <v>74</v>
      </c>
      <c r="P791" t="s">
        <v>74</v>
      </c>
      <c r="Q791" t="s">
        <v>74</v>
      </c>
      <c r="R791" t="s">
        <v>74</v>
      </c>
      <c r="S791" t="s">
        <v>74</v>
      </c>
      <c r="T791" t="s">
        <v>14324</v>
      </c>
      <c r="U791" t="s">
        <v>14325</v>
      </c>
      <c r="V791" t="s">
        <v>14326</v>
      </c>
      <c r="W791" t="s">
        <v>14327</v>
      </c>
      <c r="X791" t="s">
        <v>14328</v>
      </c>
      <c r="Y791" t="s">
        <v>14329</v>
      </c>
      <c r="Z791" t="s">
        <v>14330</v>
      </c>
      <c r="AA791" t="s">
        <v>14331</v>
      </c>
      <c r="AB791" t="s">
        <v>1659</v>
      </c>
      <c r="AC791" t="s">
        <v>14332</v>
      </c>
      <c r="AD791" t="s">
        <v>240</v>
      </c>
      <c r="AE791" t="s">
        <v>14333</v>
      </c>
      <c r="AF791" t="s">
        <v>74</v>
      </c>
      <c r="AG791">
        <v>69</v>
      </c>
      <c r="AH791">
        <v>23</v>
      </c>
      <c r="AI791">
        <v>25</v>
      </c>
      <c r="AJ791">
        <v>0</v>
      </c>
      <c r="AK791">
        <v>17</v>
      </c>
      <c r="AL791" t="s">
        <v>693</v>
      </c>
      <c r="AM791" t="s">
        <v>91</v>
      </c>
      <c r="AN791" t="s">
        <v>694</v>
      </c>
      <c r="AO791" t="s">
        <v>717</v>
      </c>
      <c r="AP791" t="s">
        <v>718</v>
      </c>
      <c r="AQ791" t="s">
        <v>74</v>
      </c>
      <c r="AR791" t="s">
        <v>719</v>
      </c>
      <c r="AS791" t="s">
        <v>720</v>
      </c>
      <c r="AT791" t="s">
        <v>12548</v>
      </c>
      <c r="AU791">
        <v>2011</v>
      </c>
      <c r="AV791">
        <v>23</v>
      </c>
      <c r="AW791">
        <v>2</v>
      </c>
      <c r="AX791" t="s">
        <v>74</v>
      </c>
      <c r="AY791" t="s">
        <v>74</v>
      </c>
      <c r="AZ791" t="s">
        <v>74</v>
      </c>
      <c r="BA791" t="s">
        <v>74</v>
      </c>
      <c r="BB791">
        <v>188</v>
      </c>
      <c r="BC791">
        <v>208</v>
      </c>
      <c r="BD791" t="s">
        <v>74</v>
      </c>
      <c r="BE791" t="s">
        <v>14334</v>
      </c>
      <c r="BF791" t="str">
        <f>HYPERLINK("http://dx.doi.org/10.1017/S0954102010000866","http://dx.doi.org/10.1017/S0954102010000866")</f>
        <v>http://dx.doi.org/10.1017/S0954102010000866</v>
      </c>
      <c r="BG791" t="s">
        <v>74</v>
      </c>
      <c r="BH791" t="s">
        <v>74</v>
      </c>
      <c r="BI791">
        <v>21</v>
      </c>
      <c r="BJ791" t="s">
        <v>722</v>
      </c>
      <c r="BK791" t="s">
        <v>100</v>
      </c>
      <c r="BL791" t="s">
        <v>723</v>
      </c>
      <c r="BM791" t="s">
        <v>13492</v>
      </c>
      <c r="BN791" t="s">
        <v>74</v>
      </c>
      <c r="BO791" t="s">
        <v>74</v>
      </c>
      <c r="BP791" t="s">
        <v>74</v>
      </c>
      <c r="BQ791" t="s">
        <v>74</v>
      </c>
      <c r="BR791" t="s">
        <v>103</v>
      </c>
      <c r="BS791" t="s">
        <v>14335</v>
      </c>
      <c r="BT791" t="str">
        <f>HYPERLINK("https%3A%2F%2Fwww.webofscience.com%2Fwos%2Fwoscc%2Ffull-record%2FWOS:000288080600011","View Full Record in Web of Science")</f>
        <v>View Full Record in Web of Science</v>
      </c>
    </row>
    <row r="792" spans="1:72" x14ac:dyDescent="0.15">
      <c r="A792" t="s">
        <v>72</v>
      </c>
      <c r="B792" t="s">
        <v>14336</v>
      </c>
      <c r="C792" t="s">
        <v>74</v>
      </c>
      <c r="D792" t="s">
        <v>74</v>
      </c>
      <c r="E792" t="s">
        <v>74</v>
      </c>
      <c r="F792" t="s">
        <v>14337</v>
      </c>
      <c r="G792" t="s">
        <v>74</v>
      </c>
      <c r="H792" t="s">
        <v>74</v>
      </c>
      <c r="I792" t="s">
        <v>14338</v>
      </c>
      <c r="J792" t="s">
        <v>14339</v>
      </c>
      <c r="K792" t="s">
        <v>74</v>
      </c>
      <c r="L792" t="s">
        <v>74</v>
      </c>
      <c r="M792" t="s">
        <v>78</v>
      </c>
      <c r="N792" t="s">
        <v>79</v>
      </c>
      <c r="O792" t="s">
        <v>74</v>
      </c>
      <c r="P792" t="s">
        <v>74</v>
      </c>
      <c r="Q792" t="s">
        <v>74</v>
      </c>
      <c r="R792" t="s">
        <v>74</v>
      </c>
      <c r="S792" t="s">
        <v>74</v>
      </c>
      <c r="T792" t="s">
        <v>14340</v>
      </c>
      <c r="U792" t="s">
        <v>14341</v>
      </c>
      <c r="V792" t="s">
        <v>14342</v>
      </c>
      <c r="W792" t="s">
        <v>14343</v>
      </c>
      <c r="X792" t="s">
        <v>14344</v>
      </c>
      <c r="Y792" t="s">
        <v>14345</v>
      </c>
      <c r="Z792" t="s">
        <v>14346</v>
      </c>
      <c r="AA792" t="s">
        <v>14347</v>
      </c>
      <c r="AB792" t="s">
        <v>14348</v>
      </c>
      <c r="AC792" t="s">
        <v>74</v>
      </c>
      <c r="AD792" t="s">
        <v>74</v>
      </c>
      <c r="AE792" t="s">
        <v>74</v>
      </c>
      <c r="AF792" t="s">
        <v>74</v>
      </c>
      <c r="AG792">
        <v>88</v>
      </c>
      <c r="AH792">
        <v>71</v>
      </c>
      <c r="AI792">
        <v>75</v>
      </c>
      <c r="AJ792">
        <v>2</v>
      </c>
      <c r="AK792">
        <v>78</v>
      </c>
      <c r="AL792" t="s">
        <v>507</v>
      </c>
      <c r="AM792" t="s">
        <v>508</v>
      </c>
      <c r="AN792" t="s">
        <v>509</v>
      </c>
      <c r="AO792" t="s">
        <v>14349</v>
      </c>
      <c r="AP792" t="s">
        <v>74</v>
      </c>
      <c r="AQ792" t="s">
        <v>74</v>
      </c>
      <c r="AR792" t="s">
        <v>14350</v>
      </c>
      <c r="AS792" t="s">
        <v>14351</v>
      </c>
      <c r="AT792" t="s">
        <v>12548</v>
      </c>
      <c r="AU792">
        <v>2011</v>
      </c>
      <c r="AV792">
        <v>32</v>
      </c>
      <c r="AW792">
        <v>2</v>
      </c>
      <c r="AX792" t="s">
        <v>74</v>
      </c>
      <c r="AY792" t="s">
        <v>74</v>
      </c>
      <c r="AZ792" t="s">
        <v>74</v>
      </c>
      <c r="BA792" t="s">
        <v>74</v>
      </c>
      <c r="BB792">
        <v>357</v>
      </c>
      <c r="BC792">
        <v>366</v>
      </c>
      <c r="BD792" t="s">
        <v>74</v>
      </c>
      <c r="BE792" t="s">
        <v>14352</v>
      </c>
      <c r="BF792" t="str">
        <f>HYPERLINK("http://dx.doi.org/10.1016/j.tourman.2010.03.005","http://dx.doi.org/10.1016/j.tourman.2010.03.005")</f>
        <v>http://dx.doi.org/10.1016/j.tourman.2010.03.005</v>
      </c>
      <c r="BG792" t="s">
        <v>74</v>
      </c>
      <c r="BH792" t="s">
        <v>74</v>
      </c>
      <c r="BI792">
        <v>10</v>
      </c>
      <c r="BJ792" t="s">
        <v>14353</v>
      </c>
      <c r="BK792" t="s">
        <v>9575</v>
      </c>
      <c r="BL792" t="s">
        <v>14354</v>
      </c>
      <c r="BM792" t="s">
        <v>14355</v>
      </c>
      <c r="BN792" t="s">
        <v>74</v>
      </c>
      <c r="BO792" t="s">
        <v>74</v>
      </c>
      <c r="BP792" t="s">
        <v>74</v>
      </c>
      <c r="BQ792" t="s">
        <v>74</v>
      </c>
      <c r="BR792" t="s">
        <v>103</v>
      </c>
      <c r="BS792" t="s">
        <v>14356</v>
      </c>
      <c r="BT792" t="str">
        <f>HYPERLINK("https%3A%2F%2Fwww.webofscience.com%2Fwos%2Fwoscc%2Ffull-record%2FWOS:000286305000016","View Full Record in Web of Science")</f>
        <v>View Full Record in Web of Science</v>
      </c>
    </row>
    <row r="793" spans="1:72" x14ac:dyDescent="0.15">
      <c r="A793" t="s">
        <v>72</v>
      </c>
      <c r="B793" t="s">
        <v>14357</v>
      </c>
      <c r="C793" t="s">
        <v>74</v>
      </c>
      <c r="D793" t="s">
        <v>74</v>
      </c>
      <c r="E793" t="s">
        <v>74</v>
      </c>
      <c r="F793" t="s">
        <v>14358</v>
      </c>
      <c r="G793" t="s">
        <v>74</v>
      </c>
      <c r="H793" t="s">
        <v>74</v>
      </c>
      <c r="I793" t="s">
        <v>14359</v>
      </c>
      <c r="J793" t="s">
        <v>14360</v>
      </c>
      <c r="K793" t="s">
        <v>74</v>
      </c>
      <c r="L793" t="s">
        <v>74</v>
      </c>
      <c r="M793" t="s">
        <v>78</v>
      </c>
      <c r="N793" t="s">
        <v>79</v>
      </c>
      <c r="O793" t="s">
        <v>74</v>
      </c>
      <c r="P793" t="s">
        <v>74</v>
      </c>
      <c r="Q793" t="s">
        <v>74</v>
      </c>
      <c r="R793" t="s">
        <v>74</v>
      </c>
      <c r="S793" t="s">
        <v>74</v>
      </c>
      <c r="T793" t="s">
        <v>14361</v>
      </c>
      <c r="U793" t="s">
        <v>14362</v>
      </c>
      <c r="V793" t="s">
        <v>14363</v>
      </c>
      <c r="W793" t="s">
        <v>14364</v>
      </c>
      <c r="X793" t="s">
        <v>14365</v>
      </c>
      <c r="Y793" t="s">
        <v>14366</v>
      </c>
      <c r="Z793" t="s">
        <v>14367</v>
      </c>
      <c r="AA793" t="s">
        <v>14368</v>
      </c>
      <c r="AB793" t="s">
        <v>14369</v>
      </c>
      <c r="AC793" t="s">
        <v>14370</v>
      </c>
      <c r="AD793" t="s">
        <v>14371</v>
      </c>
      <c r="AE793" t="s">
        <v>14372</v>
      </c>
      <c r="AF793" t="s">
        <v>74</v>
      </c>
      <c r="AG793">
        <v>48</v>
      </c>
      <c r="AH793">
        <v>12</v>
      </c>
      <c r="AI793">
        <v>13</v>
      </c>
      <c r="AJ793">
        <v>1</v>
      </c>
      <c r="AK793">
        <v>9</v>
      </c>
      <c r="AL793" t="s">
        <v>9877</v>
      </c>
      <c r="AM793" t="s">
        <v>1490</v>
      </c>
      <c r="AN793" t="s">
        <v>9878</v>
      </c>
      <c r="AO793" t="s">
        <v>14373</v>
      </c>
      <c r="AP793" t="s">
        <v>74</v>
      </c>
      <c r="AQ793" t="s">
        <v>74</v>
      </c>
      <c r="AR793" t="s">
        <v>14374</v>
      </c>
      <c r="AS793" t="s">
        <v>14375</v>
      </c>
      <c r="AT793" t="s">
        <v>12548</v>
      </c>
      <c r="AU793">
        <v>2011</v>
      </c>
      <c r="AV793">
        <v>32</v>
      </c>
      <c r="AW793">
        <v>2</v>
      </c>
      <c r="AX793" t="s">
        <v>74</v>
      </c>
      <c r="AY793" t="s">
        <v>74</v>
      </c>
      <c r="AZ793" t="s">
        <v>74</v>
      </c>
      <c r="BA793" t="s">
        <v>74</v>
      </c>
      <c r="BB793">
        <v>164</v>
      </c>
      <c r="BC793">
        <v>173</v>
      </c>
      <c r="BD793" t="s">
        <v>74</v>
      </c>
      <c r="BE793" t="s">
        <v>14376</v>
      </c>
      <c r="BF793" t="str">
        <f>HYPERLINK("http://dx.doi.org/10.1016/j.cretres.2010.11.006","http://dx.doi.org/10.1016/j.cretres.2010.11.006")</f>
        <v>http://dx.doi.org/10.1016/j.cretres.2010.11.006</v>
      </c>
      <c r="BG793" t="s">
        <v>74</v>
      </c>
      <c r="BH793" t="s">
        <v>74</v>
      </c>
      <c r="BI793">
        <v>10</v>
      </c>
      <c r="BJ793" t="s">
        <v>14377</v>
      </c>
      <c r="BK793" t="s">
        <v>100</v>
      </c>
      <c r="BL793" t="s">
        <v>14377</v>
      </c>
      <c r="BM793" t="s">
        <v>14378</v>
      </c>
      <c r="BN793" t="s">
        <v>74</v>
      </c>
      <c r="BO793" t="s">
        <v>74</v>
      </c>
      <c r="BP793" t="s">
        <v>74</v>
      </c>
      <c r="BQ793" t="s">
        <v>74</v>
      </c>
      <c r="BR793" t="s">
        <v>103</v>
      </c>
      <c r="BS793" t="s">
        <v>14379</v>
      </c>
      <c r="BT793" t="str">
        <f>HYPERLINK("https%3A%2F%2Fwww.webofscience.com%2Fwos%2Fwoscc%2Ffull-record%2FWOS:000287562100006","View Full Record in Web of Science")</f>
        <v>View Full Record in Web of Science</v>
      </c>
    </row>
    <row r="794" spans="1:72" x14ac:dyDescent="0.15">
      <c r="A794" t="s">
        <v>72</v>
      </c>
      <c r="B794" t="s">
        <v>14380</v>
      </c>
      <c r="C794" t="s">
        <v>74</v>
      </c>
      <c r="D794" t="s">
        <v>74</v>
      </c>
      <c r="E794" t="s">
        <v>74</v>
      </c>
      <c r="F794" t="s">
        <v>14381</v>
      </c>
      <c r="G794" t="s">
        <v>74</v>
      </c>
      <c r="H794" t="s">
        <v>74</v>
      </c>
      <c r="I794" t="s">
        <v>14382</v>
      </c>
      <c r="J794" t="s">
        <v>5948</v>
      </c>
      <c r="K794" t="s">
        <v>74</v>
      </c>
      <c r="L794" t="s">
        <v>74</v>
      </c>
      <c r="M794" t="s">
        <v>78</v>
      </c>
      <c r="N794" t="s">
        <v>79</v>
      </c>
      <c r="O794" t="s">
        <v>74</v>
      </c>
      <c r="P794" t="s">
        <v>74</v>
      </c>
      <c r="Q794" t="s">
        <v>74</v>
      </c>
      <c r="R794" t="s">
        <v>74</v>
      </c>
      <c r="S794" t="s">
        <v>74</v>
      </c>
      <c r="T794" t="s">
        <v>74</v>
      </c>
      <c r="U794" t="s">
        <v>74</v>
      </c>
      <c r="V794" t="s">
        <v>14383</v>
      </c>
      <c r="W794" t="s">
        <v>14384</v>
      </c>
      <c r="X794" t="s">
        <v>14385</v>
      </c>
      <c r="Y794" t="s">
        <v>14386</v>
      </c>
      <c r="Z794" t="s">
        <v>14387</v>
      </c>
      <c r="AA794" t="s">
        <v>74</v>
      </c>
      <c r="AB794" t="s">
        <v>74</v>
      </c>
      <c r="AC794" t="s">
        <v>74</v>
      </c>
      <c r="AD794" t="s">
        <v>74</v>
      </c>
      <c r="AE794" t="s">
        <v>74</v>
      </c>
      <c r="AF794" t="s">
        <v>74</v>
      </c>
      <c r="AG794">
        <v>35</v>
      </c>
      <c r="AH794">
        <v>4</v>
      </c>
      <c r="AI794">
        <v>7</v>
      </c>
      <c r="AJ794">
        <v>0</v>
      </c>
      <c r="AK794">
        <v>3</v>
      </c>
      <c r="AL794" t="s">
        <v>693</v>
      </c>
      <c r="AM794" t="s">
        <v>91</v>
      </c>
      <c r="AN794" t="s">
        <v>694</v>
      </c>
      <c r="AO794" t="s">
        <v>5957</v>
      </c>
      <c r="AP794" t="s">
        <v>74</v>
      </c>
      <c r="AQ794" t="s">
        <v>74</v>
      </c>
      <c r="AR794" t="s">
        <v>5959</v>
      </c>
      <c r="AS794" t="s">
        <v>5960</v>
      </c>
      <c r="AT794" t="s">
        <v>12548</v>
      </c>
      <c r="AU794">
        <v>2011</v>
      </c>
      <c r="AV794">
        <v>47</v>
      </c>
      <c r="AW794">
        <v>241</v>
      </c>
      <c r="AX794" t="s">
        <v>74</v>
      </c>
      <c r="AY794" t="s">
        <v>74</v>
      </c>
      <c r="AZ794" t="s">
        <v>74</v>
      </c>
      <c r="BA794" t="s">
        <v>74</v>
      </c>
      <c r="BB794">
        <v>126</v>
      </c>
      <c r="BC794">
        <v>134</v>
      </c>
      <c r="BD794" t="s">
        <v>74</v>
      </c>
      <c r="BE794" t="s">
        <v>14388</v>
      </c>
      <c r="BF794" t="str">
        <f>HYPERLINK("http://dx.doi.org/10.1017/S0032247410000148","http://dx.doi.org/10.1017/S0032247410000148")</f>
        <v>http://dx.doi.org/10.1017/S0032247410000148</v>
      </c>
      <c r="BG794" t="s">
        <v>74</v>
      </c>
      <c r="BH794" t="s">
        <v>74</v>
      </c>
      <c r="BI794">
        <v>9</v>
      </c>
      <c r="BJ794" t="s">
        <v>5962</v>
      </c>
      <c r="BK794" t="s">
        <v>100</v>
      </c>
      <c r="BL794" t="s">
        <v>5193</v>
      </c>
      <c r="BM794" t="s">
        <v>12670</v>
      </c>
      <c r="BN794" t="s">
        <v>74</v>
      </c>
      <c r="BO794" t="s">
        <v>74</v>
      </c>
      <c r="BP794" t="s">
        <v>74</v>
      </c>
      <c r="BQ794" t="s">
        <v>74</v>
      </c>
      <c r="BR794" t="s">
        <v>103</v>
      </c>
      <c r="BS794" t="s">
        <v>14389</v>
      </c>
      <c r="BT794" t="str">
        <f>HYPERLINK("https%3A%2F%2Fwww.webofscience.com%2Fwos%2Fwoscc%2Ffull-record%2FWOS:000287635200002","View Full Record in Web of Science")</f>
        <v>View Full Record in Web of Science</v>
      </c>
    </row>
    <row r="795" spans="1:72" x14ac:dyDescent="0.15">
      <c r="A795" t="s">
        <v>72</v>
      </c>
      <c r="B795" t="s">
        <v>14390</v>
      </c>
      <c r="C795" t="s">
        <v>74</v>
      </c>
      <c r="D795" t="s">
        <v>74</v>
      </c>
      <c r="E795" t="s">
        <v>74</v>
      </c>
      <c r="F795" t="s">
        <v>14391</v>
      </c>
      <c r="G795" t="s">
        <v>74</v>
      </c>
      <c r="H795" t="s">
        <v>74</v>
      </c>
      <c r="I795" t="s">
        <v>14392</v>
      </c>
      <c r="J795" t="s">
        <v>5948</v>
      </c>
      <c r="K795" t="s">
        <v>74</v>
      </c>
      <c r="L795" t="s">
        <v>74</v>
      </c>
      <c r="M795" t="s">
        <v>78</v>
      </c>
      <c r="N795" t="s">
        <v>79</v>
      </c>
      <c r="O795" t="s">
        <v>74</v>
      </c>
      <c r="P795" t="s">
        <v>74</v>
      </c>
      <c r="Q795" t="s">
        <v>74</v>
      </c>
      <c r="R795" t="s">
        <v>74</v>
      </c>
      <c r="S795" t="s">
        <v>74</v>
      </c>
      <c r="T795" t="s">
        <v>74</v>
      </c>
      <c r="U795" t="s">
        <v>74</v>
      </c>
      <c r="V795" t="s">
        <v>14393</v>
      </c>
      <c r="W795" t="s">
        <v>74</v>
      </c>
      <c r="X795" t="s">
        <v>74</v>
      </c>
      <c r="Y795" t="s">
        <v>14394</v>
      </c>
      <c r="Z795" t="s">
        <v>14395</v>
      </c>
      <c r="AA795" t="s">
        <v>74</v>
      </c>
      <c r="AB795" t="s">
        <v>74</v>
      </c>
      <c r="AC795" t="s">
        <v>74</v>
      </c>
      <c r="AD795" t="s">
        <v>74</v>
      </c>
      <c r="AE795" t="s">
        <v>74</v>
      </c>
      <c r="AF795" t="s">
        <v>74</v>
      </c>
      <c r="AG795">
        <v>23</v>
      </c>
      <c r="AH795">
        <v>0</v>
      </c>
      <c r="AI795">
        <v>0</v>
      </c>
      <c r="AJ795">
        <v>0</v>
      </c>
      <c r="AK795">
        <v>1</v>
      </c>
      <c r="AL795" t="s">
        <v>693</v>
      </c>
      <c r="AM795" t="s">
        <v>91</v>
      </c>
      <c r="AN795" t="s">
        <v>694</v>
      </c>
      <c r="AO795" t="s">
        <v>5957</v>
      </c>
      <c r="AP795" t="s">
        <v>74</v>
      </c>
      <c r="AQ795" t="s">
        <v>74</v>
      </c>
      <c r="AR795" t="s">
        <v>5959</v>
      </c>
      <c r="AS795" t="s">
        <v>5960</v>
      </c>
      <c r="AT795" t="s">
        <v>12548</v>
      </c>
      <c r="AU795">
        <v>2011</v>
      </c>
      <c r="AV795">
        <v>47</v>
      </c>
      <c r="AW795">
        <v>241</v>
      </c>
      <c r="AX795" t="s">
        <v>74</v>
      </c>
      <c r="AY795" t="s">
        <v>74</v>
      </c>
      <c r="AZ795" t="s">
        <v>74</v>
      </c>
      <c r="BA795" t="s">
        <v>74</v>
      </c>
      <c r="BB795">
        <v>177</v>
      </c>
      <c r="BC795">
        <v>181</v>
      </c>
      <c r="BD795" t="s">
        <v>74</v>
      </c>
      <c r="BE795" t="s">
        <v>14396</v>
      </c>
      <c r="BF795" t="str">
        <f>HYPERLINK("http://dx.doi.org/10.1017/S0032247410000276","http://dx.doi.org/10.1017/S0032247410000276")</f>
        <v>http://dx.doi.org/10.1017/S0032247410000276</v>
      </c>
      <c r="BG795" t="s">
        <v>74</v>
      </c>
      <c r="BH795" t="s">
        <v>74</v>
      </c>
      <c r="BI795">
        <v>5</v>
      </c>
      <c r="BJ795" t="s">
        <v>5962</v>
      </c>
      <c r="BK795" t="s">
        <v>100</v>
      </c>
      <c r="BL795" t="s">
        <v>5193</v>
      </c>
      <c r="BM795" t="s">
        <v>12670</v>
      </c>
      <c r="BN795" t="s">
        <v>74</v>
      </c>
      <c r="BO795" t="s">
        <v>74</v>
      </c>
      <c r="BP795" t="s">
        <v>74</v>
      </c>
      <c r="BQ795" t="s">
        <v>74</v>
      </c>
      <c r="BR795" t="s">
        <v>103</v>
      </c>
      <c r="BS795" t="s">
        <v>14397</v>
      </c>
      <c r="BT795" t="str">
        <f>HYPERLINK("https%3A%2F%2Fwww.webofscience.com%2Fwos%2Fwoscc%2Ffull-record%2FWOS:000287635200006","View Full Record in Web of Science")</f>
        <v>View Full Record in Web of Science</v>
      </c>
    </row>
    <row r="796" spans="1:72" x14ac:dyDescent="0.15">
      <c r="A796" t="s">
        <v>72</v>
      </c>
      <c r="B796" t="s">
        <v>14398</v>
      </c>
      <c r="C796" t="s">
        <v>74</v>
      </c>
      <c r="D796" t="s">
        <v>74</v>
      </c>
      <c r="E796" t="s">
        <v>74</v>
      </c>
      <c r="F796" t="s">
        <v>14399</v>
      </c>
      <c r="G796" t="s">
        <v>74</v>
      </c>
      <c r="H796" t="s">
        <v>74</v>
      </c>
      <c r="I796" t="s">
        <v>14400</v>
      </c>
      <c r="J796" t="s">
        <v>14401</v>
      </c>
      <c r="K796" t="s">
        <v>74</v>
      </c>
      <c r="L796" t="s">
        <v>74</v>
      </c>
      <c r="M796" t="s">
        <v>78</v>
      </c>
      <c r="N796" t="s">
        <v>79</v>
      </c>
      <c r="O796" t="s">
        <v>74</v>
      </c>
      <c r="P796" t="s">
        <v>74</v>
      </c>
      <c r="Q796" t="s">
        <v>74</v>
      </c>
      <c r="R796" t="s">
        <v>74</v>
      </c>
      <c r="S796" t="s">
        <v>74</v>
      </c>
      <c r="T796" t="s">
        <v>74</v>
      </c>
      <c r="U796" t="s">
        <v>14402</v>
      </c>
      <c r="V796" t="s">
        <v>14403</v>
      </c>
      <c r="W796" t="s">
        <v>14404</v>
      </c>
      <c r="X796" t="s">
        <v>14405</v>
      </c>
      <c r="Y796" t="s">
        <v>14406</v>
      </c>
      <c r="Z796" t="s">
        <v>14407</v>
      </c>
      <c r="AA796" t="s">
        <v>74</v>
      </c>
      <c r="AB796" t="s">
        <v>74</v>
      </c>
      <c r="AC796" t="s">
        <v>14408</v>
      </c>
      <c r="AD796" t="s">
        <v>14409</v>
      </c>
      <c r="AE796" t="s">
        <v>14410</v>
      </c>
      <c r="AF796" t="s">
        <v>74</v>
      </c>
      <c r="AG796">
        <v>37</v>
      </c>
      <c r="AH796">
        <v>11</v>
      </c>
      <c r="AI796">
        <v>13</v>
      </c>
      <c r="AJ796">
        <v>1</v>
      </c>
      <c r="AK796">
        <v>17</v>
      </c>
      <c r="AL796" t="s">
        <v>8158</v>
      </c>
      <c r="AM796" t="s">
        <v>1490</v>
      </c>
      <c r="AN796" t="s">
        <v>8159</v>
      </c>
      <c r="AO796" t="s">
        <v>14411</v>
      </c>
      <c r="AP796" t="s">
        <v>74</v>
      </c>
      <c r="AQ796" t="s">
        <v>74</v>
      </c>
      <c r="AR796" t="s">
        <v>14401</v>
      </c>
      <c r="AS796" t="s">
        <v>14412</v>
      </c>
      <c r="AT796" t="s">
        <v>14413</v>
      </c>
      <c r="AU796">
        <v>2011</v>
      </c>
      <c r="AV796">
        <v>12</v>
      </c>
      <c r="AW796" t="s">
        <v>74</v>
      </c>
      <c r="AX796" t="s">
        <v>74</v>
      </c>
      <c r="AY796" t="s">
        <v>74</v>
      </c>
      <c r="AZ796" t="s">
        <v>74</v>
      </c>
      <c r="BA796" t="s">
        <v>74</v>
      </c>
      <c r="BB796" t="s">
        <v>74</v>
      </c>
      <c r="BC796" t="s">
        <v>74</v>
      </c>
      <c r="BD796">
        <v>169</v>
      </c>
      <c r="BE796" t="s">
        <v>14414</v>
      </c>
      <c r="BF796" t="str">
        <f>HYPERLINK("http://dx.doi.org/10.1186/1471-2164-12-169","http://dx.doi.org/10.1186/1471-2164-12-169")</f>
        <v>http://dx.doi.org/10.1186/1471-2164-12-169</v>
      </c>
      <c r="BG796" t="s">
        <v>74</v>
      </c>
      <c r="BH796" t="s">
        <v>74</v>
      </c>
      <c r="BI796">
        <v>11</v>
      </c>
      <c r="BJ796" t="s">
        <v>14415</v>
      </c>
      <c r="BK796" t="s">
        <v>100</v>
      </c>
      <c r="BL796" t="s">
        <v>14415</v>
      </c>
      <c r="BM796" t="s">
        <v>14416</v>
      </c>
      <c r="BN796">
        <v>21453490</v>
      </c>
      <c r="BO796" t="s">
        <v>555</v>
      </c>
      <c r="BP796" t="s">
        <v>74</v>
      </c>
      <c r="BQ796" t="s">
        <v>74</v>
      </c>
      <c r="BR796" t="s">
        <v>103</v>
      </c>
      <c r="BS796" t="s">
        <v>14417</v>
      </c>
      <c r="BT796" t="str">
        <f>HYPERLINK("https%3A%2F%2Fwww.webofscience.com%2Fwos%2Fwoscc%2Ffull-record%2FWOS:000289672400002","View Full Record in Web of Science")</f>
        <v>View Full Record in Web of Science</v>
      </c>
    </row>
    <row r="797" spans="1:72" x14ac:dyDescent="0.15">
      <c r="A797" t="s">
        <v>72</v>
      </c>
      <c r="B797" t="s">
        <v>14418</v>
      </c>
      <c r="C797" t="s">
        <v>74</v>
      </c>
      <c r="D797" t="s">
        <v>74</v>
      </c>
      <c r="E797" t="s">
        <v>74</v>
      </c>
      <c r="F797" t="s">
        <v>14419</v>
      </c>
      <c r="G797" t="s">
        <v>74</v>
      </c>
      <c r="H797" t="s">
        <v>74</v>
      </c>
      <c r="I797" t="s">
        <v>14420</v>
      </c>
      <c r="J797" t="s">
        <v>230</v>
      </c>
      <c r="K797" t="s">
        <v>74</v>
      </c>
      <c r="L797" t="s">
        <v>74</v>
      </c>
      <c r="M797" t="s">
        <v>78</v>
      </c>
      <c r="N797" t="s">
        <v>79</v>
      </c>
      <c r="O797" t="s">
        <v>74</v>
      </c>
      <c r="P797" t="s">
        <v>74</v>
      </c>
      <c r="Q797" t="s">
        <v>74</v>
      </c>
      <c r="R797" t="s">
        <v>74</v>
      </c>
      <c r="S797" t="s">
        <v>74</v>
      </c>
      <c r="T797" t="s">
        <v>74</v>
      </c>
      <c r="U797" t="s">
        <v>14421</v>
      </c>
      <c r="V797" t="s">
        <v>14422</v>
      </c>
      <c r="W797" t="s">
        <v>14423</v>
      </c>
      <c r="X797" t="s">
        <v>2015</v>
      </c>
      <c r="Y797" t="s">
        <v>6040</v>
      </c>
      <c r="Z797" t="s">
        <v>14424</v>
      </c>
      <c r="AA797" t="s">
        <v>14425</v>
      </c>
      <c r="AB797" t="s">
        <v>14426</v>
      </c>
      <c r="AC797" t="s">
        <v>3205</v>
      </c>
      <c r="AD797" t="s">
        <v>2005</v>
      </c>
      <c r="AE797" t="s">
        <v>74</v>
      </c>
      <c r="AF797" t="s">
        <v>74</v>
      </c>
      <c r="AG797">
        <v>65</v>
      </c>
      <c r="AH797">
        <v>7</v>
      </c>
      <c r="AI797">
        <v>7</v>
      </c>
      <c r="AJ797">
        <v>0</v>
      </c>
      <c r="AK797">
        <v>5</v>
      </c>
      <c r="AL797" t="s">
        <v>120</v>
      </c>
      <c r="AM797" t="s">
        <v>121</v>
      </c>
      <c r="AN797" t="s">
        <v>122</v>
      </c>
      <c r="AO797" t="s">
        <v>242</v>
      </c>
      <c r="AP797" t="s">
        <v>243</v>
      </c>
      <c r="AQ797" t="s">
        <v>74</v>
      </c>
      <c r="AR797" t="s">
        <v>244</v>
      </c>
      <c r="AS797" t="s">
        <v>245</v>
      </c>
      <c r="AT797" t="s">
        <v>14427</v>
      </c>
      <c r="AU797">
        <v>2011</v>
      </c>
      <c r="AV797">
        <v>116</v>
      </c>
      <c r="AW797" t="s">
        <v>74</v>
      </c>
      <c r="AX797" t="s">
        <v>74</v>
      </c>
      <c r="AY797" t="s">
        <v>74</v>
      </c>
      <c r="AZ797" t="s">
        <v>74</v>
      </c>
      <c r="BA797" t="s">
        <v>74</v>
      </c>
      <c r="BB797" t="s">
        <v>74</v>
      </c>
      <c r="BC797" t="s">
        <v>74</v>
      </c>
      <c r="BD797" t="s">
        <v>14428</v>
      </c>
      <c r="BE797" t="s">
        <v>14429</v>
      </c>
      <c r="BF797" t="str">
        <f>HYPERLINK("http://dx.doi.org/10.1029/2010JD014781","http://dx.doi.org/10.1029/2010JD014781")</f>
        <v>http://dx.doi.org/10.1029/2010JD014781</v>
      </c>
      <c r="BG797" t="s">
        <v>74</v>
      </c>
      <c r="BH797" t="s">
        <v>74</v>
      </c>
      <c r="BI797">
        <v>14</v>
      </c>
      <c r="BJ797" t="s">
        <v>248</v>
      </c>
      <c r="BK797" t="s">
        <v>100</v>
      </c>
      <c r="BL797" t="s">
        <v>248</v>
      </c>
      <c r="BM797" t="s">
        <v>14430</v>
      </c>
      <c r="BN797" t="s">
        <v>74</v>
      </c>
      <c r="BO797" t="s">
        <v>594</v>
      </c>
      <c r="BP797" t="s">
        <v>74</v>
      </c>
      <c r="BQ797" t="s">
        <v>74</v>
      </c>
      <c r="BR797" t="s">
        <v>103</v>
      </c>
      <c r="BS797" t="s">
        <v>14431</v>
      </c>
      <c r="BT797" t="str">
        <f>HYPERLINK("https%3A%2F%2Fwww.webofscience.com%2Fwos%2Fwoscc%2Ffull-record%2FWOS:000289085700002","View Full Record in Web of Science")</f>
        <v>View Full Record in Web of Science</v>
      </c>
    </row>
    <row r="798" spans="1:72" x14ac:dyDescent="0.15">
      <c r="A798" t="s">
        <v>72</v>
      </c>
      <c r="B798" t="s">
        <v>14432</v>
      </c>
      <c r="C798" t="s">
        <v>74</v>
      </c>
      <c r="D798" t="s">
        <v>74</v>
      </c>
      <c r="E798" t="s">
        <v>74</v>
      </c>
      <c r="F798" t="s">
        <v>14433</v>
      </c>
      <c r="G798" t="s">
        <v>74</v>
      </c>
      <c r="H798" t="s">
        <v>74</v>
      </c>
      <c r="I798" t="s">
        <v>14434</v>
      </c>
      <c r="J798" t="s">
        <v>230</v>
      </c>
      <c r="K798" t="s">
        <v>74</v>
      </c>
      <c r="L798" t="s">
        <v>74</v>
      </c>
      <c r="M798" t="s">
        <v>78</v>
      </c>
      <c r="N798" t="s">
        <v>79</v>
      </c>
      <c r="O798" t="s">
        <v>74</v>
      </c>
      <c r="P798" t="s">
        <v>74</v>
      </c>
      <c r="Q798" t="s">
        <v>74</v>
      </c>
      <c r="R798" t="s">
        <v>74</v>
      </c>
      <c r="S798" t="s">
        <v>74</v>
      </c>
      <c r="T798" t="s">
        <v>74</v>
      </c>
      <c r="U798" t="s">
        <v>14435</v>
      </c>
      <c r="V798" t="s">
        <v>14436</v>
      </c>
      <c r="W798" t="s">
        <v>14437</v>
      </c>
      <c r="X798" t="s">
        <v>14438</v>
      </c>
      <c r="Y798" t="s">
        <v>14439</v>
      </c>
      <c r="Z798" t="s">
        <v>14440</v>
      </c>
      <c r="AA798" t="s">
        <v>74</v>
      </c>
      <c r="AB798" t="s">
        <v>14441</v>
      </c>
      <c r="AC798" t="s">
        <v>14442</v>
      </c>
      <c r="AD798" t="s">
        <v>14443</v>
      </c>
      <c r="AE798" t="s">
        <v>14444</v>
      </c>
      <c r="AF798" t="s">
        <v>74</v>
      </c>
      <c r="AG798">
        <v>47</v>
      </c>
      <c r="AH798">
        <v>56</v>
      </c>
      <c r="AI798">
        <v>60</v>
      </c>
      <c r="AJ798">
        <v>2</v>
      </c>
      <c r="AK798">
        <v>19</v>
      </c>
      <c r="AL798" t="s">
        <v>120</v>
      </c>
      <c r="AM798" t="s">
        <v>121</v>
      </c>
      <c r="AN798" t="s">
        <v>122</v>
      </c>
      <c r="AO798" t="s">
        <v>242</v>
      </c>
      <c r="AP798" t="s">
        <v>74</v>
      </c>
      <c r="AQ798" t="s">
        <v>74</v>
      </c>
      <c r="AR798" t="s">
        <v>244</v>
      </c>
      <c r="AS798" t="s">
        <v>245</v>
      </c>
      <c r="AT798" t="s">
        <v>14445</v>
      </c>
      <c r="AU798">
        <v>2011</v>
      </c>
      <c r="AV798">
        <v>116</v>
      </c>
      <c r="AW798" t="s">
        <v>74</v>
      </c>
      <c r="AX798" t="s">
        <v>74</v>
      </c>
      <c r="AY798" t="s">
        <v>74</v>
      </c>
      <c r="AZ798" t="s">
        <v>74</v>
      </c>
      <c r="BA798" t="s">
        <v>74</v>
      </c>
      <c r="BB798" t="s">
        <v>74</v>
      </c>
      <c r="BC798" t="s">
        <v>74</v>
      </c>
      <c r="BD798" t="s">
        <v>14446</v>
      </c>
      <c r="BE798" t="s">
        <v>14447</v>
      </c>
      <c r="BF798" t="str">
        <f>HYPERLINK("http://dx.doi.org/10.1029/2010JD014719","http://dx.doi.org/10.1029/2010JD014719")</f>
        <v>http://dx.doi.org/10.1029/2010JD014719</v>
      </c>
      <c r="BG798" t="s">
        <v>74</v>
      </c>
      <c r="BH798" t="s">
        <v>74</v>
      </c>
      <c r="BI798">
        <v>16</v>
      </c>
      <c r="BJ798" t="s">
        <v>248</v>
      </c>
      <c r="BK798" t="s">
        <v>100</v>
      </c>
      <c r="BL798" t="s">
        <v>248</v>
      </c>
      <c r="BM798" t="s">
        <v>14448</v>
      </c>
      <c r="BN798" t="s">
        <v>74</v>
      </c>
      <c r="BO798" t="s">
        <v>273</v>
      </c>
      <c r="BP798" t="s">
        <v>74</v>
      </c>
      <c r="BQ798" t="s">
        <v>74</v>
      </c>
      <c r="BR798" t="s">
        <v>103</v>
      </c>
      <c r="BS798" t="s">
        <v>14449</v>
      </c>
      <c r="BT798" t="str">
        <f>HYPERLINK("https%3A%2F%2Fwww.webofscience.com%2Fwos%2Fwoscc%2Ffull-record%2FWOS:000288866400001","View Full Record in Web of Science")</f>
        <v>View Full Record in Web of Science</v>
      </c>
    </row>
    <row r="799" spans="1:72" x14ac:dyDescent="0.15">
      <c r="A799" t="s">
        <v>72</v>
      </c>
      <c r="B799" t="s">
        <v>14450</v>
      </c>
      <c r="C799" t="s">
        <v>74</v>
      </c>
      <c r="D799" t="s">
        <v>74</v>
      </c>
      <c r="E799" t="s">
        <v>74</v>
      </c>
      <c r="F799" t="s">
        <v>14451</v>
      </c>
      <c r="G799" t="s">
        <v>74</v>
      </c>
      <c r="H799" t="s">
        <v>74</v>
      </c>
      <c r="I799" t="s">
        <v>14452</v>
      </c>
      <c r="J799" t="s">
        <v>6862</v>
      </c>
      <c r="K799" t="s">
        <v>74</v>
      </c>
      <c r="L799" t="s">
        <v>74</v>
      </c>
      <c r="M799" t="s">
        <v>78</v>
      </c>
      <c r="N799" t="s">
        <v>79</v>
      </c>
      <c r="O799" t="s">
        <v>74</v>
      </c>
      <c r="P799" t="s">
        <v>74</v>
      </c>
      <c r="Q799" t="s">
        <v>74</v>
      </c>
      <c r="R799" t="s">
        <v>74</v>
      </c>
      <c r="S799" t="s">
        <v>74</v>
      </c>
      <c r="T799" t="s">
        <v>14453</v>
      </c>
      <c r="U799" t="s">
        <v>14454</v>
      </c>
      <c r="V799" t="s">
        <v>14455</v>
      </c>
      <c r="W799" t="s">
        <v>14456</v>
      </c>
      <c r="X799" t="s">
        <v>3982</v>
      </c>
      <c r="Y799" t="s">
        <v>14457</v>
      </c>
      <c r="Z799" t="s">
        <v>14458</v>
      </c>
      <c r="AA799" t="s">
        <v>74</v>
      </c>
      <c r="AB799" t="s">
        <v>14459</v>
      </c>
      <c r="AC799" t="s">
        <v>14460</v>
      </c>
      <c r="AD799" t="s">
        <v>14461</v>
      </c>
      <c r="AE799" t="s">
        <v>14462</v>
      </c>
      <c r="AF799" t="s">
        <v>74</v>
      </c>
      <c r="AG799">
        <v>28</v>
      </c>
      <c r="AH799">
        <v>4</v>
      </c>
      <c r="AI799">
        <v>7</v>
      </c>
      <c r="AJ799">
        <v>0</v>
      </c>
      <c r="AK799">
        <v>7</v>
      </c>
      <c r="AL799" t="s">
        <v>793</v>
      </c>
      <c r="AM799" t="s">
        <v>794</v>
      </c>
      <c r="AN799" t="s">
        <v>795</v>
      </c>
      <c r="AO799" t="s">
        <v>6869</v>
      </c>
      <c r="AP799" t="s">
        <v>74</v>
      </c>
      <c r="AQ799" t="s">
        <v>74</v>
      </c>
      <c r="AR799" t="s">
        <v>6870</v>
      </c>
      <c r="AS799" t="s">
        <v>6871</v>
      </c>
      <c r="AT799" t="s">
        <v>14463</v>
      </c>
      <c r="AU799">
        <v>2011</v>
      </c>
      <c r="AV799">
        <v>100</v>
      </c>
      <c r="AW799">
        <v>6</v>
      </c>
      <c r="AX799" t="s">
        <v>74</v>
      </c>
      <c r="AY799" t="s">
        <v>74</v>
      </c>
      <c r="AZ799" t="s">
        <v>74</v>
      </c>
      <c r="BA799" t="s">
        <v>74</v>
      </c>
      <c r="BB799">
        <v>881</v>
      </c>
      <c r="BC799">
        <v>887</v>
      </c>
      <c r="BD799" t="s">
        <v>74</v>
      </c>
      <c r="BE799" t="s">
        <v>74</v>
      </c>
      <c r="BF799" t="s">
        <v>74</v>
      </c>
      <c r="BG799" t="s">
        <v>74</v>
      </c>
      <c r="BH799" t="s">
        <v>74</v>
      </c>
      <c r="BI799">
        <v>7</v>
      </c>
      <c r="BJ799" t="s">
        <v>177</v>
      </c>
      <c r="BK799" t="s">
        <v>100</v>
      </c>
      <c r="BL799" t="s">
        <v>178</v>
      </c>
      <c r="BM799" t="s">
        <v>14464</v>
      </c>
      <c r="BN799" t="s">
        <v>74</v>
      </c>
      <c r="BO799" t="s">
        <v>74</v>
      </c>
      <c r="BP799" t="s">
        <v>74</v>
      </c>
      <c r="BQ799" t="s">
        <v>74</v>
      </c>
      <c r="BR799" t="s">
        <v>103</v>
      </c>
      <c r="BS799" t="s">
        <v>14465</v>
      </c>
      <c r="BT799" t="str">
        <f>HYPERLINK("https%3A%2F%2Fwww.webofscience.com%2Fwos%2Fwoscc%2Ffull-record%2FWOS:000288912900025","View Full Record in Web of Science")</f>
        <v>View Full Record in Web of Science</v>
      </c>
    </row>
    <row r="800" spans="1:72" x14ac:dyDescent="0.15">
      <c r="A800" t="s">
        <v>72</v>
      </c>
      <c r="B800" t="s">
        <v>14466</v>
      </c>
      <c r="C800" t="s">
        <v>74</v>
      </c>
      <c r="D800" t="s">
        <v>74</v>
      </c>
      <c r="E800" t="s">
        <v>74</v>
      </c>
      <c r="F800" t="s">
        <v>14467</v>
      </c>
      <c r="G800" t="s">
        <v>74</v>
      </c>
      <c r="H800" t="s">
        <v>74</v>
      </c>
      <c r="I800" t="s">
        <v>14468</v>
      </c>
      <c r="J800" t="s">
        <v>254</v>
      </c>
      <c r="K800" t="s">
        <v>74</v>
      </c>
      <c r="L800" t="s">
        <v>74</v>
      </c>
      <c r="M800" t="s">
        <v>78</v>
      </c>
      <c r="N800" t="s">
        <v>79</v>
      </c>
      <c r="O800" t="s">
        <v>74</v>
      </c>
      <c r="P800" t="s">
        <v>74</v>
      </c>
      <c r="Q800" t="s">
        <v>74</v>
      </c>
      <c r="R800" t="s">
        <v>74</v>
      </c>
      <c r="S800" t="s">
        <v>74</v>
      </c>
      <c r="T800" t="s">
        <v>74</v>
      </c>
      <c r="U800" t="s">
        <v>14469</v>
      </c>
      <c r="V800" t="s">
        <v>14470</v>
      </c>
      <c r="W800" t="s">
        <v>14471</v>
      </c>
      <c r="X800" t="s">
        <v>14472</v>
      </c>
      <c r="Y800" t="s">
        <v>14473</v>
      </c>
      <c r="Z800" t="s">
        <v>74</v>
      </c>
      <c r="AA800" t="s">
        <v>14474</v>
      </c>
      <c r="AB800" t="s">
        <v>14475</v>
      </c>
      <c r="AC800" t="s">
        <v>14476</v>
      </c>
      <c r="AD800" t="s">
        <v>14477</v>
      </c>
      <c r="AE800" t="s">
        <v>14478</v>
      </c>
      <c r="AF800" t="s">
        <v>74</v>
      </c>
      <c r="AG800">
        <v>63</v>
      </c>
      <c r="AH800">
        <v>33</v>
      </c>
      <c r="AI800">
        <v>33</v>
      </c>
      <c r="AJ800">
        <v>0</v>
      </c>
      <c r="AK800">
        <v>13</v>
      </c>
      <c r="AL800" t="s">
        <v>120</v>
      </c>
      <c r="AM800" t="s">
        <v>121</v>
      </c>
      <c r="AN800" t="s">
        <v>122</v>
      </c>
      <c r="AO800" t="s">
        <v>74</v>
      </c>
      <c r="AP800" t="s">
        <v>266</v>
      </c>
      <c r="AQ800" t="s">
        <v>74</v>
      </c>
      <c r="AR800" t="s">
        <v>267</v>
      </c>
      <c r="AS800" t="s">
        <v>268</v>
      </c>
      <c r="AT800" t="s">
        <v>14463</v>
      </c>
      <c r="AU800">
        <v>2011</v>
      </c>
      <c r="AV800">
        <v>116</v>
      </c>
      <c r="AW800" t="s">
        <v>74</v>
      </c>
      <c r="AX800" t="s">
        <v>74</v>
      </c>
      <c r="AY800" t="s">
        <v>74</v>
      </c>
      <c r="AZ800" t="s">
        <v>74</v>
      </c>
      <c r="BA800" t="s">
        <v>74</v>
      </c>
      <c r="BB800" t="s">
        <v>74</v>
      </c>
      <c r="BC800" t="s">
        <v>74</v>
      </c>
      <c r="BD800" t="s">
        <v>14479</v>
      </c>
      <c r="BE800" t="s">
        <v>14480</v>
      </c>
      <c r="BF800" t="str">
        <f>HYPERLINK("http://dx.doi.org/10.1029/2010JC006595","http://dx.doi.org/10.1029/2010JC006595")</f>
        <v>http://dx.doi.org/10.1029/2010JC006595</v>
      </c>
      <c r="BG800" t="s">
        <v>74</v>
      </c>
      <c r="BH800" t="s">
        <v>74</v>
      </c>
      <c r="BI800">
        <v>17</v>
      </c>
      <c r="BJ800" t="s">
        <v>271</v>
      </c>
      <c r="BK800" t="s">
        <v>100</v>
      </c>
      <c r="BL800" t="s">
        <v>271</v>
      </c>
      <c r="BM800" t="s">
        <v>14481</v>
      </c>
      <c r="BN800" t="s">
        <v>74</v>
      </c>
      <c r="BO800" t="s">
        <v>152</v>
      </c>
      <c r="BP800" t="s">
        <v>74</v>
      </c>
      <c r="BQ800" t="s">
        <v>74</v>
      </c>
      <c r="BR800" t="s">
        <v>103</v>
      </c>
      <c r="BS800" t="s">
        <v>14482</v>
      </c>
      <c r="BT800" t="str">
        <f>HYPERLINK("https%3A%2F%2Fwww.webofscience.com%2Fwos%2Fwoscc%2Ffull-record%2FWOS:000288866500001","View Full Record in Web of Science")</f>
        <v>View Full Record in Web of Science</v>
      </c>
    </row>
    <row r="801" spans="1:72" x14ac:dyDescent="0.15">
      <c r="A801" t="s">
        <v>72</v>
      </c>
      <c r="B801" t="s">
        <v>14483</v>
      </c>
      <c r="C801" t="s">
        <v>74</v>
      </c>
      <c r="D801" t="s">
        <v>74</v>
      </c>
      <c r="E801" t="s">
        <v>74</v>
      </c>
      <c r="F801" t="s">
        <v>14484</v>
      </c>
      <c r="G801" t="s">
        <v>74</v>
      </c>
      <c r="H801" t="s">
        <v>74</v>
      </c>
      <c r="I801" t="s">
        <v>14485</v>
      </c>
      <c r="J801" t="s">
        <v>3115</v>
      </c>
      <c r="K801" t="s">
        <v>74</v>
      </c>
      <c r="L801" t="s">
        <v>74</v>
      </c>
      <c r="M801" t="s">
        <v>78</v>
      </c>
      <c r="N801" t="s">
        <v>79</v>
      </c>
      <c r="O801" t="s">
        <v>74</v>
      </c>
      <c r="P801" t="s">
        <v>74</v>
      </c>
      <c r="Q801" t="s">
        <v>74</v>
      </c>
      <c r="R801" t="s">
        <v>74</v>
      </c>
      <c r="S801" t="s">
        <v>74</v>
      </c>
      <c r="T801" t="s">
        <v>74</v>
      </c>
      <c r="U801" t="s">
        <v>14486</v>
      </c>
      <c r="V801" t="s">
        <v>14487</v>
      </c>
      <c r="W801" t="s">
        <v>14488</v>
      </c>
      <c r="X801" t="s">
        <v>14489</v>
      </c>
      <c r="Y801" t="s">
        <v>14490</v>
      </c>
      <c r="Z801" t="s">
        <v>14491</v>
      </c>
      <c r="AA801" t="s">
        <v>14492</v>
      </c>
      <c r="AB801" t="s">
        <v>14493</v>
      </c>
      <c r="AC801" t="s">
        <v>14494</v>
      </c>
      <c r="AD801" t="s">
        <v>2067</v>
      </c>
      <c r="AE801" t="s">
        <v>74</v>
      </c>
      <c r="AF801" t="s">
        <v>74</v>
      </c>
      <c r="AG801">
        <v>13</v>
      </c>
      <c r="AH801">
        <v>136</v>
      </c>
      <c r="AI801">
        <v>163</v>
      </c>
      <c r="AJ801">
        <v>1</v>
      </c>
      <c r="AK801">
        <v>49</v>
      </c>
      <c r="AL801" t="s">
        <v>3127</v>
      </c>
      <c r="AM801" t="s">
        <v>121</v>
      </c>
      <c r="AN801" t="s">
        <v>3128</v>
      </c>
      <c r="AO801" t="s">
        <v>3129</v>
      </c>
      <c r="AP801" t="s">
        <v>74</v>
      </c>
      <c r="AQ801" t="s">
        <v>74</v>
      </c>
      <c r="AR801" t="s">
        <v>3115</v>
      </c>
      <c r="AS801" t="s">
        <v>3131</v>
      </c>
      <c r="AT801" t="s">
        <v>14463</v>
      </c>
      <c r="AU801">
        <v>2011</v>
      </c>
      <c r="AV801">
        <v>331</v>
      </c>
      <c r="AW801">
        <v>6024</v>
      </c>
      <c r="AX801" t="s">
        <v>74</v>
      </c>
      <c r="AY801" t="s">
        <v>74</v>
      </c>
      <c r="AZ801" t="s">
        <v>74</v>
      </c>
      <c r="BA801" t="s">
        <v>74</v>
      </c>
      <c r="BB801">
        <v>1592</v>
      </c>
      <c r="BC801">
        <v>1595</v>
      </c>
      <c r="BD801" t="s">
        <v>74</v>
      </c>
      <c r="BE801" t="s">
        <v>14495</v>
      </c>
      <c r="BF801" t="str">
        <f>HYPERLINK("http://dx.doi.org/10.1126/science.1200109","http://dx.doi.org/10.1126/science.1200109")</f>
        <v>http://dx.doi.org/10.1126/science.1200109</v>
      </c>
      <c r="BG801" t="s">
        <v>74</v>
      </c>
      <c r="BH801" t="s">
        <v>74</v>
      </c>
      <c r="BI801">
        <v>4</v>
      </c>
      <c r="BJ801" t="s">
        <v>177</v>
      </c>
      <c r="BK801" t="s">
        <v>100</v>
      </c>
      <c r="BL801" t="s">
        <v>178</v>
      </c>
      <c r="BM801" t="s">
        <v>14496</v>
      </c>
      <c r="BN801">
        <v>21385719</v>
      </c>
      <c r="BO801" t="s">
        <v>74</v>
      </c>
      <c r="BP801" t="s">
        <v>74</v>
      </c>
      <c r="BQ801" t="s">
        <v>74</v>
      </c>
      <c r="BR801" t="s">
        <v>103</v>
      </c>
      <c r="BS801" t="s">
        <v>14497</v>
      </c>
      <c r="BT801" t="str">
        <f>HYPERLINK("https%3A%2F%2Fwww.webofscience.com%2Fwos%2Fwoscc%2Ffull-record%2FWOS:000288754500052","View Full Record in Web of Science")</f>
        <v>View Full Record in Web of Science</v>
      </c>
    </row>
    <row r="802" spans="1:72" x14ac:dyDescent="0.15">
      <c r="A802" t="s">
        <v>72</v>
      </c>
      <c r="B802" t="s">
        <v>14498</v>
      </c>
      <c r="C802" t="s">
        <v>74</v>
      </c>
      <c r="D802" t="s">
        <v>74</v>
      </c>
      <c r="E802" t="s">
        <v>74</v>
      </c>
      <c r="F802" t="s">
        <v>14499</v>
      </c>
      <c r="G802" t="s">
        <v>74</v>
      </c>
      <c r="H802" t="s">
        <v>74</v>
      </c>
      <c r="I802" t="s">
        <v>14500</v>
      </c>
      <c r="J802" t="s">
        <v>6896</v>
      </c>
      <c r="K802" t="s">
        <v>74</v>
      </c>
      <c r="L802" t="s">
        <v>74</v>
      </c>
      <c r="M802" t="s">
        <v>78</v>
      </c>
      <c r="N802" t="s">
        <v>79</v>
      </c>
      <c r="O802" t="s">
        <v>74</v>
      </c>
      <c r="P802" t="s">
        <v>74</v>
      </c>
      <c r="Q802" t="s">
        <v>74</v>
      </c>
      <c r="R802" t="s">
        <v>74</v>
      </c>
      <c r="S802" t="s">
        <v>74</v>
      </c>
      <c r="T802" t="s">
        <v>14501</v>
      </c>
      <c r="U802" t="s">
        <v>14502</v>
      </c>
      <c r="V802" t="s">
        <v>14503</v>
      </c>
      <c r="W802" t="s">
        <v>14504</v>
      </c>
      <c r="X802" t="s">
        <v>14505</v>
      </c>
      <c r="Y802" t="s">
        <v>14506</v>
      </c>
      <c r="Z802" t="s">
        <v>14507</v>
      </c>
      <c r="AA802" t="s">
        <v>14508</v>
      </c>
      <c r="AB802" t="s">
        <v>14509</v>
      </c>
      <c r="AC802" t="s">
        <v>14510</v>
      </c>
      <c r="AD802" t="s">
        <v>14511</v>
      </c>
      <c r="AE802" t="s">
        <v>14512</v>
      </c>
      <c r="AF802" t="s">
        <v>74</v>
      </c>
      <c r="AG802">
        <v>71</v>
      </c>
      <c r="AH802">
        <v>14</v>
      </c>
      <c r="AI802">
        <v>16</v>
      </c>
      <c r="AJ802">
        <v>0</v>
      </c>
      <c r="AK802">
        <v>6</v>
      </c>
      <c r="AL802" t="s">
        <v>6908</v>
      </c>
      <c r="AM802" t="s">
        <v>6909</v>
      </c>
      <c r="AN802" t="s">
        <v>6910</v>
      </c>
      <c r="AO802" t="s">
        <v>6911</v>
      </c>
      <c r="AP802" t="s">
        <v>74</v>
      </c>
      <c r="AQ802" t="s">
        <v>74</v>
      </c>
      <c r="AR802" t="s">
        <v>6896</v>
      </c>
      <c r="AS802" t="s">
        <v>6912</v>
      </c>
      <c r="AT802" t="s">
        <v>14513</v>
      </c>
      <c r="AU802">
        <v>2011</v>
      </c>
      <c r="AV802">
        <v>125</v>
      </c>
      <c r="AW802">
        <v>1</v>
      </c>
      <c r="AX802" t="s">
        <v>74</v>
      </c>
      <c r="AY802" t="s">
        <v>74</v>
      </c>
      <c r="AZ802" t="s">
        <v>74</v>
      </c>
      <c r="BA802" t="s">
        <v>74</v>
      </c>
      <c r="BB802">
        <v>1</v>
      </c>
      <c r="BC802">
        <v>14</v>
      </c>
      <c r="BD802" t="s">
        <v>74</v>
      </c>
      <c r="BE802" t="s">
        <v>74</v>
      </c>
      <c r="BF802" t="s">
        <v>74</v>
      </c>
      <c r="BG802" t="s">
        <v>74</v>
      </c>
      <c r="BH802" t="s">
        <v>74</v>
      </c>
      <c r="BI802">
        <v>14</v>
      </c>
      <c r="BJ802" t="s">
        <v>5770</v>
      </c>
      <c r="BK802" t="s">
        <v>100</v>
      </c>
      <c r="BL802" t="s">
        <v>5770</v>
      </c>
      <c r="BM802" t="s">
        <v>14514</v>
      </c>
      <c r="BN802" t="s">
        <v>74</v>
      </c>
      <c r="BO802" t="s">
        <v>74</v>
      </c>
      <c r="BP802" t="s">
        <v>74</v>
      </c>
      <c r="BQ802" t="s">
        <v>74</v>
      </c>
      <c r="BR802" t="s">
        <v>103</v>
      </c>
      <c r="BS802" t="s">
        <v>14515</v>
      </c>
      <c r="BT802" t="str">
        <f>HYPERLINK("https%3A%2F%2Fwww.webofscience.com%2Fwos%2Fwoscc%2Ffull-record%2FWOS:000289023200001","View Full Record in Web of Science")</f>
        <v>View Full Record in Web of Science</v>
      </c>
    </row>
    <row r="803" spans="1:72" x14ac:dyDescent="0.15">
      <c r="A803" t="s">
        <v>72</v>
      </c>
      <c r="B803" t="s">
        <v>14516</v>
      </c>
      <c r="C803" t="s">
        <v>74</v>
      </c>
      <c r="D803" t="s">
        <v>74</v>
      </c>
      <c r="E803" t="s">
        <v>74</v>
      </c>
      <c r="F803" t="s">
        <v>14517</v>
      </c>
      <c r="G803" t="s">
        <v>74</v>
      </c>
      <c r="H803" t="s">
        <v>74</v>
      </c>
      <c r="I803" t="s">
        <v>14518</v>
      </c>
      <c r="J803" t="s">
        <v>230</v>
      </c>
      <c r="K803" t="s">
        <v>74</v>
      </c>
      <c r="L803" t="s">
        <v>74</v>
      </c>
      <c r="M803" t="s">
        <v>78</v>
      </c>
      <c r="N803" t="s">
        <v>79</v>
      </c>
      <c r="O803" t="s">
        <v>74</v>
      </c>
      <c r="P803" t="s">
        <v>74</v>
      </c>
      <c r="Q803" t="s">
        <v>74</v>
      </c>
      <c r="R803" t="s">
        <v>74</v>
      </c>
      <c r="S803" t="s">
        <v>74</v>
      </c>
      <c r="T803" t="s">
        <v>74</v>
      </c>
      <c r="U803" t="s">
        <v>14519</v>
      </c>
      <c r="V803" t="s">
        <v>14520</v>
      </c>
      <c r="W803" t="s">
        <v>14521</v>
      </c>
      <c r="X803" t="s">
        <v>14522</v>
      </c>
      <c r="Y803" t="s">
        <v>3694</v>
      </c>
      <c r="Z803" t="s">
        <v>3695</v>
      </c>
      <c r="AA803" t="s">
        <v>3696</v>
      </c>
      <c r="AB803" t="s">
        <v>14523</v>
      </c>
      <c r="AC803" t="s">
        <v>14524</v>
      </c>
      <c r="AD803" t="s">
        <v>14524</v>
      </c>
      <c r="AE803" t="s">
        <v>14525</v>
      </c>
      <c r="AF803" t="s">
        <v>74</v>
      </c>
      <c r="AG803">
        <v>57</v>
      </c>
      <c r="AH803">
        <v>32</v>
      </c>
      <c r="AI803">
        <v>34</v>
      </c>
      <c r="AJ803">
        <v>0</v>
      </c>
      <c r="AK803">
        <v>20</v>
      </c>
      <c r="AL803" t="s">
        <v>120</v>
      </c>
      <c r="AM803" t="s">
        <v>121</v>
      </c>
      <c r="AN803" t="s">
        <v>122</v>
      </c>
      <c r="AO803" t="s">
        <v>242</v>
      </c>
      <c r="AP803" t="s">
        <v>243</v>
      </c>
      <c r="AQ803" t="s">
        <v>74</v>
      </c>
      <c r="AR803" t="s">
        <v>244</v>
      </c>
      <c r="AS803" t="s">
        <v>245</v>
      </c>
      <c r="AT803" t="s">
        <v>14526</v>
      </c>
      <c r="AU803">
        <v>2011</v>
      </c>
      <c r="AV803">
        <v>116</v>
      </c>
      <c r="AW803" t="s">
        <v>74</v>
      </c>
      <c r="AX803" t="s">
        <v>74</v>
      </c>
      <c r="AY803" t="s">
        <v>74</v>
      </c>
      <c r="AZ803" t="s">
        <v>74</v>
      </c>
      <c r="BA803" t="s">
        <v>74</v>
      </c>
      <c r="BB803" t="s">
        <v>74</v>
      </c>
      <c r="BC803" t="s">
        <v>74</v>
      </c>
      <c r="BD803" t="s">
        <v>14527</v>
      </c>
      <c r="BE803" t="s">
        <v>14528</v>
      </c>
      <c r="BF803" t="str">
        <f>HYPERLINK("http://dx.doi.org/10.1029/2010JD015184","http://dx.doi.org/10.1029/2010JD015184")</f>
        <v>http://dx.doi.org/10.1029/2010JD015184</v>
      </c>
      <c r="BG803" t="s">
        <v>74</v>
      </c>
      <c r="BH803" t="s">
        <v>74</v>
      </c>
      <c r="BI803">
        <v>15</v>
      </c>
      <c r="BJ803" t="s">
        <v>248</v>
      </c>
      <c r="BK803" t="s">
        <v>100</v>
      </c>
      <c r="BL803" t="s">
        <v>248</v>
      </c>
      <c r="BM803" t="s">
        <v>14529</v>
      </c>
      <c r="BN803" t="s">
        <v>74</v>
      </c>
      <c r="BO803" t="s">
        <v>152</v>
      </c>
      <c r="BP803" t="s">
        <v>74</v>
      </c>
      <c r="BQ803" t="s">
        <v>74</v>
      </c>
      <c r="BR803" t="s">
        <v>103</v>
      </c>
      <c r="BS803" t="s">
        <v>14530</v>
      </c>
      <c r="BT803" t="str">
        <f>HYPERLINK("https%3A%2F%2Fwww.webofscience.com%2Fwos%2Fwoscc%2Ffull-record%2FWOS:000288865700003","View Full Record in Web of Science")</f>
        <v>View Full Record in Web of Science</v>
      </c>
    </row>
    <row r="804" spans="1:72" x14ac:dyDescent="0.15">
      <c r="A804" t="s">
        <v>72</v>
      </c>
      <c r="B804" t="s">
        <v>14531</v>
      </c>
      <c r="C804" t="s">
        <v>74</v>
      </c>
      <c r="D804" t="s">
        <v>74</v>
      </c>
      <c r="E804" t="s">
        <v>74</v>
      </c>
      <c r="F804" t="s">
        <v>14532</v>
      </c>
      <c r="G804" t="s">
        <v>74</v>
      </c>
      <c r="H804" t="s">
        <v>74</v>
      </c>
      <c r="I804" t="s">
        <v>14533</v>
      </c>
      <c r="J804" t="s">
        <v>373</v>
      </c>
      <c r="K804" t="s">
        <v>74</v>
      </c>
      <c r="L804" t="s">
        <v>74</v>
      </c>
      <c r="M804" t="s">
        <v>78</v>
      </c>
      <c r="N804" t="s">
        <v>79</v>
      </c>
      <c r="O804" t="s">
        <v>74</v>
      </c>
      <c r="P804" t="s">
        <v>74</v>
      </c>
      <c r="Q804" t="s">
        <v>74</v>
      </c>
      <c r="R804" t="s">
        <v>74</v>
      </c>
      <c r="S804" t="s">
        <v>74</v>
      </c>
      <c r="T804" t="s">
        <v>74</v>
      </c>
      <c r="U804" t="s">
        <v>14534</v>
      </c>
      <c r="V804" t="s">
        <v>14535</v>
      </c>
      <c r="W804" t="s">
        <v>14536</v>
      </c>
      <c r="X804" t="s">
        <v>14537</v>
      </c>
      <c r="Y804" t="s">
        <v>14538</v>
      </c>
      <c r="Z804" t="s">
        <v>14539</v>
      </c>
      <c r="AA804" t="s">
        <v>14540</v>
      </c>
      <c r="AB804" t="s">
        <v>14541</v>
      </c>
      <c r="AC804" t="s">
        <v>3205</v>
      </c>
      <c r="AD804" t="s">
        <v>2005</v>
      </c>
      <c r="AE804" t="s">
        <v>74</v>
      </c>
      <c r="AF804" t="s">
        <v>74</v>
      </c>
      <c r="AG804">
        <v>53</v>
      </c>
      <c r="AH804">
        <v>20</v>
      </c>
      <c r="AI804">
        <v>21</v>
      </c>
      <c r="AJ804">
        <v>0</v>
      </c>
      <c r="AK804">
        <v>7</v>
      </c>
      <c r="AL804" t="s">
        <v>120</v>
      </c>
      <c r="AM804" t="s">
        <v>121</v>
      </c>
      <c r="AN804" t="s">
        <v>122</v>
      </c>
      <c r="AO804" t="s">
        <v>385</v>
      </c>
      <c r="AP804" t="s">
        <v>386</v>
      </c>
      <c r="AQ804" t="s">
        <v>74</v>
      </c>
      <c r="AR804" t="s">
        <v>387</v>
      </c>
      <c r="AS804" t="s">
        <v>388</v>
      </c>
      <c r="AT804" t="s">
        <v>14526</v>
      </c>
      <c r="AU804">
        <v>2011</v>
      </c>
      <c r="AV804">
        <v>116</v>
      </c>
      <c r="AW804" t="s">
        <v>74</v>
      </c>
      <c r="AX804" t="s">
        <v>74</v>
      </c>
      <c r="AY804" t="s">
        <v>74</v>
      </c>
      <c r="AZ804" t="s">
        <v>74</v>
      </c>
      <c r="BA804" t="s">
        <v>74</v>
      </c>
      <c r="BB804" t="s">
        <v>74</v>
      </c>
      <c r="BC804" t="s">
        <v>74</v>
      </c>
      <c r="BD804" t="s">
        <v>14542</v>
      </c>
      <c r="BE804" t="s">
        <v>14543</v>
      </c>
      <c r="BF804" t="str">
        <f>HYPERLINK("http://dx.doi.org/10.1029/2010JA016197","http://dx.doi.org/10.1029/2010JA016197")</f>
        <v>http://dx.doi.org/10.1029/2010JA016197</v>
      </c>
      <c r="BG804" t="s">
        <v>74</v>
      </c>
      <c r="BH804" t="s">
        <v>74</v>
      </c>
      <c r="BI804">
        <v>13</v>
      </c>
      <c r="BJ804" t="s">
        <v>391</v>
      </c>
      <c r="BK804" t="s">
        <v>100</v>
      </c>
      <c r="BL804" t="s">
        <v>391</v>
      </c>
      <c r="BM804" t="s">
        <v>14544</v>
      </c>
      <c r="BN804" t="s">
        <v>74</v>
      </c>
      <c r="BO804" t="s">
        <v>594</v>
      </c>
      <c r="BP804" t="s">
        <v>74</v>
      </c>
      <c r="BQ804" t="s">
        <v>74</v>
      </c>
      <c r="BR804" t="s">
        <v>103</v>
      </c>
      <c r="BS804" t="s">
        <v>14545</v>
      </c>
      <c r="BT804" t="str">
        <f>HYPERLINK("https%3A%2F%2Fwww.webofscience.com%2Fwos%2Fwoscc%2Ffull-record%2FWOS:000288872800007","View Full Record in Web of Science")</f>
        <v>View Full Record in Web of Science</v>
      </c>
    </row>
    <row r="805" spans="1:72" x14ac:dyDescent="0.15">
      <c r="A805" t="s">
        <v>72</v>
      </c>
      <c r="B805" t="s">
        <v>14546</v>
      </c>
      <c r="C805" t="s">
        <v>74</v>
      </c>
      <c r="D805" t="s">
        <v>74</v>
      </c>
      <c r="E805" t="s">
        <v>74</v>
      </c>
      <c r="F805" t="s">
        <v>14547</v>
      </c>
      <c r="G805" t="s">
        <v>74</v>
      </c>
      <c r="H805" t="s">
        <v>74</v>
      </c>
      <c r="I805" t="s">
        <v>14548</v>
      </c>
      <c r="J805" t="s">
        <v>14549</v>
      </c>
      <c r="K805" t="s">
        <v>74</v>
      </c>
      <c r="L805" t="s">
        <v>74</v>
      </c>
      <c r="M805" t="s">
        <v>78</v>
      </c>
      <c r="N805" t="s">
        <v>79</v>
      </c>
      <c r="O805" t="s">
        <v>74</v>
      </c>
      <c r="P805" t="s">
        <v>74</v>
      </c>
      <c r="Q805" t="s">
        <v>74</v>
      </c>
      <c r="R805" t="s">
        <v>74</v>
      </c>
      <c r="S805" t="s">
        <v>74</v>
      </c>
      <c r="T805" t="s">
        <v>14550</v>
      </c>
      <c r="U805" t="s">
        <v>14551</v>
      </c>
      <c r="V805" t="s">
        <v>14552</v>
      </c>
      <c r="W805" t="s">
        <v>14553</v>
      </c>
      <c r="X805" t="s">
        <v>14554</v>
      </c>
      <c r="Y805" t="s">
        <v>14555</v>
      </c>
      <c r="Z805" t="s">
        <v>14556</v>
      </c>
      <c r="AA805" t="s">
        <v>14557</v>
      </c>
      <c r="AB805" t="s">
        <v>14558</v>
      </c>
      <c r="AC805" t="s">
        <v>14559</v>
      </c>
      <c r="AD805" t="s">
        <v>14560</v>
      </c>
      <c r="AE805" t="s">
        <v>14561</v>
      </c>
      <c r="AF805" t="s">
        <v>74</v>
      </c>
      <c r="AG805">
        <v>65</v>
      </c>
      <c r="AH805">
        <v>64</v>
      </c>
      <c r="AI805">
        <v>69</v>
      </c>
      <c r="AJ805">
        <v>1</v>
      </c>
      <c r="AK805">
        <v>47</v>
      </c>
      <c r="AL805" t="s">
        <v>308</v>
      </c>
      <c r="AM805" t="s">
        <v>309</v>
      </c>
      <c r="AN805" t="s">
        <v>310</v>
      </c>
      <c r="AO805" t="s">
        <v>14562</v>
      </c>
      <c r="AP805" t="s">
        <v>14563</v>
      </c>
      <c r="AQ805" t="s">
        <v>74</v>
      </c>
      <c r="AR805" t="s">
        <v>14564</v>
      </c>
      <c r="AS805" t="s">
        <v>14565</v>
      </c>
      <c r="AT805" t="s">
        <v>14566</v>
      </c>
      <c r="AU805">
        <v>2011</v>
      </c>
      <c r="AV805">
        <v>124</v>
      </c>
      <c r="AW805" t="s">
        <v>3418</v>
      </c>
      <c r="AX805" t="s">
        <v>74</v>
      </c>
      <c r="AY805" t="s">
        <v>74</v>
      </c>
      <c r="AZ805" t="s">
        <v>74</v>
      </c>
      <c r="BA805" t="s">
        <v>74</v>
      </c>
      <c r="BB805">
        <v>134</v>
      </c>
      <c r="BC805">
        <v>146</v>
      </c>
      <c r="BD805" t="s">
        <v>74</v>
      </c>
      <c r="BE805" t="s">
        <v>14567</v>
      </c>
      <c r="BF805" t="str">
        <f>HYPERLINK("http://dx.doi.org/10.1016/j.marchem.2011.01.004","http://dx.doi.org/10.1016/j.marchem.2011.01.004")</f>
        <v>http://dx.doi.org/10.1016/j.marchem.2011.01.004</v>
      </c>
      <c r="BG805" t="s">
        <v>74</v>
      </c>
      <c r="BH805" t="s">
        <v>74</v>
      </c>
      <c r="BI805">
        <v>13</v>
      </c>
      <c r="BJ805" t="s">
        <v>14568</v>
      </c>
      <c r="BK805" t="s">
        <v>100</v>
      </c>
      <c r="BL805" t="s">
        <v>14569</v>
      </c>
      <c r="BM805" t="s">
        <v>14570</v>
      </c>
      <c r="BN805" t="s">
        <v>74</v>
      </c>
      <c r="BO805" t="s">
        <v>74</v>
      </c>
      <c r="BP805" t="s">
        <v>74</v>
      </c>
      <c r="BQ805" t="s">
        <v>74</v>
      </c>
      <c r="BR805" t="s">
        <v>103</v>
      </c>
      <c r="BS805" t="s">
        <v>14571</v>
      </c>
      <c r="BT805" t="str">
        <f>HYPERLINK("https%3A%2F%2Fwww.webofscience.com%2Fwos%2Fwoscc%2Ffull-record%2FWOS:000290199000015","View Full Record in Web of Science")</f>
        <v>View Full Record in Web of Science</v>
      </c>
    </row>
    <row r="806" spans="1:72" x14ac:dyDescent="0.15">
      <c r="A806" t="s">
        <v>72</v>
      </c>
      <c r="B806" t="s">
        <v>14572</v>
      </c>
      <c r="C806" t="s">
        <v>74</v>
      </c>
      <c r="D806" t="s">
        <v>74</v>
      </c>
      <c r="E806" t="s">
        <v>74</v>
      </c>
      <c r="F806" t="s">
        <v>14573</v>
      </c>
      <c r="G806" t="s">
        <v>74</v>
      </c>
      <c r="H806" t="s">
        <v>74</v>
      </c>
      <c r="I806" t="s">
        <v>14574</v>
      </c>
      <c r="J806" t="s">
        <v>230</v>
      </c>
      <c r="K806" t="s">
        <v>74</v>
      </c>
      <c r="L806" t="s">
        <v>74</v>
      </c>
      <c r="M806" t="s">
        <v>78</v>
      </c>
      <c r="N806" t="s">
        <v>79</v>
      </c>
      <c r="O806" t="s">
        <v>74</v>
      </c>
      <c r="P806" t="s">
        <v>74</v>
      </c>
      <c r="Q806" t="s">
        <v>74</v>
      </c>
      <c r="R806" t="s">
        <v>74</v>
      </c>
      <c r="S806" t="s">
        <v>74</v>
      </c>
      <c r="T806" t="s">
        <v>74</v>
      </c>
      <c r="U806" t="s">
        <v>14575</v>
      </c>
      <c r="V806" t="s">
        <v>14576</v>
      </c>
      <c r="W806" t="s">
        <v>14577</v>
      </c>
      <c r="X806" t="s">
        <v>918</v>
      </c>
      <c r="Y806" t="s">
        <v>14578</v>
      </c>
      <c r="Z806" t="s">
        <v>14579</v>
      </c>
      <c r="AA806" t="s">
        <v>74</v>
      </c>
      <c r="AB806" t="s">
        <v>74</v>
      </c>
      <c r="AC806" t="s">
        <v>14580</v>
      </c>
      <c r="AD806" t="s">
        <v>14581</v>
      </c>
      <c r="AE806" t="s">
        <v>14582</v>
      </c>
      <c r="AF806" t="s">
        <v>74</v>
      </c>
      <c r="AG806">
        <v>33</v>
      </c>
      <c r="AH806">
        <v>58</v>
      </c>
      <c r="AI806">
        <v>61</v>
      </c>
      <c r="AJ806">
        <v>0</v>
      </c>
      <c r="AK806">
        <v>19</v>
      </c>
      <c r="AL806" t="s">
        <v>120</v>
      </c>
      <c r="AM806" t="s">
        <v>121</v>
      </c>
      <c r="AN806" t="s">
        <v>122</v>
      </c>
      <c r="AO806" t="s">
        <v>242</v>
      </c>
      <c r="AP806" t="s">
        <v>243</v>
      </c>
      <c r="AQ806" t="s">
        <v>74</v>
      </c>
      <c r="AR806" t="s">
        <v>244</v>
      </c>
      <c r="AS806" t="s">
        <v>245</v>
      </c>
      <c r="AT806" t="s">
        <v>14583</v>
      </c>
      <c r="AU806">
        <v>2011</v>
      </c>
      <c r="AV806">
        <v>116</v>
      </c>
      <c r="AW806" t="s">
        <v>74</v>
      </c>
      <c r="AX806" t="s">
        <v>74</v>
      </c>
      <c r="AY806" t="s">
        <v>74</v>
      </c>
      <c r="AZ806" t="s">
        <v>74</v>
      </c>
      <c r="BA806" t="s">
        <v>74</v>
      </c>
      <c r="BB806" t="s">
        <v>74</v>
      </c>
      <c r="BC806" t="s">
        <v>74</v>
      </c>
      <c r="BD806" t="s">
        <v>14584</v>
      </c>
      <c r="BE806" t="s">
        <v>14585</v>
      </c>
      <c r="BF806" t="str">
        <f>HYPERLINK("http://dx.doi.org/10.1029/2010JD015162","http://dx.doi.org/10.1029/2010JD015162")</f>
        <v>http://dx.doi.org/10.1029/2010JD015162</v>
      </c>
      <c r="BG806" t="s">
        <v>74</v>
      </c>
      <c r="BH806" t="s">
        <v>74</v>
      </c>
      <c r="BI806">
        <v>9</v>
      </c>
      <c r="BJ806" t="s">
        <v>248</v>
      </c>
      <c r="BK806" t="s">
        <v>100</v>
      </c>
      <c r="BL806" t="s">
        <v>248</v>
      </c>
      <c r="BM806" t="s">
        <v>14586</v>
      </c>
      <c r="BN806" t="s">
        <v>74</v>
      </c>
      <c r="BO806" t="s">
        <v>152</v>
      </c>
      <c r="BP806" t="s">
        <v>74</v>
      </c>
      <c r="BQ806" t="s">
        <v>74</v>
      </c>
      <c r="BR806" t="s">
        <v>103</v>
      </c>
      <c r="BS806" t="s">
        <v>14587</v>
      </c>
      <c r="BT806" t="str">
        <f>HYPERLINK("https%3A%2F%2Fwww.webofscience.com%2Fwos%2Fwoscc%2Ffull-record%2FWOS:000288606900002","View Full Record in Web of Science")</f>
        <v>View Full Record in Web of Science</v>
      </c>
    </row>
    <row r="807" spans="1:72" x14ac:dyDescent="0.15">
      <c r="A807" t="s">
        <v>72</v>
      </c>
      <c r="B807" t="s">
        <v>14588</v>
      </c>
      <c r="C807" t="s">
        <v>74</v>
      </c>
      <c r="D807" t="s">
        <v>74</v>
      </c>
      <c r="E807" t="s">
        <v>74</v>
      </c>
      <c r="F807" t="s">
        <v>14589</v>
      </c>
      <c r="G807" t="s">
        <v>74</v>
      </c>
      <c r="H807" t="s">
        <v>74</v>
      </c>
      <c r="I807" t="s">
        <v>14590</v>
      </c>
      <c r="J807" t="s">
        <v>521</v>
      </c>
      <c r="K807" t="s">
        <v>74</v>
      </c>
      <c r="L807" t="s">
        <v>74</v>
      </c>
      <c r="M807" t="s">
        <v>78</v>
      </c>
      <c r="N807" t="s">
        <v>79</v>
      </c>
      <c r="O807" t="s">
        <v>74</v>
      </c>
      <c r="P807" t="s">
        <v>74</v>
      </c>
      <c r="Q807" t="s">
        <v>74</v>
      </c>
      <c r="R807" t="s">
        <v>74</v>
      </c>
      <c r="S807" t="s">
        <v>74</v>
      </c>
      <c r="T807" t="s">
        <v>74</v>
      </c>
      <c r="U807" t="s">
        <v>14591</v>
      </c>
      <c r="V807" t="s">
        <v>14592</v>
      </c>
      <c r="W807" t="s">
        <v>14593</v>
      </c>
      <c r="X807" t="s">
        <v>14594</v>
      </c>
      <c r="Y807" t="s">
        <v>14595</v>
      </c>
      <c r="Z807" t="s">
        <v>14596</v>
      </c>
      <c r="AA807" t="s">
        <v>14597</v>
      </c>
      <c r="AB807" t="s">
        <v>14598</v>
      </c>
      <c r="AC807" t="s">
        <v>14599</v>
      </c>
      <c r="AD807" t="s">
        <v>14600</v>
      </c>
      <c r="AE807" t="s">
        <v>74</v>
      </c>
      <c r="AF807" t="s">
        <v>74</v>
      </c>
      <c r="AG807">
        <v>48</v>
      </c>
      <c r="AH807">
        <v>95</v>
      </c>
      <c r="AI807">
        <v>104</v>
      </c>
      <c r="AJ807">
        <v>1</v>
      </c>
      <c r="AK807">
        <v>35</v>
      </c>
      <c r="AL807" t="s">
        <v>120</v>
      </c>
      <c r="AM807" t="s">
        <v>121</v>
      </c>
      <c r="AN807" t="s">
        <v>122</v>
      </c>
      <c r="AO807" t="s">
        <v>531</v>
      </c>
      <c r="AP807" t="s">
        <v>571</v>
      </c>
      <c r="AQ807" t="s">
        <v>74</v>
      </c>
      <c r="AR807" t="s">
        <v>521</v>
      </c>
      <c r="AS807" t="s">
        <v>532</v>
      </c>
      <c r="AT807" t="s">
        <v>14583</v>
      </c>
      <c r="AU807">
        <v>2011</v>
      </c>
      <c r="AV807">
        <v>26</v>
      </c>
      <c r="AW807" t="s">
        <v>74</v>
      </c>
      <c r="AX807" t="s">
        <v>74</v>
      </c>
      <c r="AY807" t="s">
        <v>74</v>
      </c>
      <c r="AZ807" t="s">
        <v>74</v>
      </c>
      <c r="BA807" t="s">
        <v>74</v>
      </c>
      <c r="BB807" t="s">
        <v>74</v>
      </c>
      <c r="BC807" t="s">
        <v>74</v>
      </c>
      <c r="BD807" t="s">
        <v>14601</v>
      </c>
      <c r="BE807" t="s">
        <v>14602</v>
      </c>
      <c r="BF807" t="str">
        <f>HYPERLINK("http://dx.doi.org/10.1029/2010PA001938","http://dx.doi.org/10.1029/2010PA001938")</f>
        <v>http://dx.doi.org/10.1029/2010PA001938</v>
      </c>
      <c r="BG807" t="s">
        <v>74</v>
      </c>
      <c r="BH807" t="s">
        <v>74</v>
      </c>
      <c r="BI807">
        <v>19</v>
      </c>
      <c r="BJ807" t="s">
        <v>535</v>
      </c>
      <c r="BK807" t="s">
        <v>100</v>
      </c>
      <c r="BL807" t="s">
        <v>536</v>
      </c>
      <c r="BM807" t="s">
        <v>14603</v>
      </c>
      <c r="BN807" t="s">
        <v>74</v>
      </c>
      <c r="BO807" t="s">
        <v>6768</v>
      </c>
      <c r="BP807" t="s">
        <v>74</v>
      </c>
      <c r="BQ807" t="s">
        <v>74</v>
      </c>
      <c r="BR807" t="s">
        <v>103</v>
      </c>
      <c r="BS807" t="s">
        <v>14604</v>
      </c>
      <c r="BT807" t="str">
        <f>HYPERLINK("https%3A%2F%2Fwww.webofscience.com%2Fwos%2Fwoscc%2Ffull-record%2FWOS:000288606700001","View Full Record in Web of Science")</f>
        <v>View Full Record in Web of Science</v>
      </c>
    </row>
    <row r="808" spans="1:72" x14ac:dyDescent="0.15">
      <c r="A808" t="s">
        <v>72</v>
      </c>
      <c r="B808" t="s">
        <v>14605</v>
      </c>
      <c r="C808" t="s">
        <v>74</v>
      </c>
      <c r="D808" t="s">
        <v>74</v>
      </c>
      <c r="E808" t="s">
        <v>74</v>
      </c>
      <c r="F808" t="s">
        <v>14606</v>
      </c>
      <c r="G808" t="s">
        <v>74</v>
      </c>
      <c r="H808" t="s">
        <v>74</v>
      </c>
      <c r="I808" t="s">
        <v>14607</v>
      </c>
      <c r="J808" t="s">
        <v>14608</v>
      </c>
      <c r="K808" t="s">
        <v>74</v>
      </c>
      <c r="L808" t="s">
        <v>74</v>
      </c>
      <c r="M808" t="s">
        <v>78</v>
      </c>
      <c r="N808" t="s">
        <v>79</v>
      </c>
      <c r="O808" t="s">
        <v>74</v>
      </c>
      <c r="P808" t="s">
        <v>74</v>
      </c>
      <c r="Q808" t="s">
        <v>74</v>
      </c>
      <c r="R808" t="s">
        <v>74</v>
      </c>
      <c r="S808" t="s">
        <v>74</v>
      </c>
      <c r="T808" t="s">
        <v>14609</v>
      </c>
      <c r="U808" t="s">
        <v>14610</v>
      </c>
      <c r="V808" t="s">
        <v>14611</v>
      </c>
      <c r="W808" t="s">
        <v>14612</v>
      </c>
      <c r="X808" t="s">
        <v>14613</v>
      </c>
      <c r="Y808" t="s">
        <v>14614</v>
      </c>
      <c r="Z808" t="s">
        <v>14615</v>
      </c>
      <c r="AA808" t="s">
        <v>74</v>
      </c>
      <c r="AB808" t="s">
        <v>74</v>
      </c>
      <c r="AC808" t="s">
        <v>74</v>
      </c>
      <c r="AD808" t="s">
        <v>74</v>
      </c>
      <c r="AE808" t="s">
        <v>74</v>
      </c>
      <c r="AF808" t="s">
        <v>74</v>
      </c>
      <c r="AG808">
        <v>36</v>
      </c>
      <c r="AH808">
        <v>16</v>
      </c>
      <c r="AI808">
        <v>18</v>
      </c>
      <c r="AJ808">
        <v>0</v>
      </c>
      <c r="AK808">
        <v>5</v>
      </c>
      <c r="AL808" t="s">
        <v>3263</v>
      </c>
      <c r="AM808" t="s">
        <v>3264</v>
      </c>
      <c r="AN808" t="s">
        <v>3265</v>
      </c>
      <c r="AO808" t="s">
        <v>14616</v>
      </c>
      <c r="AP808" t="s">
        <v>74</v>
      </c>
      <c r="AQ808" t="s">
        <v>74</v>
      </c>
      <c r="AR808" t="s">
        <v>14617</v>
      </c>
      <c r="AS808" t="s">
        <v>14618</v>
      </c>
      <c r="AT808" t="s">
        <v>14619</v>
      </c>
      <c r="AU808">
        <v>2011</v>
      </c>
      <c r="AV808">
        <v>6</v>
      </c>
      <c r="AW808">
        <v>6</v>
      </c>
      <c r="AX808" t="s">
        <v>74</v>
      </c>
      <c r="AY808" t="s">
        <v>74</v>
      </c>
      <c r="AZ808" t="s">
        <v>74</v>
      </c>
      <c r="BA808" t="s">
        <v>74</v>
      </c>
      <c r="BB808">
        <v>1398</v>
      </c>
      <c r="BC808">
        <v>1406</v>
      </c>
      <c r="BD808" t="s">
        <v>74</v>
      </c>
      <c r="BE808" t="s">
        <v>74</v>
      </c>
      <c r="BF808" t="s">
        <v>74</v>
      </c>
      <c r="BG808" t="s">
        <v>74</v>
      </c>
      <c r="BH808" t="s">
        <v>74</v>
      </c>
      <c r="BI808">
        <v>9</v>
      </c>
      <c r="BJ808" t="s">
        <v>14620</v>
      </c>
      <c r="BK808" t="s">
        <v>100</v>
      </c>
      <c r="BL808" t="s">
        <v>13622</v>
      </c>
      <c r="BM808" t="s">
        <v>14621</v>
      </c>
      <c r="BN808" t="s">
        <v>74</v>
      </c>
      <c r="BO808" t="s">
        <v>74</v>
      </c>
      <c r="BP808" t="s">
        <v>74</v>
      </c>
      <c r="BQ808" t="s">
        <v>74</v>
      </c>
      <c r="BR808" t="s">
        <v>103</v>
      </c>
      <c r="BS808" t="s">
        <v>14622</v>
      </c>
      <c r="BT808" t="str">
        <f>HYPERLINK("https%3A%2F%2Fwww.webofscience.com%2Fwos%2Fwoscc%2Ffull-record%2FWOS:000292258100017","View Full Record in Web of Science")</f>
        <v>View Full Record in Web of Science</v>
      </c>
    </row>
    <row r="809" spans="1:72" x14ac:dyDescent="0.15">
      <c r="A809" t="s">
        <v>72</v>
      </c>
      <c r="B809" t="s">
        <v>14623</v>
      </c>
      <c r="C809" t="s">
        <v>74</v>
      </c>
      <c r="D809" t="s">
        <v>74</v>
      </c>
      <c r="E809" t="s">
        <v>74</v>
      </c>
      <c r="F809" t="s">
        <v>14624</v>
      </c>
      <c r="G809" t="s">
        <v>74</v>
      </c>
      <c r="H809" t="s">
        <v>74</v>
      </c>
      <c r="I809" t="s">
        <v>14625</v>
      </c>
      <c r="J809" t="s">
        <v>373</v>
      </c>
      <c r="K809" t="s">
        <v>74</v>
      </c>
      <c r="L809" t="s">
        <v>74</v>
      </c>
      <c r="M809" t="s">
        <v>78</v>
      </c>
      <c r="N809" t="s">
        <v>79</v>
      </c>
      <c r="O809" t="s">
        <v>74</v>
      </c>
      <c r="P809" t="s">
        <v>74</v>
      </c>
      <c r="Q809" t="s">
        <v>74</v>
      </c>
      <c r="R809" t="s">
        <v>74</v>
      </c>
      <c r="S809" t="s">
        <v>74</v>
      </c>
      <c r="T809" t="s">
        <v>74</v>
      </c>
      <c r="U809" t="s">
        <v>14626</v>
      </c>
      <c r="V809" t="s">
        <v>14627</v>
      </c>
      <c r="W809" t="s">
        <v>14628</v>
      </c>
      <c r="X809" t="s">
        <v>14629</v>
      </c>
      <c r="Y809" t="s">
        <v>14630</v>
      </c>
      <c r="Z809" t="s">
        <v>14631</v>
      </c>
      <c r="AA809" t="s">
        <v>14632</v>
      </c>
      <c r="AB809" t="s">
        <v>14633</v>
      </c>
      <c r="AC809" t="s">
        <v>14634</v>
      </c>
      <c r="AD809" t="s">
        <v>14635</v>
      </c>
      <c r="AE809" t="s">
        <v>14636</v>
      </c>
      <c r="AF809" t="s">
        <v>74</v>
      </c>
      <c r="AG809">
        <v>28</v>
      </c>
      <c r="AH809">
        <v>75</v>
      </c>
      <c r="AI809">
        <v>79</v>
      </c>
      <c r="AJ809">
        <v>0</v>
      </c>
      <c r="AK809">
        <v>6</v>
      </c>
      <c r="AL809" t="s">
        <v>120</v>
      </c>
      <c r="AM809" t="s">
        <v>121</v>
      </c>
      <c r="AN809" t="s">
        <v>122</v>
      </c>
      <c r="AO809" t="s">
        <v>385</v>
      </c>
      <c r="AP809" t="s">
        <v>386</v>
      </c>
      <c r="AQ809" t="s">
        <v>74</v>
      </c>
      <c r="AR809" t="s">
        <v>387</v>
      </c>
      <c r="AS809" t="s">
        <v>388</v>
      </c>
      <c r="AT809" t="s">
        <v>14619</v>
      </c>
      <c r="AU809">
        <v>2011</v>
      </c>
      <c r="AV809">
        <v>116</v>
      </c>
      <c r="AW809" t="s">
        <v>74</v>
      </c>
      <c r="AX809" t="s">
        <v>74</v>
      </c>
      <c r="AY809" t="s">
        <v>74</v>
      </c>
      <c r="AZ809" t="s">
        <v>74</v>
      </c>
      <c r="BA809" t="s">
        <v>74</v>
      </c>
      <c r="BB809" t="s">
        <v>74</v>
      </c>
      <c r="BC809" t="s">
        <v>74</v>
      </c>
      <c r="BD809" t="s">
        <v>14637</v>
      </c>
      <c r="BE809" t="s">
        <v>14638</v>
      </c>
      <c r="BF809" t="str">
        <f>HYPERLINK("http://dx.doi.org/10.1029/2010JA016068","http://dx.doi.org/10.1029/2010JA016068")</f>
        <v>http://dx.doi.org/10.1029/2010JA016068</v>
      </c>
      <c r="BG809" t="s">
        <v>74</v>
      </c>
      <c r="BH809" t="s">
        <v>74</v>
      </c>
      <c r="BI809">
        <v>11</v>
      </c>
      <c r="BJ809" t="s">
        <v>391</v>
      </c>
      <c r="BK809" t="s">
        <v>100</v>
      </c>
      <c r="BL809" t="s">
        <v>391</v>
      </c>
      <c r="BM809" t="s">
        <v>14639</v>
      </c>
      <c r="BN809" t="s">
        <v>74</v>
      </c>
      <c r="BO809" t="s">
        <v>273</v>
      </c>
      <c r="BP809" t="s">
        <v>74</v>
      </c>
      <c r="BQ809" t="s">
        <v>74</v>
      </c>
      <c r="BR809" t="s">
        <v>103</v>
      </c>
      <c r="BS809" t="s">
        <v>14640</v>
      </c>
      <c r="BT809" t="str">
        <f>HYPERLINK("https%3A%2F%2Fwww.webofscience.com%2Fwos%2Fwoscc%2Ffull-record%2FWOS:000288606000002","View Full Record in Web of Science")</f>
        <v>View Full Record in Web of Science</v>
      </c>
    </row>
    <row r="810" spans="1:72" x14ac:dyDescent="0.15">
      <c r="A810" t="s">
        <v>72</v>
      </c>
      <c r="B810" t="s">
        <v>14641</v>
      </c>
      <c r="C810" t="s">
        <v>74</v>
      </c>
      <c r="D810" t="s">
        <v>74</v>
      </c>
      <c r="E810" t="s">
        <v>74</v>
      </c>
      <c r="F810" t="s">
        <v>14642</v>
      </c>
      <c r="G810" t="s">
        <v>74</v>
      </c>
      <c r="H810" t="s">
        <v>74</v>
      </c>
      <c r="I810" t="s">
        <v>14643</v>
      </c>
      <c r="J810" t="s">
        <v>230</v>
      </c>
      <c r="K810" t="s">
        <v>74</v>
      </c>
      <c r="L810" t="s">
        <v>74</v>
      </c>
      <c r="M810" t="s">
        <v>78</v>
      </c>
      <c r="N810" t="s">
        <v>79</v>
      </c>
      <c r="O810" t="s">
        <v>74</v>
      </c>
      <c r="P810" t="s">
        <v>74</v>
      </c>
      <c r="Q810" t="s">
        <v>74</v>
      </c>
      <c r="R810" t="s">
        <v>74</v>
      </c>
      <c r="S810" t="s">
        <v>74</v>
      </c>
      <c r="T810" t="s">
        <v>74</v>
      </c>
      <c r="U810" t="s">
        <v>14644</v>
      </c>
      <c r="V810" t="s">
        <v>14645</v>
      </c>
      <c r="W810" t="s">
        <v>14646</v>
      </c>
      <c r="X810" t="s">
        <v>14647</v>
      </c>
      <c r="Y810" t="s">
        <v>14648</v>
      </c>
      <c r="Z810" t="s">
        <v>14649</v>
      </c>
      <c r="AA810" t="s">
        <v>74</v>
      </c>
      <c r="AB810" t="s">
        <v>14650</v>
      </c>
      <c r="AC810" t="s">
        <v>14651</v>
      </c>
      <c r="AD810" t="s">
        <v>14652</v>
      </c>
      <c r="AE810" t="s">
        <v>14653</v>
      </c>
      <c r="AF810" t="s">
        <v>74</v>
      </c>
      <c r="AG810">
        <v>50</v>
      </c>
      <c r="AH810">
        <v>1</v>
      </c>
      <c r="AI810">
        <v>2</v>
      </c>
      <c r="AJ810">
        <v>0</v>
      </c>
      <c r="AK810">
        <v>8</v>
      </c>
      <c r="AL810" t="s">
        <v>120</v>
      </c>
      <c r="AM810" t="s">
        <v>121</v>
      </c>
      <c r="AN810" t="s">
        <v>122</v>
      </c>
      <c r="AO810" t="s">
        <v>242</v>
      </c>
      <c r="AP810" t="s">
        <v>243</v>
      </c>
      <c r="AQ810" t="s">
        <v>74</v>
      </c>
      <c r="AR810" t="s">
        <v>244</v>
      </c>
      <c r="AS810" t="s">
        <v>245</v>
      </c>
      <c r="AT810" t="s">
        <v>14654</v>
      </c>
      <c r="AU810">
        <v>2011</v>
      </c>
      <c r="AV810">
        <v>116</v>
      </c>
      <c r="AW810" t="s">
        <v>74</v>
      </c>
      <c r="AX810" t="s">
        <v>74</v>
      </c>
      <c r="AY810" t="s">
        <v>74</v>
      </c>
      <c r="AZ810" t="s">
        <v>74</v>
      </c>
      <c r="BA810" t="s">
        <v>74</v>
      </c>
      <c r="BB810" t="s">
        <v>74</v>
      </c>
      <c r="BC810" t="s">
        <v>74</v>
      </c>
      <c r="BD810" t="s">
        <v>14655</v>
      </c>
      <c r="BE810" t="s">
        <v>14656</v>
      </c>
      <c r="BF810" t="str">
        <f>HYPERLINK("http://dx.doi.org/10.1029/2010JD014858","http://dx.doi.org/10.1029/2010JD014858")</f>
        <v>http://dx.doi.org/10.1029/2010JD014858</v>
      </c>
      <c r="BG810" t="s">
        <v>74</v>
      </c>
      <c r="BH810" t="s">
        <v>74</v>
      </c>
      <c r="BI810">
        <v>14</v>
      </c>
      <c r="BJ810" t="s">
        <v>248</v>
      </c>
      <c r="BK810" t="s">
        <v>100</v>
      </c>
      <c r="BL810" t="s">
        <v>248</v>
      </c>
      <c r="BM810" t="s">
        <v>14657</v>
      </c>
      <c r="BN810" t="s">
        <v>74</v>
      </c>
      <c r="BO810" t="s">
        <v>152</v>
      </c>
      <c r="BP810" t="s">
        <v>74</v>
      </c>
      <c r="BQ810" t="s">
        <v>74</v>
      </c>
      <c r="BR810" t="s">
        <v>103</v>
      </c>
      <c r="BS810" t="s">
        <v>14658</v>
      </c>
      <c r="BT810" t="str">
        <f>HYPERLINK("https%3A%2F%2Fwww.webofscience.com%2Fwos%2Fwoscc%2Ffull-record%2FWOS:000288605900003","View Full Record in Web of Science")</f>
        <v>View Full Record in Web of Science</v>
      </c>
    </row>
    <row r="811" spans="1:72" x14ac:dyDescent="0.15">
      <c r="A811" t="s">
        <v>72</v>
      </c>
      <c r="B811" t="s">
        <v>14659</v>
      </c>
      <c r="C811" t="s">
        <v>74</v>
      </c>
      <c r="D811" t="s">
        <v>74</v>
      </c>
      <c r="E811" t="s">
        <v>74</v>
      </c>
      <c r="F811" t="s">
        <v>14660</v>
      </c>
      <c r="G811" t="s">
        <v>74</v>
      </c>
      <c r="H811" t="s">
        <v>74</v>
      </c>
      <c r="I811" t="s">
        <v>14661</v>
      </c>
      <c r="J811" t="s">
        <v>230</v>
      </c>
      <c r="K811" t="s">
        <v>74</v>
      </c>
      <c r="L811" t="s">
        <v>74</v>
      </c>
      <c r="M811" t="s">
        <v>78</v>
      </c>
      <c r="N811" t="s">
        <v>79</v>
      </c>
      <c r="O811" t="s">
        <v>74</v>
      </c>
      <c r="P811" t="s">
        <v>74</v>
      </c>
      <c r="Q811" t="s">
        <v>74</v>
      </c>
      <c r="R811" t="s">
        <v>74</v>
      </c>
      <c r="S811" t="s">
        <v>74</v>
      </c>
      <c r="T811" t="s">
        <v>74</v>
      </c>
      <c r="U811" t="s">
        <v>14662</v>
      </c>
      <c r="V811" t="s">
        <v>14663</v>
      </c>
      <c r="W811" t="s">
        <v>14664</v>
      </c>
      <c r="X811" t="s">
        <v>14665</v>
      </c>
      <c r="Y811" t="s">
        <v>14666</v>
      </c>
      <c r="Z811" t="s">
        <v>14667</v>
      </c>
      <c r="AA811" t="s">
        <v>14668</v>
      </c>
      <c r="AB811" t="s">
        <v>14669</v>
      </c>
      <c r="AC811" t="s">
        <v>14670</v>
      </c>
      <c r="AD811" t="s">
        <v>14670</v>
      </c>
      <c r="AE811" t="s">
        <v>14671</v>
      </c>
      <c r="AF811" t="s">
        <v>74</v>
      </c>
      <c r="AG811">
        <v>42</v>
      </c>
      <c r="AH811">
        <v>70</v>
      </c>
      <c r="AI811">
        <v>72</v>
      </c>
      <c r="AJ811">
        <v>1</v>
      </c>
      <c r="AK811">
        <v>10</v>
      </c>
      <c r="AL811" t="s">
        <v>120</v>
      </c>
      <c r="AM811" t="s">
        <v>121</v>
      </c>
      <c r="AN811" t="s">
        <v>122</v>
      </c>
      <c r="AO811" t="s">
        <v>242</v>
      </c>
      <c r="AP811" t="s">
        <v>243</v>
      </c>
      <c r="AQ811" t="s">
        <v>74</v>
      </c>
      <c r="AR811" t="s">
        <v>244</v>
      </c>
      <c r="AS811" t="s">
        <v>245</v>
      </c>
      <c r="AT811" t="s">
        <v>14654</v>
      </c>
      <c r="AU811">
        <v>2011</v>
      </c>
      <c r="AV811">
        <v>116</v>
      </c>
      <c r="AW811" t="s">
        <v>74</v>
      </c>
      <c r="AX811" t="s">
        <v>74</v>
      </c>
      <c r="AY811" t="s">
        <v>74</v>
      </c>
      <c r="AZ811" t="s">
        <v>74</v>
      </c>
      <c r="BA811" t="s">
        <v>74</v>
      </c>
      <c r="BB811" t="s">
        <v>74</v>
      </c>
      <c r="BC811" t="s">
        <v>74</v>
      </c>
      <c r="BD811" t="s">
        <v>14672</v>
      </c>
      <c r="BE811" t="s">
        <v>14673</v>
      </c>
      <c r="BF811" t="str">
        <f>HYPERLINK("http://dx.doi.org/10.1029/2010JD014966","http://dx.doi.org/10.1029/2010JD014966")</f>
        <v>http://dx.doi.org/10.1029/2010JD014966</v>
      </c>
      <c r="BG811" t="s">
        <v>74</v>
      </c>
      <c r="BH811" t="s">
        <v>74</v>
      </c>
      <c r="BI811">
        <v>13</v>
      </c>
      <c r="BJ811" t="s">
        <v>248</v>
      </c>
      <c r="BK811" t="s">
        <v>100</v>
      </c>
      <c r="BL811" t="s">
        <v>248</v>
      </c>
      <c r="BM811" t="s">
        <v>14657</v>
      </c>
      <c r="BN811" t="s">
        <v>74</v>
      </c>
      <c r="BO811" t="s">
        <v>152</v>
      </c>
      <c r="BP811" t="s">
        <v>74</v>
      </c>
      <c r="BQ811" t="s">
        <v>74</v>
      </c>
      <c r="BR811" t="s">
        <v>103</v>
      </c>
      <c r="BS811" t="s">
        <v>14674</v>
      </c>
      <c r="BT811" t="str">
        <f>HYPERLINK("https%3A%2F%2Fwww.webofscience.com%2Fwos%2Fwoscc%2Ffull-record%2FWOS:000288605900005","View Full Record in Web of Science")</f>
        <v>View Full Record in Web of Science</v>
      </c>
    </row>
    <row r="812" spans="1:72" x14ac:dyDescent="0.15">
      <c r="A812" t="s">
        <v>72</v>
      </c>
      <c r="B812" t="s">
        <v>14675</v>
      </c>
      <c r="C812" t="s">
        <v>74</v>
      </c>
      <c r="D812" t="s">
        <v>74</v>
      </c>
      <c r="E812" t="s">
        <v>74</v>
      </c>
      <c r="F812" t="s">
        <v>14676</v>
      </c>
      <c r="G812" t="s">
        <v>74</v>
      </c>
      <c r="H812" t="s">
        <v>74</v>
      </c>
      <c r="I812" t="s">
        <v>14677</v>
      </c>
      <c r="J812" t="s">
        <v>108</v>
      </c>
      <c r="K812" t="s">
        <v>74</v>
      </c>
      <c r="L812" t="s">
        <v>74</v>
      </c>
      <c r="M812" t="s">
        <v>78</v>
      </c>
      <c r="N812" t="s">
        <v>79</v>
      </c>
      <c r="O812" t="s">
        <v>74</v>
      </c>
      <c r="P812" t="s">
        <v>74</v>
      </c>
      <c r="Q812" t="s">
        <v>74</v>
      </c>
      <c r="R812" t="s">
        <v>74</v>
      </c>
      <c r="S812" t="s">
        <v>74</v>
      </c>
      <c r="T812" t="s">
        <v>74</v>
      </c>
      <c r="U812" t="s">
        <v>14678</v>
      </c>
      <c r="V812" t="s">
        <v>14679</v>
      </c>
      <c r="W812" t="s">
        <v>14680</v>
      </c>
      <c r="X812" t="s">
        <v>14681</v>
      </c>
      <c r="Y812" t="s">
        <v>14682</v>
      </c>
      <c r="Z812" t="s">
        <v>14683</v>
      </c>
      <c r="AA812" t="s">
        <v>14684</v>
      </c>
      <c r="AB812" t="s">
        <v>14685</v>
      </c>
      <c r="AC812" t="s">
        <v>14686</v>
      </c>
      <c r="AD812" t="s">
        <v>14687</v>
      </c>
      <c r="AE812" t="s">
        <v>74</v>
      </c>
      <c r="AF812" t="s">
        <v>74</v>
      </c>
      <c r="AG812">
        <v>24</v>
      </c>
      <c r="AH812">
        <v>73</v>
      </c>
      <c r="AI812">
        <v>76</v>
      </c>
      <c r="AJ812">
        <v>0</v>
      </c>
      <c r="AK812">
        <v>18</v>
      </c>
      <c r="AL812" t="s">
        <v>120</v>
      </c>
      <c r="AM812" t="s">
        <v>121</v>
      </c>
      <c r="AN812" t="s">
        <v>122</v>
      </c>
      <c r="AO812" t="s">
        <v>123</v>
      </c>
      <c r="AP812" t="s">
        <v>74</v>
      </c>
      <c r="AQ812" t="s">
        <v>74</v>
      </c>
      <c r="AR812" t="s">
        <v>125</v>
      </c>
      <c r="AS812" t="s">
        <v>126</v>
      </c>
      <c r="AT812" t="s">
        <v>14688</v>
      </c>
      <c r="AU812">
        <v>2011</v>
      </c>
      <c r="AV812">
        <v>38</v>
      </c>
      <c r="AW812" t="s">
        <v>74</v>
      </c>
      <c r="AX812" t="s">
        <v>74</v>
      </c>
      <c r="AY812" t="s">
        <v>74</v>
      </c>
      <c r="AZ812" t="s">
        <v>74</v>
      </c>
      <c r="BA812" t="s">
        <v>74</v>
      </c>
      <c r="BB812" t="s">
        <v>74</v>
      </c>
      <c r="BC812" t="s">
        <v>74</v>
      </c>
      <c r="BD812" t="s">
        <v>14689</v>
      </c>
      <c r="BE812" t="s">
        <v>14690</v>
      </c>
      <c r="BF812" t="str">
        <f>HYPERLINK("http://dx.doi.org/10.1029/2010GL046462","http://dx.doi.org/10.1029/2010GL046462")</f>
        <v>http://dx.doi.org/10.1029/2010GL046462</v>
      </c>
      <c r="BG812" t="s">
        <v>74</v>
      </c>
      <c r="BH812" t="s">
        <v>74</v>
      </c>
      <c r="BI812">
        <v>6</v>
      </c>
      <c r="BJ812" t="s">
        <v>130</v>
      </c>
      <c r="BK812" t="s">
        <v>100</v>
      </c>
      <c r="BL812" t="s">
        <v>131</v>
      </c>
      <c r="BM812" t="s">
        <v>14691</v>
      </c>
      <c r="BN812" t="s">
        <v>74</v>
      </c>
      <c r="BO812" t="s">
        <v>273</v>
      </c>
      <c r="BP812" t="s">
        <v>74</v>
      </c>
      <c r="BQ812" t="s">
        <v>74</v>
      </c>
      <c r="BR812" t="s">
        <v>103</v>
      </c>
      <c r="BS812" t="s">
        <v>14692</v>
      </c>
      <c r="BT812" t="str">
        <f>HYPERLINK("https%3A%2F%2Fwww.webofscience.com%2Fwos%2Fwoscc%2Ffull-record%2FWOS:000288603900001","View Full Record in Web of Science")</f>
        <v>View Full Record in Web of Science</v>
      </c>
    </row>
    <row r="813" spans="1:72" x14ac:dyDescent="0.15">
      <c r="A813" t="s">
        <v>72</v>
      </c>
      <c r="B813" t="s">
        <v>14693</v>
      </c>
      <c r="C813" t="s">
        <v>74</v>
      </c>
      <c r="D813" t="s">
        <v>74</v>
      </c>
      <c r="E813" t="s">
        <v>74</v>
      </c>
      <c r="F813" t="s">
        <v>14694</v>
      </c>
      <c r="G813" t="s">
        <v>74</v>
      </c>
      <c r="H813" t="s">
        <v>74</v>
      </c>
      <c r="I813" t="s">
        <v>14695</v>
      </c>
      <c r="J813" t="s">
        <v>14696</v>
      </c>
      <c r="K813" t="s">
        <v>74</v>
      </c>
      <c r="L813" t="s">
        <v>74</v>
      </c>
      <c r="M813" t="s">
        <v>78</v>
      </c>
      <c r="N813" t="s">
        <v>79</v>
      </c>
      <c r="O813" t="s">
        <v>74</v>
      </c>
      <c r="P813" t="s">
        <v>74</v>
      </c>
      <c r="Q813" t="s">
        <v>74</v>
      </c>
      <c r="R813" t="s">
        <v>74</v>
      </c>
      <c r="S813" t="s">
        <v>74</v>
      </c>
      <c r="T813" t="s">
        <v>14697</v>
      </c>
      <c r="U813" t="s">
        <v>14698</v>
      </c>
      <c r="V813" t="s">
        <v>14699</v>
      </c>
      <c r="W813" t="s">
        <v>14700</v>
      </c>
      <c r="X813" t="s">
        <v>14701</v>
      </c>
      <c r="Y813" t="s">
        <v>14702</v>
      </c>
      <c r="Z813" t="s">
        <v>14703</v>
      </c>
      <c r="AA813" t="s">
        <v>14704</v>
      </c>
      <c r="AB813" t="s">
        <v>14705</v>
      </c>
      <c r="AC813" t="s">
        <v>14706</v>
      </c>
      <c r="AD813" t="s">
        <v>14707</v>
      </c>
      <c r="AE813" t="s">
        <v>14708</v>
      </c>
      <c r="AF813" t="s">
        <v>74</v>
      </c>
      <c r="AG813">
        <v>42</v>
      </c>
      <c r="AH813">
        <v>8</v>
      </c>
      <c r="AI813">
        <v>8</v>
      </c>
      <c r="AJ813">
        <v>0</v>
      </c>
      <c r="AK813">
        <v>14</v>
      </c>
      <c r="AL813" t="s">
        <v>926</v>
      </c>
      <c r="AM813" t="s">
        <v>508</v>
      </c>
      <c r="AN813" t="s">
        <v>927</v>
      </c>
      <c r="AO813" t="s">
        <v>14709</v>
      </c>
      <c r="AP813" t="s">
        <v>14710</v>
      </c>
      <c r="AQ813" t="s">
        <v>74</v>
      </c>
      <c r="AR813" t="s">
        <v>14711</v>
      </c>
      <c r="AS813" t="s">
        <v>14712</v>
      </c>
      <c r="AT813" t="s">
        <v>14713</v>
      </c>
      <c r="AU813">
        <v>2011</v>
      </c>
      <c r="AV813">
        <v>19</v>
      </c>
      <c r="AW813">
        <v>6</v>
      </c>
      <c r="AX813" t="s">
        <v>74</v>
      </c>
      <c r="AY813" t="s">
        <v>74</v>
      </c>
      <c r="AZ813" t="s">
        <v>74</v>
      </c>
      <c r="BA813" t="s">
        <v>74</v>
      </c>
      <c r="BB813">
        <v>1847</v>
      </c>
      <c r="BC813">
        <v>1851</v>
      </c>
      <c r="BD813" t="s">
        <v>74</v>
      </c>
      <c r="BE813" t="s">
        <v>14714</v>
      </c>
      <c r="BF813" t="str">
        <f>HYPERLINK("http://dx.doi.org/10.1016/j.bmc.2011.02.015","http://dx.doi.org/10.1016/j.bmc.2011.02.015")</f>
        <v>http://dx.doi.org/10.1016/j.bmc.2011.02.015</v>
      </c>
      <c r="BG813" t="s">
        <v>74</v>
      </c>
      <c r="BH813" t="s">
        <v>74</v>
      </c>
      <c r="BI813">
        <v>5</v>
      </c>
      <c r="BJ813" t="s">
        <v>14715</v>
      </c>
      <c r="BK813" t="s">
        <v>100</v>
      </c>
      <c r="BL813" t="s">
        <v>14716</v>
      </c>
      <c r="BM813" t="s">
        <v>14717</v>
      </c>
      <c r="BN813">
        <v>21377369</v>
      </c>
      <c r="BO813" t="s">
        <v>74</v>
      </c>
      <c r="BP813" t="s">
        <v>74</v>
      </c>
      <c r="BQ813" t="s">
        <v>74</v>
      </c>
      <c r="BR813" t="s">
        <v>103</v>
      </c>
      <c r="BS813" t="s">
        <v>14718</v>
      </c>
      <c r="BT813" t="str">
        <f>HYPERLINK("https%3A%2F%2Fwww.webofscience.com%2Fwos%2Fwoscc%2Ffull-record%2FWOS:000288196900001","View Full Record in Web of Science")</f>
        <v>View Full Record in Web of Science</v>
      </c>
    </row>
    <row r="814" spans="1:72" x14ac:dyDescent="0.15">
      <c r="A814" t="s">
        <v>72</v>
      </c>
      <c r="B814" t="s">
        <v>14719</v>
      </c>
      <c r="C814" t="s">
        <v>74</v>
      </c>
      <c r="D814" t="s">
        <v>74</v>
      </c>
      <c r="E814" t="s">
        <v>74</v>
      </c>
      <c r="F814" t="s">
        <v>14720</v>
      </c>
      <c r="G814" t="s">
        <v>74</v>
      </c>
      <c r="H814" t="s">
        <v>74</v>
      </c>
      <c r="I814" t="s">
        <v>14721</v>
      </c>
      <c r="J814" t="s">
        <v>4460</v>
      </c>
      <c r="K814" t="s">
        <v>74</v>
      </c>
      <c r="L814" t="s">
        <v>74</v>
      </c>
      <c r="M814" t="s">
        <v>78</v>
      </c>
      <c r="N814" t="s">
        <v>79</v>
      </c>
      <c r="O814" t="s">
        <v>74</v>
      </c>
      <c r="P814" t="s">
        <v>74</v>
      </c>
      <c r="Q814" t="s">
        <v>74</v>
      </c>
      <c r="R814" t="s">
        <v>74</v>
      </c>
      <c r="S814" t="s">
        <v>74</v>
      </c>
      <c r="T814" t="s">
        <v>14722</v>
      </c>
      <c r="U814" t="s">
        <v>14723</v>
      </c>
      <c r="V814" t="s">
        <v>14724</v>
      </c>
      <c r="W814" t="s">
        <v>14725</v>
      </c>
      <c r="X814" t="s">
        <v>14726</v>
      </c>
      <c r="Y814" t="s">
        <v>14727</v>
      </c>
      <c r="Z814" t="s">
        <v>14728</v>
      </c>
      <c r="AA814" t="s">
        <v>14729</v>
      </c>
      <c r="AB814" t="s">
        <v>14730</v>
      </c>
      <c r="AC814" t="s">
        <v>14731</v>
      </c>
      <c r="AD814" t="s">
        <v>14732</v>
      </c>
      <c r="AE814" t="s">
        <v>14733</v>
      </c>
      <c r="AF814" t="s">
        <v>74</v>
      </c>
      <c r="AG814">
        <v>45</v>
      </c>
      <c r="AH814">
        <v>22</v>
      </c>
      <c r="AI814">
        <v>22</v>
      </c>
      <c r="AJ814">
        <v>0</v>
      </c>
      <c r="AK814">
        <v>15</v>
      </c>
      <c r="AL814" t="s">
        <v>926</v>
      </c>
      <c r="AM814" t="s">
        <v>508</v>
      </c>
      <c r="AN814" t="s">
        <v>927</v>
      </c>
      <c r="AO814" t="s">
        <v>4472</v>
      </c>
      <c r="AP814" t="s">
        <v>74</v>
      </c>
      <c r="AQ814" t="s">
        <v>74</v>
      </c>
      <c r="AR814" t="s">
        <v>4474</v>
      </c>
      <c r="AS814" t="s">
        <v>4475</v>
      </c>
      <c r="AT814" t="s">
        <v>14713</v>
      </c>
      <c r="AU814">
        <v>2011</v>
      </c>
      <c r="AV814">
        <v>58</v>
      </c>
      <c r="AW814">
        <v>6</v>
      </c>
      <c r="AX814" t="s">
        <v>74</v>
      </c>
      <c r="AY814" t="s">
        <v>74</v>
      </c>
      <c r="AZ814" t="s">
        <v>74</v>
      </c>
      <c r="BA814" t="s">
        <v>74</v>
      </c>
      <c r="BB814">
        <v>786</v>
      </c>
      <c r="BC814">
        <v>799</v>
      </c>
      <c r="BD814" t="s">
        <v>74</v>
      </c>
      <c r="BE814" t="s">
        <v>14734</v>
      </c>
      <c r="BF814" t="str">
        <f>HYPERLINK("http://dx.doi.org/10.1016/j.dsr2.2010.10.018","http://dx.doi.org/10.1016/j.dsr2.2010.10.018")</f>
        <v>http://dx.doi.org/10.1016/j.dsr2.2010.10.018</v>
      </c>
      <c r="BG814" t="s">
        <v>74</v>
      </c>
      <c r="BH814" t="s">
        <v>74</v>
      </c>
      <c r="BI814">
        <v>14</v>
      </c>
      <c r="BJ814" t="s">
        <v>271</v>
      </c>
      <c r="BK814" t="s">
        <v>100</v>
      </c>
      <c r="BL814" t="s">
        <v>271</v>
      </c>
      <c r="BM814" t="s">
        <v>14735</v>
      </c>
      <c r="BN814" t="s">
        <v>74</v>
      </c>
      <c r="BO814" t="s">
        <v>74</v>
      </c>
      <c r="BP814" t="s">
        <v>74</v>
      </c>
      <c r="BQ814" t="s">
        <v>74</v>
      </c>
      <c r="BR814" t="s">
        <v>103</v>
      </c>
      <c r="BS814" t="s">
        <v>14736</v>
      </c>
      <c r="BT814" t="str">
        <f>HYPERLINK("https%3A%2F%2Fwww.webofscience.com%2Fwos%2Fwoscc%2Ffull-record%2FWOS:000289124900004","View Full Record in Web of Science")</f>
        <v>View Full Record in Web of Science</v>
      </c>
    </row>
    <row r="815" spans="1:72" x14ac:dyDescent="0.15">
      <c r="A815" t="s">
        <v>72</v>
      </c>
      <c r="B815" t="s">
        <v>14737</v>
      </c>
      <c r="C815" t="s">
        <v>74</v>
      </c>
      <c r="D815" t="s">
        <v>74</v>
      </c>
      <c r="E815" t="s">
        <v>74</v>
      </c>
      <c r="F815" t="s">
        <v>14738</v>
      </c>
      <c r="G815" t="s">
        <v>74</v>
      </c>
      <c r="H815" t="s">
        <v>74</v>
      </c>
      <c r="I815" t="s">
        <v>14739</v>
      </c>
      <c r="J815" t="s">
        <v>4460</v>
      </c>
      <c r="K815" t="s">
        <v>74</v>
      </c>
      <c r="L815" t="s">
        <v>74</v>
      </c>
      <c r="M815" t="s">
        <v>78</v>
      </c>
      <c r="N815" t="s">
        <v>79</v>
      </c>
      <c r="O815" t="s">
        <v>74</v>
      </c>
      <c r="P815" t="s">
        <v>74</v>
      </c>
      <c r="Q815" t="s">
        <v>74</v>
      </c>
      <c r="R815" t="s">
        <v>74</v>
      </c>
      <c r="S815" t="s">
        <v>74</v>
      </c>
      <c r="T815" t="s">
        <v>14740</v>
      </c>
      <c r="U815" t="s">
        <v>14741</v>
      </c>
      <c r="V815" t="s">
        <v>14742</v>
      </c>
      <c r="W815" t="s">
        <v>14743</v>
      </c>
      <c r="X815" t="s">
        <v>14744</v>
      </c>
      <c r="Y815" t="s">
        <v>14745</v>
      </c>
      <c r="Z815" t="s">
        <v>14746</v>
      </c>
      <c r="AA815" t="s">
        <v>14747</v>
      </c>
      <c r="AB815" t="s">
        <v>14748</v>
      </c>
      <c r="AC815" t="s">
        <v>14749</v>
      </c>
      <c r="AD815" t="s">
        <v>14750</v>
      </c>
      <c r="AE815" t="s">
        <v>14751</v>
      </c>
      <c r="AF815" t="s">
        <v>74</v>
      </c>
      <c r="AG815">
        <v>46</v>
      </c>
      <c r="AH815">
        <v>6</v>
      </c>
      <c r="AI815">
        <v>6</v>
      </c>
      <c r="AJ815">
        <v>1</v>
      </c>
      <c r="AK815">
        <v>29</v>
      </c>
      <c r="AL815" t="s">
        <v>926</v>
      </c>
      <c r="AM815" t="s">
        <v>508</v>
      </c>
      <c r="AN815" t="s">
        <v>927</v>
      </c>
      <c r="AO815" t="s">
        <v>4472</v>
      </c>
      <c r="AP815" t="s">
        <v>74</v>
      </c>
      <c r="AQ815" t="s">
        <v>74</v>
      </c>
      <c r="AR815" t="s">
        <v>4474</v>
      </c>
      <c r="AS815" t="s">
        <v>4475</v>
      </c>
      <c r="AT815" t="s">
        <v>14713</v>
      </c>
      <c r="AU815">
        <v>2011</v>
      </c>
      <c r="AV815">
        <v>58</v>
      </c>
      <c r="AW815">
        <v>6</v>
      </c>
      <c r="AX815" t="s">
        <v>74</v>
      </c>
      <c r="AY815" t="s">
        <v>74</v>
      </c>
      <c r="AZ815" t="s">
        <v>74</v>
      </c>
      <c r="BA815" t="s">
        <v>74</v>
      </c>
      <c r="BB815">
        <v>800</v>
      </c>
      <c r="BC815">
        <v>807</v>
      </c>
      <c r="BD815" t="s">
        <v>74</v>
      </c>
      <c r="BE815" t="s">
        <v>14752</v>
      </c>
      <c r="BF815" t="str">
        <f>HYPERLINK("http://dx.doi.org/10.1016/j.dsr2.2010.10.020","http://dx.doi.org/10.1016/j.dsr2.2010.10.020")</f>
        <v>http://dx.doi.org/10.1016/j.dsr2.2010.10.020</v>
      </c>
      <c r="BG815" t="s">
        <v>74</v>
      </c>
      <c r="BH815" t="s">
        <v>74</v>
      </c>
      <c r="BI815">
        <v>8</v>
      </c>
      <c r="BJ815" t="s">
        <v>271</v>
      </c>
      <c r="BK815" t="s">
        <v>100</v>
      </c>
      <c r="BL815" t="s">
        <v>271</v>
      </c>
      <c r="BM815" t="s">
        <v>14735</v>
      </c>
      <c r="BN815" t="s">
        <v>74</v>
      </c>
      <c r="BO815" t="s">
        <v>74</v>
      </c>
      <c r="BP815" t="s">
        <v>74</v>
      </c>
      <c r="BQ815" t="s">
        <v>74</v>
      </c>
      <c r="BR815" t="s">
        <v>103</v>
      </c>
      <c r="BS815" t="s">
        <v>14753</v>
      </c>
      <c r="BT815" t="str">
        <f>HYPERLINK("https%3A%2F%2Fwww.webofscience.com%2Fwos%2Fwoscc%2Ffull-record%2FWOS:000289124900005","View Full Record in Web of Science")</f>
        <v>View Full Record in Web of Science</v>
      </c>
    </row>
    <row r="816" spans="1:72" x14ac:dyDescent="0.15">
      <c r="A816" t="s">
        <v>72</v>
      </c>
      <c r="B816" t="s">
        <v>14754</v>
      </c>
      <c r="C816" t="s">
        <v>74</v>
      </c>
      <c r="D816" t="s">
        <v>74</v>
      </c>
      <c r="E816" t="s">
        <v>74</v>
      </c>
      <c r="F816" t="s">
        <v>14755</v>
      </c>
      <c r="G816" t="s">
        <v>74</v>
      </c>
      <c r="H816" t="s">
        <v>74</v>
      </c>
      <c r="I816" t="s">
        <v>14756</v>
      </c>
      <c r="J816" t="s">
        <v>4460</v>
      </c>
      <c r="K816" t="s">
        <v>74</v>
      </c>
      <c r="L816" t="s">
        <v>74</v>
      </c>
      <c r="M816" t="s">
        <v>78</v>
      </c>
      <c r="N816" t="s">
        <v>79</v>
      </c>
      <c r="O816" t="s">
        <v>74</v>
      </c>
      <c r="P816" t="s">
        <v>74</v>
      </c>
      <c r="Q816" t="s">
        <v>74</v>
      </c>
      <c r="R816" t="s">
        <v>74</v>
      </c>
      <c r="S816" t="s">
        <v>74</v>
      </c>
      <c r="T816" t="s">
        <v>14757</v>
      </c>
      <c r="U816" t="s">
        <v>14758</v>
      </c>
      <c r="V816" t="s">
        <v>14759</v>
      </c>
      <c r="W816" t="s">
        <v>14760</v>
      </c>
      <c r="X816" t="s">
        <v>14761</v>
      </c>
      <c r="Y816" t="s">
        <v>14762</v>
      </c>
      <c r="Z816" t="s">
        <v>14763</v>
      </c>
      <c r="AA816" t="s">
        <v>74</v>
      </c>
      <c r="AB816" t="s">
        <v>14764</v>
      </c>
      <c r="AC816" t="s">
        <v>14765</v>
      </c>
      <c r="AD816" t="s">
        <v>14766</v>
      </c>
      <c r="AE816" t="s">
        <v>14767</v>
      </c>
      <c r="AF816" t="s">
        <v>74</v>
      </c>
      <c r="AG816">
        <v>80</v>
      </c>
      <c r="AH816">
        <v>21</v>
      </c>
      <c r="AI816">
        <v>21</v>
      </c>
      <c r="AJ816">
        <v>1</v>
      </c>
      <c r="AK816">
        <v>28</v>
      </c>
      <c r="AL816" t="s">
        <v>926</v>
      </c>
      <c r="AM816" t="s">
        <v>508</v>
      </c>
      <c r="AN816" t="s">
        <v>927</v>
      </c>
      <c r="AO816" t="s">
        <v>4472</v>
      </c>
      <c r="AP816" t="s">
        <v>4473</v>
      </c>
      <c r="AQ816" t="s">
        <v>74</v>
      </c>
      <c r="AR816" t="s">
        <v>4474</v>
      </c>
      <c r="AS816" t="s">
        <v>4475</v>
      </c>
      <c r="AT816" t="s">
        <v>14713</v>
      </c>
      <c r="AU816">
        <v>2011</v>
      </c>
      <c r="AV816">
        <v>58</v>
      </c>
      <c r="AW816">
        <v>6</v>
      </c>
      <c r="AX816" t="s">
        <v>74</v>
      </c>
      <c r="AY816" t="s">
        <v>74</v>
      </c>
      <c r="AZ816" t="s">
        <v>74</v>
      </c>
      <c r="BA816" t="s">
        <v>74</v>
      </c>
      <c r="BB816">
        <v>808</v>
      </c>
      <c r="BC816">
        <v>823</v>
      </c>
      <c r="BD816" t="s">
        <v>74</v>
      </c>
      <c r="BE816" t="s">
        <v>14768</v>
      </c>
      <c r="BF816" t="str">
        <f>HYPERLINK("http://dx.doi.org/10.1016/j.dsr2.2010.10.021","http://dx.doi.org/10.1016/j.dsr2.2010.10.021")</f>
        <v>http://dx.doi.org/10.1016/j.dsr2.2010.10.021</v>
      </c>
      <c r="BG816" t="s">
        <v>74</v>
      </c>
      <c r="BH816" t="s">
        <v>74</v>
      </c>
      <c r="BI816">
        <v>16</v>
      </c>
      <c r="BJ816" t="s">
        <v>271</v>
      </c>
      <c r="BK816" t="s">
        <v>100</v>
      </c>
      <c r="BL816" t="s">
        <v>271</v>
      </c>
      <c r="BM816" t="s">
        <v>14735</v>
      </c>
      <c r="BN816" t="s">
        <v>74</v>
      </c>
      <c r="BO816" t="s">
        <v>74</v>
      </c>
      <c r="BP816" t="s">
        <v>74</v>
      </c>
      <c r="BQ816" t="s">
        <v>74</v>
      </c>
      <c r="BR816" t="s">
        <v>103</v>
      </c>
      <c r="BS816" t="s">
        <v>14769</v>
      </c>
      <c r="BT816" t="str">
        <f>HYPERLINK("https%3A%2F%2Fwww.webofscience.com%2Fwos%2Fwoscc%2Ffull-record%2FWOS:000289124900006","View Full Record in Web of Science")</f>
        <v>View Full Record in Web of Science</v>
      </c>
    </row>
    <row r="817" spans="1:72" x14ac:dyDescent="0.15">
      <c r="A817" t="s">
        <v>72</v>
      </c>
      <c r="B817" t="s">
        <v>14770</v>
      </c>
      <c r="C817" t="s">
        <v>74</v>
      </c>
      <c r="D817" t="s">
        <v>74</v>
      </c>
      <c r="E817" t="s">
        <v>74</v>
      </c>
      <c r="F817" t="s">
        <v>14771</v>
      </c>
      <c r="G817" t="s">
        <v>74</v>
      </c>
      <c r="H817" t="s">
        <v>74</v>
      </c>
      <c r="I817" t="s">
        <v>14772</v>
      </c>
      <c r="J817" t="s">
        <v>4460</v>
      </c>
      <c r="K817" t="s">
        <v>74</v>
      </c>
      <c r="L817" t="s">
        <v>74</v>
      </c>
      <c r="M817" t="s">
        <v>78</v>
      </c>
      <c r="N817" t="s">
        <v>79</v>
      </c>
      <c r="O817" t="s">
        <v>74</v>
      </c>
      <c r="P817" t="s">
        <v>74</v>
      </c>
      <c r="Q817" t="s">
        <v>74</v>
      </c>
      <c r="R817" t="s">
        <v>74</v>
      </c>
      <c r="S817" t="s">
        <v>74</v>
      </c>
      <c r="T817" t="s">
        <v>14773</v>
      </c>
      <c r="U817" t="s">
        <v>14774</v>
      </c>
      <c r="V817" t="s">
        <v>14775</v>
      </c>
      <c r="W817" t="s">
        <v>14776</v>
      </c>
      <c r="X817" t="s">
        <v>14777</v>
      </c>
      <c r="Y817" t="s">
        <v>14778</v>
      </c>
      <c r="Z817" t="s">
        <v>14779</v>
      </c>
      <c r="AA817" t="s">
        <v>74</v>
      </c>
      <c r="AB817" t="s">
        <v>14780</v>
      </c>
      <c r="AC817" t="s">
        <v>14781</v>
      </c>
      <c r="AD817" t="s">
        <v>7062</v>
      </c>
      <c r="AE817" t="s">
        <v>14782</v>
      </c>
      <c r="AF817" t="s">
        <v>74</v>
      </c>
      <c r="AG817">
        <v>40</v>
      </c>
      <c r="AH817">
        <v>4</v>
      </c>
      <c r="AI817">
        <v>4</v>
      </c>
      <c r="AJ817">
        <v>1</v>
      </c>
      <c r="AK817">
        <v>11</v>
      </c>
      <c r="AL817" t="s">
        <v>926</v>
      </c>
      <c r="AM817" t="s">
        <v>508</v>
      </c>
      <c r="AN817" t="s">
        <v>927</v>
      </c>
      <c r="AO817" t="s">
        <v>4472</v>
      </c>
      <c r="AP817" t="s">
        <v>4473</v>
      </c>
      <c r="AQ817" t="s">
        <v>74</v>
      </c>
      <c r="AR817" t="s">
        <v>4474</v>
      </c>
      <c r="AS817" t="s">
        <v>4475</v>
      </c>
      <c r="AT817" t="s">
        <v>14713</v>
      </c>
      <c r="AU817">
        <v>2011</v>
      </c>
      <c r="AV817">
        <v>58</v>
      </c>
      <c r="AW817">
        <v>6</v>
      </c>
      <c r="AX817" t="s">
        <v>74</v>
      </c>
      <c r="AY817" t="s">
        <v>74</v>
      </c>
      <c r="AZ817" t="s">
        <v>74</v>
      </c>
      <c r="BA817" t="s">
        <v>74</v>
      </c>
      <c r="BB817">
        <v>851</v>
      </c>
      <c r="BC817">
        <v>860</v>
      </c>
      <c r="BD817" t="s">
        <v>74</v>
      </c>
      <c r="BE817" t="s">
        <v>14783</v>
      </c>
      <c r="BF817" t="str">
        <f>HYPERLINK("http://dx.doi.org/10.1016/j.dsr2.2010.10.023","http://dx.doi.org/10.1016/j.dsr2.2010.10.023")</f>
        <v>http://dx.doi.org/10.1016/j.dsr2.2010.10.023</v>
      </c>
      <c r="BG817" t="s">
        <v>74</v>
      </c>
      <c r="BH817" t="s">
        <v>74</v>
      </c>
      <c r="BI817">
        <v>10</v>
      </c>
      <c r="BJ817" t="s">
        <v>271</v>
      </c>
      <c r="BK817" t="s">
        <v>100</v>
      </c>
      <c r="BL817" t="s">
        <v>271</v>
      </c>
      <c r="BM817" t="s">
        <v>14735</v>
      </c>
      <c r="BN817" t="s">
        <v>74</v>
      </c>
      <c r="BO817" t="s">
        <v>74</v>
      </c>
      <c r="BP817" t="s">
        <v>74</v>
      </c>
      <c r="BQ817" t="s">
        <v>74</v>
      </c>
      <c r="BR817" t="s">
        <v>103</v>
      </c>
      <c r="BS817" t="s">
        <v>14784</v>
      </c>
      <c r="BT817" t="str">
        <f>HYPERLINK("https%3A%2F%2Fwww.webofscience.com%2Fwos%2Fwoscc%2Ffull-record%2FWOS:000289124900009","View Full Record in Web of Science")</f>
        <v>View Full Record in Web of Science</v>
      </c>
    </row>
    <row r="818" spans="1:72" x14ac:dyDescent="0.15">
      <c r="A818" t="s">
        <v>72</v>
      </c>
      <c r="B818" t="s">
        <v>14785</v>
      </c>
      <c r="C818" t="s">
        <v>74</v>
      </c>
      <c r="D818" t="s">
        <v>74</v>
      </c>
      <c r="E818" t="s">
        <v>74</v>
      </c>
      <c r="F818" t="s">
        <v>14786</v>
      </c>
      <c r="G818" t="s">
        <v>74</v>
      </c>
      <c r="H818" t="s">
        <v>74</v>
      </c>
      <c r="I818" t="s">
        <v>14787</v>
      </c>
      <c r="J818" t="s">
        <v>494</v>
      </c>
      <c r="K818" t="s">
        <v>74</v>
      </c>
      <c r="L818" t="s">
        <v>74</v>
      </c>
      <c r="M818" t="s">
        <v>78</v>
      </c>
      <c r="N818" t="s">
        <v>79</v>
      </c>
      <c r="O818" t="s">
        <v>74</v>
      </c>
      <c r="P818" t="s">
        <v>74</v>
      </c>
      <c r="Q818" t="s">
        <v>74</v>
      </c>
      <c r="R818" t="s">
        <v>74</v>
      </c>
      <c r="S818" t="s">
        <v>74</v>
      </c>
      <c r="T818" t="s">
        <v>14788</v>
      </c>
      <c r="U818" t="s">
        <v>14789</v>
      </c>
      <c r="V818" t="s">
        <v>14790</v>
      </c>
      <c r="W818" t="s">
        <v>14791</v>
      </c>
      <c r="X818" t="s">
        <v>499</v>
      </c>
      <c r="Y818" t="s">
        <v>14792</v>
      </c>
      <c r="Z818" t="s">
        <v>14793</v>
      </c>
      <c r="AA818" t="s">
        <v>14794</v>
      </c>
      <c r="AB818" t="s">
        <v>14795</v>
      </c>
      <c r="AC818" t="s">
        <v>14796</v>
      </c>
      <c r="AD818" t="s">
        <v>14797</v>
      </c>
      <c r="AE818" t="s">
        <v>14798</v>
      </c>
      <c r="AF818" t="s">
        <v>74</v>
      </c>
      <c r="AG818">
        <v>40</v>
      </c>
      <c r="AH818">
        <v>5</v>
      </c>
      <c r="AI818">
        <v>5</v>
      </c>
      <c r="AJ818">
        <v>0</v>
      </c>
      <c r="AK818">
        <v>9</v>
      </c>
      <c r="AL818" t="s">
        <v>507</v>
      </c>
      <c r="AM818" t="s">
        <v>508</v>
      </c>
      <c r="AN818" t="s">
        <v>509</v>
      </c>
      <c r="AO818" t="s">
        <v>510</v>
      </c>
      <c r="AP818" t="s">
        <v>74</v>
      </c>
      <c r="AQ818" t="s">
        <v>74</v>
      </c>
      <c r="AR818" t="s">
        <v>511</v>
      </c>
      <c r="AS818" t="s">
        <v>512</v>
      </c>
      <c r="AT818" t="s">
        <v>14713</v>
      </c>
      <c r="AU818">
        <v>2011</v>
      </c>
      <c r="AV818">
        <v>47</v>
      </c>
      <c r="AW818">
        <v>6</v>
      </c>
      <c r="AX818" t="s">
        <v>74</v>
      </c>
      <c r="AY818" t="s">
        <v>74</v>
      </c>
      <c r="AZ818" t="s">
        <v>74</v>
      </c>
      <c r="BA818" t="s">
        <v>74</v>
      </c>
      <c r="BB818">
        <v>966</v>
      </c>
      <c r="BC818">
        <v>977</v>
      </c>
      <c r="BD818" t="s">
        <v>74</v>
      </c>
      <c r="BE818" t="s">
        <v>14799</v>
      </c>
      <c r="BF818" t="str">
        <f>HYPERLINK("http://dx.doi.org/10.1016/j.asr.2010.10.027","http://dx.doi.org/10.1016/j.asr.2010.10.027")</f>
        <v>http://dx.doi.org/10.1016/j.asr.2010.10.027</v>
      </c>
      <c r="BG818" t="s">
        <v>74</v>
      </c>
      <c r="BH818" t="s">
        <v>74</v>
      </c>
      <c r="BI818">
        <v>12</v>
      </c>
      <c r="BJ818" t="s">
        <v>514</v>
      </c>
      <c r="BK818" t="s">
        <v>100</v>
      </c>
      <c r="BL818" t="s">
        <v>515</v>
      </c>
      <c r="BM818" t="s">
        <v>14800</v>
      </c>
      <c r="BN818" t="s">
        <v>74</v>
      </c>
      <c r="BO818" t="s">
        <v>74</v>
      </c>
      <c r="BP818" t="s">
        <v>74</v>
      </c>
      <c r="BQ818" t="s">
        <v>74</v>
      </c>
      <c r="BR818" t="s">
        <v>103</v>
      </c>
      <c r="BS818" t="s">
        <v>14801</v>
      </c>
      <c r="BT818" t="str">
        <f>HYPERLINK("https%3A%2F%2Fwww.webofscience.com%2Fwos%2Fwoscc%2Ffull-record%2FWOS:000288735800006","View Full Record in Web of Science")</f>
        <v>View Full Record in Web of Science</v>
      </c>
    </row>
    <row r="819" spans="1:72" x14ac:dyDescent="0.15">
      <c r="A819" t="s">
        <v>72</v>
      </c>
      <c r="B819" t="s">
        <v>14802</v>
      </c>
      <c r="C819" t="s">
        <v>74</v>
      </c>
      <c r="D819" t="s">
        <v>74</v>
      </c>
      <c r="E819" t="s">
        <v>74</v>
      </c>
      <c r="F819" t="s">
        <v>14803</v>
      </c>
      <c r="G819" t="s">
        <v>74</v>
      </c>
      <c r="H819" t="s">
        <v>74</v>
      </c>
      <c r="I819" t="s">
        <v>14804</v>
      </c>
      <c r="J819" t="s">
        <v>296</v>
      </c>
      <c r="K819" t="s">
        <v>74</v>
      </c>
      <c r="L819" t="s">
        <v>74</v>
      </c>
      <c r="M819" t="s">
        <v>78</v>
      </c>
      <c r="N819" t="s">
        <v>79</v>
      </c>
      <c r="O819" t="s">
        <v>74</v>
      </c>
      <c r="P819" t="s">
        <v>74</v>
      </c>
      <c r="Q819" t="s">
        <v>74</v>
      </c>
      <c r="R819" t="s">
        <v>74</v>
      </c>
      <c r="S819" t="s">
        <v>74</v>
      </c>
      <c r="T819" t="s">
        <v>14805</v>
      </c>
      <c r="U819" t="s">
        <v>14806</v>
      </c>
      <c r="V819" t="s">
        <v>14807</v>
      </c>
      <c r="W819" t="s">
        <v>14808</v>
      </c>
      <c r="X819" t="s">
        <v>14809</v>
      </c>
      <c r="Y819" t="s">
        <v>14810</v>
      </c>
      <c r="Z819" t="s">
        <v>9117</v>
      </c>
      <c r="AA819" t="s">
        <v>74</v>
      </c>
      <c r="AB819" t="s">
        <v>9118</v>
      </c>
      <c r="AC819" t="s">
        <v>14811</v>
      </c>
      <c r="AD819" t="s">
        <v>14812</v>
      </c>
      <c r="AE819" t="s">
        <v>14813</v>
      </c>
      <c r="AF819" t="s">
        <v>74</v>
      </c>
      <c r="AG819">
        <v>69</v>
      </c>
      <c r="AH819">
        <v>13</v>
      </c>
      <c r="AI819">
        <v>14</v>
      </c>
      <c r="AJ819">
        <v>1</v>
      </c>
      <c r="AK819">
        <v>38</v>
      </c>
      <c r="AL819" t="s">
        <v>308</v>
      </c>
      <c r="AM819" t="s">
        <v>309</v>
      </c>
      <c r="AN819" t="s">
        <v>310</v>
      </c>
      <c r="AO819" t="s">
        <v>311</v>
      </c>
      <c r="AP819" t="s">
        <v>312</v>
      </c>
      <c r="AQ819" t="s">
        <v>74</v>
      </c>
      <c r="AR819" t="s">
        <v>296</v>
      </c>
      <c r="AS819" t="s">
        <v>313</v>
      </c>
      <c r="AT819" t="s">
        <v>14713</v>
      </c>
      <c r="AU819">
        <v>2011</v>
      </c>
      <c r="AV819">
        <v>313</v>
      </c>
      <c r="AW819" t="s">
        <v>3418</v>
      </c>
      <c r="AX819" t="s">
        <v>74</v>
      </c>
      <c r="AY819" t="s">
        <v>74</v>
      </c>
      <c r="AZ819" t="s">
        <v>74</v>
      </c>
      <c r="BA819" t="s">
        <v>74</v>
      </c>
      <c r="BB819">
        <v>115</v>
      </c>
      <c r="BC819">
        <v>122</v>
      </c>
      <c r="BD819" t="s">
        <v>74</v>
      </c>
      <c r="BE819" t="s">
        <v>14814</v>
      </c>
      <c r="BF819" t="str">
        <f>HYPERLINK("http://dx.doi.org/10.1016/j.aquaculture.2010.12.020","http://dx.doi.org/10.1016/j.aquaculture.2010.12.020")</f>
        <v>http://dx.doi.org/10.1016/j.aquaculture.2010.12.020</v>
      </c>
      <c r="BG819" t="s">
        <v>74</v>
      </c>
      <c r="BH819" t="s">
        <v>74</v>
      </c>
      <c r="BI819">
        <v>8</v>
      </c>
      <c r="BJ819" t="s">
        <v>317</v>
      </c>
      <c r="BK819" t="s">
        <v>100</v>
      </c>
      <c r="BL819" t="s">
        <v>317</v>
      </c>
      <c r="BM819" t="s">
        <v>14815</v>
      </c>
      <c r="BN819" t="s">
        <v>74</v>
      </c>
      <c r="BO819" t="s">
        <v>14816</v>
      </c>
      <c r="BP819" t="s">
        <v>74</v>
      </c>
      <c r="BQ819" t="s">
        <v>74</v>
      </c>
      <c r="BR819" t="s">
        <v>103</v>
      </c>
      <c r="BS819" t="s">
        <v>14817</v>
      </c>
      <c r="BT819" t="str">
        <f>HYPERLINK("https%3A%2F%2Fwww.webofscience.com%2Fwos%2Fwoscc%2Ffull-record%2FWOS:000289018500016","View Full Record in Web of Science")</f>
        <v>View Full Record in Web of Science</v>
      </c>
    </row>
    <row r="820" spans="1:72" x14ac:dyDescent="0.15">
      <c r="A820" t="s">
        <v>72</v>
      </c>
      <c r="B820" t="s">
        <v>14818</v>
      </c>
      <c r="C820" t="s">
        <v>74</v>
      </c>
      <c r="D820" t="s">
        <v>74</v>
      </c>
      <c r="E820" t="s">
        <v>74</v>
      </c>
      <c r="F820" t="s">
        <v>14819</v>
      </c>
      <c r="G820" t="s">
        <v>74</v>
      </c>
      <c r="H820" t="s">
        <v>74</v>
      </c>
      <c r="I820" t="s">
        <v>14820</v>
      </c>
      <c r="J820" t="s">
        <v>14821</v>
      </c>
      <c r="K820" t="s">
        <v>74</v>
      </c>
      <c r="L820" t="s">
        <v>74</v>
      </c>
      <c r="M820" t="s">
        <v>78</v>
      </c>
      <c r="N820" t="s">
        <v>79</v>
      </c>
      <c r="O820" t="s">
        <v>74</v>
      </c>
      <c r="P820" t="s">
        <v>74</v>
      </c>
      <c r="Q820" t="s">
        <v>74</v>
      </c>
      <c r="R820" t="s">
        <v>74</v>
      </c>
      <c r="S820" t="s">
        <v>74</v>
      </c>
      <c r="T820" t="s">
        <v>74</v>
      </c>
      <c r="U820" t="s">
        <v>14822</v>
      </c>
      <c r="V820" t="s">
        <v>14823</v>
      </c>
      <c r="W820" t="s">
        <v>14824</v>
      </c>
      <c r="X820" t="s">
        <v>14825</v>
      </c>
      <c r="Y820" t="s">
        <v>14826</v>
      </c>
      <c r="Z820" t="s">
        <v>14827</v>
      </c>
      <c r="AA820" t="s">
        <v>74</v>
      </c>
      <c r="AB820" t="s">
        <v>74</v>
      </c>
      <c r="AC820" t="s">
        <v>14828</v>
      </c>
      <c r="AD820" t="s">
        <v>14829</v>
      </c>
      <c r="AE820" t="s">
        <v>14830</v>
      </c>
      <c r="AF820" t="s">
        <v>74</v>
      </c>
      <c r="AG820">
        <v>59</v>
      </c>
      <c r="AH820">
        <v>33</v>
      </c>
      <c r="AI820">
        <v>33</v>
      </c>
      <c r="AJ820">
        <v>0</v>
      </c>
      <c r="AK820">
        <v>5</v>
      </c>
      <c r="AL820" t="s">
        <v>926</v>
      </c>
      <c r="AM820" t="s">
        <v>508</v>
      </c>
      <c r="AN820" t="s">
        <v>927</v>
      </c>
      <c r="AO820" t="s">
        <v>14831</v>
      </c>
      <c r="AP820" t="s">
        <v>14832</v>
      </c>
      <c r="AQ820" t="s">
        <v>74</v>
      </c>
      <c r="AR820" t="s">
        <v>14833</v>
      </c>
      <c r="AS820" t="s">
        <v>14834</v>
      </c>
      <c r="AT820" t="s">
        <v>14713</v>
      </c>
      <c r="AU820">
        <v>2011</v>
      </c>
      <c r="AV820">
        <v>233</v>
      </c>
      <c r="AW820">
        <v>2</v>
      </c>
      <c r="AX820" t="s">
        <v>74</v>
      </c>
      <c r="AY820" t="s">
        <v>74</v>
      </c>
      <c r="AZ820" t="s">
        <v>74</v>
      </c>
      <c r="BA820" t="s">
        <v>74</v>
      </c>
      <c r="BB820">
        <v>89</v>
      </c>
      <c r="BC820">
        <v>100</v>
      </c>
      <c r="BD820" t="s">
        <v>74</v>
      </c>
      <c r="BE820" t="s">
        <v>14835</v>
      </c>
      <c r="BF820" t="str">
        <f>HYPERLINK("http://dx.doi.org/10.1016/j.quaint.2010.10.011","http://dx.doi.org/10.1016/j.quaint.2010.10.011")</f>
        <v>http://dx.doi.org/10.1016/j.quaint.2010.10.011</v>
      </c>
      <c r="BG820" t="s">
        <v>74</v>
      </c>
      <c r="BH820" t="s">
        <v>74</v>
      </c>
      <c r="BI820">
        <v>12</v>
      </c>
      <c r="BJ820" t="s">
        <v>1496</v>
      </c>
      <c r="BK820" t="s">
        <v>100</v>
      </c>
      <c r="BL820" t="s">
        <v>1497</v>
      </c>
      <c r="BM820" t="s">
        <v>14836</v>
      </c>
      <c r="BN820" t="s">
        <v>74</v>
      </c>
      <c r="BO820" t="s">
        <v>74</v>
      </c>
      <c r="BP820" t="s">
        <v>74</v>
      </c>
      <c r="BQ820" t="s">
        <v>74</v>
      </c>
      <c r="BR820" t="s">
        <v>103</v>
      </c>
      <c r="BS820" t="s">
        <v>14837</v>
      </c>
      <c r="BT820" t="str">
        <f>HYPERLINK("https%3A%2F%2Fwww.webofscience.com%2Fwos%2Fwoscc%2Ffull-record%2FWOS:000288583400002","View Full Record in Web of Science")</f>
        <v>View Full Record in Web of Science</v>
      </c>
    </row>
    <row r="821" spans="1:72" x14ac:dyDescent="0.15">
      <c r="A821" t="s">
        <v>72</v>
      </c>
      <c r="B821" t="s">
        <v>14838</v>
      </c>
      <c r="C821" t="s">
        <v>74</v>
      </c>
      <c r="D821" t="s">
        <v>74</v>
      </c>
      <c r="E821" t="s">
        <v>74</v>
      </c>
      <c r="F821" t="s">
        <v>14839</v>
      </c>
      <c r="G821" t="s">
        <v>74</v>
      </c>
      <c r="H821" t="s">
        <v>74</v>
      </c>
      <c r="I821" t="s">
        <v>14840</v>
      </c>
      <c r="J821" t="s">
        <v>9667</v>
      </c>
      <c r="K821" t="s">
        <v>74</v>
      </c>
      <c r="L821" t="s">
        <v>74</v>
      </c>
      <c r="M821" t="s">
        <v>78</v>
      </c>
      <c r="N821" t="s">
        <v>79</v>
      </c>
      <c r="O821" t="s">
        <v>74</v>
      </c>
      <c r="P821" t="s">
        <v>74</v>
      </c>
      <c r="Q821" t="s">
        <v>74</v>
      </c>
      <c r="R821" t="s">
        <v>74</v>
      </c>
      <c r="S821" t="s">
        <v>74</v>
      </c>
      <c r="T821" t="s">
        <v>14841</v>
      </c>
      <c r="U821" t="s">
        <v>14842</v>
      </c>
      <c r="V821" t="s">
        <v>14843</v>
      </c>
      <c r="W821" t="s">
        <v>74</v>
      </c>
      <c r="X821" t="s">
        <v>74</v>
      </c>
      <c r="Y821" t="s">
        <v>14844</v>
      </c>
      <c r="Z821" t="s">
        <v>14845</v>
      </c>
      <c r="AA821" t="s">
        <v>74</v>
      </c>
      <c r="AB821" t="s">
        <v>74</v>
      </c>
      <c r="AC821" t="s">
        <v>74</v>
      </c>
      <c r="AD821" t="s">
        <v>74</v>
      </c>
      <c r="AE821" t="s">
        <v>74</v>
      </c>
      <c r="AF821" t="s">
        <v>74</v>
      </c>
      <c r="AG821">
        <v>200</v>
      </c>
      <c r="AH821">
        <v>86</v>
      </c>
      <c r="AI821">
        <v>106</v>
      </c>
      <c r="AJ821">
        <v>3</v>
      </c>
      <c r="AK821">
        <v>90</v>
      </c>
      <c r="AL821" t="s">
        <v>308</v>
      </c>
      <c r="AM821" t="s">
        <v>309</v>
      </c>
      <c r="AN821" t="s">
        <v>310</v>
      </c>
      <c r="AO821" t="s">
        <v>9680</v>
      </c>
      <c r="AP821" t="s">
        <v>9681</v>
      </c>
      <c r="AQ821" t="s">
        <v>74</v>
      </c>
      <c r="AR821" t="s">
        <v>9682</v>
      </c>
      <c r="AS821" t="s">
        <v>9683</v>
      </c>
      <c r="AT821" t="s">
        <v>14713</v>
      </c>
      <c r="AU821">
        <v>2011</v>
      </c>
      <c r="AV821">
        <v>235</v>
      </c>
      <c r="AW821" t="s">
        <v>2154</v>
      </c>
      <c r="AX821" t="s">
        <v>74</v>
      </c>
      <c r="AY821" t="s">
        <v>74</v>
      </c>
      <c r="AZ821" t="s">
        <v>864</v>
      </c>
      <c r="BA821" t="s">
        <v>74</v>
      </c>
      <c r="BB821">
        <v>5</v>
      </c>
      <c r="BC821">
        <v>26</v>
      </c>
      <c r="BD821" t="s">
        <v>74</v>
      </c>
      <c r="BE821" t="s">
        <v>14846</v>
      </c>
      <c r="BF821" t="str">
        <f>HYPERLINK("http://dx.doi.org/10.1016/j.sedgeo.2010.04.015","http://dx.doi.org/10.1016/j.sedgeo.2010.04.015")</f>
        <v>http://dx.doi.org/10.1016/j.sedgeo.2010.04.015</v>
      </c>
      <c r="BG821" t="s">
        <v>74</v>
      </c>
      <c r="BH821" t="s">
        <v>74</v>
      </c>
      <c r="BI821">
        <v>22</v>
      </c>
      <c r="BJ821" t="s">
        <v>131</v>
      </c>
      <c r="BK821" t="s">
        <v>100</v>
      </c>
      <c r="BL821" t="s">
        <v>131</v>
      </c>
      <c r="BM821" t="s">
        <v>14847</v>
      </c>
      <c r="BN821" t="s">
        <v>74</v>
      </c>
      <c r="BO821" t="s">
        <v>74</v>
      </c>
      <c r="BP821" t="s">
        <v>74</v>
      </c>
      <c r="BQ821" t="s">
        <v>74</v>
      </c>
      <c r="BR821" t="s">
        <v>103</v>
      </c>
      <c r="BS821" t="s">
        <v>14848</v>
      </c>
      <c r="BT821" t="str">
        <f>HYPERLINK("https%3A%2F%2Fwww.webofscience.com%2Fwos%2Fwoscc%2Ffull-record%2FWOS:000288189300002","View Full Record in Web of Science")</f>
        <v>View Full Record in Web of Science</v>
      </c>
    </row>
    <row r="822" spans="1:72" x14ac:dyDescent="0.15">
      <c r="A822" t="s">
        <v>72</v>
      </c>
      <c r="B822" t="s">
        <v>14849</v>
      </c>
      <c r="C822" t="s">
        <v>74</v>
      </c>
      <c r="D822" t="s">
        <v>74</v>
      </c>
      <c r="E822" t="s">
        <v>74</v>
      </c>
      <c r="F822" t="s">
        <v>14850</v>
      </c>
      <c r="G822" t="s">
        <v>74</v>
      </c>
      <c r="H822" t="s">
        <v>74</v>
      </c>
      <c r="I822" t="s">
        <v>14851</v>
      </c>
      <c r="J822" t="s">
        <v>4460</v>
      </c>
      <c r="K822" t="s">
        <v>74</v>
      </c>
      <c r="L822" t="s">
        <v>74</v>
      </c>
      <c r="M822" t="s">
        <v>78</v>
      </c>
      <c r="N822" t="s">
        <v>79</v>
      </c>
      <c r="O822" t="s">
        <v>74</v>
      </c>
      <c r="P822" t="s">
        <v>74</v>
      </c>
      <c r="Q822" t="s">
        <v>74</v>
      </c>
      <c r="R822" t="s">
        <v>74</v>
      </c>
      <c r="S822" t="s">
        <v>74</v>
      </c>
      <c r="T822" t="s">
        <v>14852</v>
      </c>
      <c r="U822" t="s">
        <v>14853</v>
      </c>
      <c r="V822" t="s">
        <v>14854</v>
      </c>
      <c r="W822" t="s">
        <v>14855</v>
      </c>
      <c r="X822" t="s">
        <v>14856</v>
      </c>
      <c r="Y822" t="s">
        <v>14857</v>
      </c>
      <c r="Z822" t="s">
        <v>14858</v>
      </c>
      <c r="AA822" t="s">
        <v>14859</v>
      </c>
      <c r="AB822" t="s">
        <v>14860</v>
      </c>
      <c r="AC822" t="s">
        <v>14861</v>
      </c>
      <c r="AD822" t="s">
        <v>14862</v>
      </c>
      <c r="AE822" t="s">
        <v>14863</v>
      </c>
      <c r="AF822" t="s">
        <v>74</v>
      </c>
      <c r="AG822">
        <v>65</v>
      </c>
      <c r="AH822">
        <v>26</v>
      </c>
      <c r="AI822">
        <v>27</v>
      </c>
      <c r="AJ822">
        <v>0</v>
      </c>
      <c r="AK822">
        <v>51</v>
      </c>
      <c r="AL822" t="s">
        <v>926</v>
      </c>
      <c r="AM822" t="s">
        <v>508</v>
      </c>
      <c r="AN822" t="s">
        <v>927</v>
      </c>
      <c r="AO822" t="s">
        <v>4472</v>
      </c>
      <c r="AP822" t="s">
        <v>4473</v>
      </c>
      <c r="AQ822" t="s">
        <v>74</v>
      </c>
      <c r="AR822" t="s">
        <v>4474</v>
      </c>
      <c r="AS822" t="s">
        <v>4475</v>
      </c>
      <c r="AT822" t="s">
        <v>14713</v>
      </c>
      <c r="AU822">
        <v>2011</v>
      </c>
      <c r="AV822">
        <v>58</v>
      </c>
      <c r="AW822">
        <v>6</v>
      </c>
      <c r="AX822" t="s">
        <v>74</v>
      </c>
      <c r="AY822" t="s">
        <v>74</v>
      </c>
      <c r="AZ822" t="s">
        <v>74</v>
      </c>
      <c r="BA822" t="s">
        <v>74</v>
      </c>
      <c r="BB822">
        <v>753</v>
      </c>
      <c r="BC822">
        <v>763</v>
      </c>
      <c r="BD822" t="s">
        <v>74</v>
      </c>
      <c r="BE822" t="s">
        <v>14864</v>
      </c>
      <c r="BF822" t="str">
        <f>HYPERLINK("http://dx.doi.org/10.1016/j.dsr2.2010.10.015","http://dx.doi.org/10.1016/j.dsr2.2010.10.015")</f>
        <v>http://dx.doi.org/10.1016/j.dsr2.2010.10.015</v>
      </c>
      <c r="BG822" t="s">
        <v>74</v>
      </c>
      <c r="BH822" t="s">
        <v>74</v>
      </c>
      <c r="BI822">
        <v>11</v>
      </c>
      <c r="BJ822" t="s">
        <v>271</v>
      </c>
      <c r="BK822" t="s">
        <v>100</v>
      </c>
      <c r="BL822" t="s">
        <v>271</v>
      </c>
      <c r="BM822" t="s">
        <v>14735</v>
      </c>
      <c r="BN822" t="s">
        <v>74</v>
      </c>
      <c r="BO822" t="s">
        <v>74</v>
      </c>
      <c r="BP822" t="s">
        <v>74</v>
      </c>
      <c r="BQ822" t="s">
        <v>74</v>
      </c>
      <c r="BR822" t="s">
        <v>103</v>
      </c>
      <c r="BS822" t="s">
        <v>14865</v>
      </c>
      <c r="BT822" t="str">
        <f>HYPERLINK("https%3A%2F%2Fwww.webofscience.com%2Fwos%2Fwoscc%2Ffull-record%2FWOS:000289124900001","View Full Record in Web of Science")</f>
        <v>View Full Record in Web of Science</v>
      </c>
    </row>
    <row r="823" spans="1:72" x14ac:dyDescent="0.15">
      <c r="A823" t="s">
        <v>72</v>
      </c>
      <c r="B823" t="s">
        <v>14866</v>
      </c>
      <c r="C823" t="s">
        <v>74</v>
      </c>
      <c r="D823" t="s">
        <v>74</v>
      </c>
      <c r="E823" t="s">
        <v>74</v>
      </c>
      <c r="F823" t="s">
        <v>14867</v>
      </c>
      <c r="G823" t="s">
        <v>74</v>
      </c>
      <c r="H823" t="s">
        <v>74</v>
      </c>
      <c r="I823" t="s">
        <v>14868</v>
      </c>
      <c r="J823" t="s">
        <v>4460</v>
      </c>
      <c r="K823" t="s">
        <v>74</v>
      </c>
      <c r="L823" t="s">
        <v>74</v>
      </c>
      <c r="M823" t="s">
        <v>78</v>
      </c>
      <c r="N823" t="s">
        <v>79</v>
      </c>
      <c r="O823" t="s">
        <v>74</v>
      </c>
      <c r="P823" t="s">
        <v>74</v>
      </c>
      <c r="Q823" t="s">
        <v>74</v>
      </c>
      <c r="R823" t="s">
        <v>74</v>
      </c>
      <c r="S823" t="s">
        <v>74</v>
      </c>
      <c r="T823" t="s">
        <v>14869</v>
      </c>
      <c r="U823" t="s">
        <v>14870</v>
      </c>
      <c r="V823" t="s">
        <v>14871</v>
      </c>
      <c r="W823" t="s">
        <v>14872</v>
      </c>
      <c r="X823" t="s">
        <v>14873</v>
      </c>
      <c r="Y823" t="s">
        <v>14874</v>
      </c>
      <c r="Z823" t="s">
        <v>14763</v>
      </c>
      <c r="AA823" t="s">
        <v>14875</v>
      </c>
      <c r="AB823" t="s">
        <v>14876</v>
      </c>
      <c r="AC823" t="s">
        <v>14877</v>
      </c>
      <c r="AD823" t="s">
        <v>14732</v>
      </c>
      <c r="AE823" t="s">
        <v>14878</v>
      </c>
      <c r="AF823" t="s">
        <v>74</v>
      </c>
      <c r="AG823">
        <v>83</v>
      </c>
      <c r="AH823">
        <v>16</v>
      </c>
      <c r="AI823">
        <v>16</v>
      </c>
      <c r="AJ823">
        <v>0</v>
      </c>
      <c r="AK823">
        <v>28</v>
      </c>
      <c r="AL823" t="s">
        <v>926</v>
      </c>
      <c r="AM823" t="s">
        <v>508</v>
      </c>
      <c r="AN823" t="s">
        <v>927</v>
      </c>
      <c r="AO823" t="s">
        <v>4472</v>
      </c>
      <c r="AP823" t="s">
        <v>74</v>
      </c>
      <c r="AQ823" t="s">
        <v>74</v>
      </c>
      <c r="AR823" t="s">
        <v>4474</v>
      </c>
      <c r="AS823" t="s">
        <v>4475</v>
      </c>
      <c r="AT823" t="s">
        <v>14713</v>
      </c>
      <c r="AU823">
        <v>2011</v>
      </c>
      <c r="AV823">
        <v>58</v>
      </c>
      <c r="AW823">
        <v>6</v>
      </c>
      <c r="AX823" t="s">
        <v>74</v>
      </c>
      <c r="AY823" t="s">
        <v>74</v>
      </c>
      <c r="AZ823" t="s">
        <v>74</v>
      </c>
      <c r="BA823" t="s">
        <v>74</v>
      </c>
      <c r="BB823">
        <v>824</v>
      </c>
      <c r="BC823">
        <v>838</v>
      </c>
      <c r="BD823" t="s">
        <v>74</v>
      </c>
      <c r="BE823" t="s">
        <v>14879</v>
      </c>
      <c r="BF823" t="str">
        <f>HYPERLINK("http://dx.doi.org/10.1016/j.dsr2.2010.10.019","http://dx.doi.org/10.1016/j.dsr2.2010.10.019")</f>
        <v>http://dx.doi.org/10.1016/j.dsr2.2010.10.019</v>
      </c>
      <c r="BG823" t="s">
        <v>74</v>
      </c>
      <c r="BH823" t="s">
        <v>74</v>
      </c>
      <c r="BI823">
        <v>15</v>
      </c>
      <c r="BJ823" t="s">
        <v>271</v>
      </c>
      <c r="BK823" t="s">
        <v>100</v>
      </c>
      <c r="BL823" t="s">
        <v>271</v>
      </c>
      <c r="BM823" t="s">
        <v>14735</v>
      </c>
      <c r="BN823" t="s">
        <v>74</v>
      </c>
      <c r="BO823" t="s">
        <v>74</v>
      </c>
      <c r="BP823" t="s">
        <v>74</v>
      </c>
      <c r="BQ823" t="s">
        <v>74</v>
      </c>
      <c r="BR823" t="s">
        <v>103</v>
      </c>
      <c r="BS823" t="s">
        <v>14880</v>
      </c>
      <c r="BT823" t="str">
        <f>HYPERLINK("https%3A%2F%2Fwww.webofscience.com%2Fwos%2Fwoscc%2Ffull-record%2FWOS:000289124900007","View Full Record in Web of Science")</f>
        <v>View Full Record in Web of Science</v>
      </c>
    </row>
    <row r="824" spans="1:72" x14ac:dyDescent="0.15">
      <c r="A824" t="s">
        <v>72</v>
      </c>
      <c r="B824" t="s">
        <v>14881</v>
      </c>
      <c r="C824" t="s">
        <v>74</v>
      </c>
      <c r="D824" t="s">
        <v>74</v>
      </c>
      <c r="E824" t="s">
        <v>74</v>
      </c>
      <c r="F824" t="s">
        <v>14882</v>
      </c>
      <c r="G824" t="s">
        <v>74</v>
      </c>
      <c r="H824" t="s">
        <v>74</v>
      </c>
      <c r="I824" t="s">
        <v>14883</v>
      </c>
      <c r="J824" t="s">
        <v>4460</v>
      </c>
      <c r="K824" t="s">
        <v>74</v>
      </c>
      <c r="L824" t="s">
        <v>74</v>
      </c>
      <c r="M824" t="s">
        <v>78</v>
      </c>
      <c r="N824" t="s">
        <v>79</v>
      </c>
      <c r="O824" t="s">
        <v>74</v>
      </c>
      <c r="P824" t="s">
        <v>74</v>
      </c>
      <c r="Q824" t="s">
        <v>74</v>
      </c>
      <c r="R824" t="s">
        <v>74</v>
      </c>
      <c r="S824" t="s">
        <v>74</v>
      </c>
      <c r="T824" t="s">
        <v>14884</v>
      </c>
      <c r="U824" t="s">
        <v>14885</v>
      </c>
      <c r="V824" t="s">
        <v>14886</v>
      </c>
      <c r="W824" t="s">
        <v>14887</v>
      </c>
      <c r="X824" t="s">
        <v>14888</v>
      </c>
      <c r="Y824" t="s">
        <v>14889</v>
      </c>
      <c r="Z824" t="s">
        <v>14890</v>
      </c>
      <c r="AA824" t="s">
        <v>14891</v>
      </c>
      <c r="AB824" t="s">
        <v>14892</v>
      </c>
      <c r="AC824" t="s">
        <v>14893</v>
      </c>
      <c r="AD824" t="s">
        <v>14894</v>
      </c>
      <c r="AE824" t="s">
        <v>14895</v>
      </c>
      <c r="AF824" t="s">
        <v>74</v>
      </c>
      <c r="AG824">
        <v>57</v>
      </c>
      <c r="AH824">
        <v>11</v>
      </c>
      <c r="AI824">
        <v>11</v>
      </c>
      <c r="AJ824">
        <v>1</v>
      </c>
      <c r="AK824">
        <v>20</v>
      </c>
      <c r="AL824" t="s">
        <v>926</v>
      </c>
      <c r="AM824" t="s">
        <v>508</v>
      </c>
      <c r="AN824" t="s">
        <v>927</v>
      </c>
      <c r="AO824" t="s">
        <v>4472</v>
      </c>
      <c r="AP824" t="s">
        <v>4473</v>
      </c>
      <c r="AQ824" t="s">
        <v>74</v>
      </c>
      <c r="AR824" t="s">
        <v>4474</v>
      </c>
      <c r="AS824" t="s">
        <v>4475</v>
      </c>
      <c r="AT824" t="s">
        <v>14713</v>
      </c>
      <c r="AU824">
        <v>2011</v>
      </c>
      <c r="AV824">
        <v>58</v>
      </c>
      <c r="AW824">
        <v>6</v>
      </c>
      <c r="AX824" t="s">
        <v>74</v>
      </c>
      <c r="AY824" t="s">
        <v>74</v>
      </c>
      <c r="AZ824" t="s">
        <v>74</v>
      </c>
      <c r="BA824" t="s">
        <v>74</v>
      </c>
      <c r="BB824">
        <v>839</v>
      </c>
      <c r="BC824">
        <v>850</v>
      </c>
      <c r="BD824" t="s">
        <v>74</v>
      </c>
      <c r="BE824" t="s">
        <v>14896</v>
      </c>
      <c r="BF824" t="str">
        <f>HYPERLINK("http://dx.doi.org/10.1016/j.dsr2.2010.10.022","http://dx.doi.org/10.1016/j.dsr2.2010.10.022")</f>
        <v>http://dx.doi.org/10.1016/j.dsr2.2010.10.022</v>
      </c>
      <c r="BG824" t="s">
        <v>74</v>
      </c>
      <c r="BH824" t="s">
        <v>74</v>
      </c>
      <c r="BI824">
        <v>12</v>
      </c>
      <c r="BJ824" t="s">
        <v>271</v>
      </c>
      <c r="BK824" t="s">
        <v>100</v>
      </c>
      <c r="BL824" t="s">
        <v>271</v>
      </c>
      <c r="BM824" t="s">
        <v>14735</v>
      </c>
      <c r="BN824" t="s">
        <v>74</v>
      </c>
      <c r="BO824" t="s">
        <v>74</v>
      </c>
      <c r="BP824" t="s">
        <v>74</v>
      </c>
      <c r="BQ824" t="s">
        <v>74</v>
      </c>
      <c r="BR824" t="s">
        <v>103</v>
      </c>
      <c r="BS824" t="s">
        <v>14897</v>
      </c>
      <c r="BT824" t="str">
        <f>HYPERLINK("https%3A%2F%2Fwww.webofscience.com%2Fwos%2Fwoscc%2Ffull-record%2FWOS:000289124900008","View Full Record in Web of Science")</f>
        <v>View Full Record in Web of Science</v>
      </c>
    </row>
    <row r="825" spans="1:72" x14ac:dyDescent="0.15">
      <c r="A825" t="s">
        <v>72</v>
      </c>
      <c r="B825" t="s">
        <v>14898</v>
      </c>
      <c r="C825" t="s">
        <v>74</v>
      </c>
      <c r="D825" t="s">
        <v>74</v>
      </c>
      <c r="E825" t="s">
        <v>74</v>
      </c>
      <c r="F825" t="s">
        <v>14899</v>
      </c>
      <c r="G825" t="s">
        <v>74</v>
      </c>
      <c r="H825" t="s">
        <v>74</v>
      </c>
      <c r="I825" t="s">
        <v>14900</v>
      </c>
      <c r="J825" t="s">
        <v>3023</v>
      </c>
      <c r="K825" t="s">
        <v>74</v>
      </c>
      <c r="L825" t="s">
        <v>74</v>
      </c>
      <c r="M825" t="s">
        <v>78</v>
      </c>
      <c r="N825" t="s">
        <v>79</v>
      </c>
      <c r="O825" t="s">
        <v>74</v>
      </c>
      <c r="P825" t="s">
        <v>74</v>
      </c>
      <c r="Q825" t="s">
        <v>74</v>
      </c>
      <c r="R825" t="s">
        <v>74</v>
      </c>
      <c r="S825" t="s">
        <v>74</v>
      </c>
      <c r="T825" t="s">
        <v>14901</v>
      </c>
      <c r="U825" t="s">
        <v>14902</v>
      </c>
      <c r="V825" t="s">
        <v>14903</v>
      </c>
      <c r="W825" t="s">
        <v>14904</v>
      </c>
      <c r="X825" t="s">
        <v>14905</v>
      </c>
      <c r="Y825" t="s">
        <v>14906</v>
      </c>
      <c r="Z825" t="s">
        <v>3640</v>
      </c>
      <c r="AA825" t="s">
        <v>14907</v>
      </c>
      <c r="AB825" t="s">
        <v>14908</v>
      </c>
      <c r="AC825" t="s">
        <v>14909</v>
      </c>
      <c r="AD825" t="s">
        <v>14910</v>
      </c>
      <c r="AE825" t="s">
        <v>14911</v>
      </c>
      <c r="AF825" t="s">
        <v>74</v>
      </c>
      <c r="AG825">
        <v>40</v>
      </c>
      <c r="AH825">
        <v>26</v>
      </c>
      <c r="AI825">
        <v>29</v>
      </c>
      <c r="AJ825">
        <v>0</v>
      </c>
      <c r="AK825">
        <v>24</v>
      </c>
      <c r="AL825" t="s">
        <v>308</v>
      </c>
      <c r="AM825" t="s">
        <v>309</v>
      </c>
      <c r="AN825" t="s">
        <v>310</v>
      </c>
      <c r="AO825" t="s">
        <v>3036</v>
      </c>
      <c r="AP825" t="s">
        <v>11788</v>
      </c>
      <c r="AQ825" t="s">
        <v>74</v>
      </c>
      <c r="AR825" t="s">
        <v>3037</v>
      </c>
      <c r="AS825" t="s">
        <v>3038</v>
      </c>
      <c r="AT825" t="s">
        <v>14713</v>
      </c>
      <c r="AU825">
        <v>2011</v>
      </c>
      <c r="AV825">
        <v>399</v>
      </c>
      <c r="AW825">
        <v>1</v>
      </c>
      <c r="AX825" t="s">
        <v>74</v>
      </c>
      <c r="AY825" t="s">
        <v>74</v>
      </c>
      <c r="AZ825" t="s">
        <v>74</v>
      </c>
      <c r="BA825" t="s">
        <v>74</v>
      </c>
      <c r="BB825">
        <v>39</v>
      </c>
      <c r="BC825">
        <v>42</v>
      </c>
      <c r="BD825" t="s">
        <v>74</v>
      </c>
      <c r="BE825" t="s">
        <v>14912</v>
      </c>
      <c r="BF825" t="str">
        <f>HYPERLINK("http://dx.doi.org/10.1016/j.jembe.2011.01.013","http://dx.doi.org/10.1016/j.jembe.2011.01.013")</f>
        <v>http://dx.doi.org/10.1016/j.jembe.2011.01.013</v>
      </c>
      <c r="BG825" t="s">
        <v>74</v>
      </c>
      <c r="BH825" t="s">
        <v>74</v>
      </c>
      <c r="BI825">
        <v>4</v>
      </c>
      <c r="BJ825" t="s">
        <v>3041</v>
      </c>
      <c r="BK825" t="s">
        <v>100</v>
      </c>
      <c r="BL825" t="s">
        <v>3042</v>
      </c>
      <c r="BM825" t="s">
        <v>14913</v>
      </c>
      <c r="BN825" t="s">
        <v>74</v>
      </c>
      <c r="BO825" t="s">
        <v>74</v>
      </c>
      <c r="BP825" t="s">
        <v>74</v>
      </c>
      <c r="BQ825" t="s">
        <v>74</v>
      </c>
      <c r="BR825" t="s">
        <v>103</v>
      </c>
      <c r="BS825" t="s">
        <v>14914</v>
      </c>
      <c r="BT825" t="str">
        <f>HYPERLINK("https%3A%2F%2Fwww.webofscience.com%2Fwos%2Fwoscc%2Ffull-record%2FWOS:000289179700006","View Full Record in Web of Science")</f>
        <v>View Full Record in Web of Science</v>
      </c>
    </row>
    <row r="826" spans="1:72" x14ac:dyDescent="0.15">
      <c r="A826" t="s">
        <v>72</v>
      </c>
      <c r="B826" t="s">
        <v>14915</v>
      </c>
      <c r="C826" t="s">
        <v>74</v>
      </c>
      <c r="D826" t="s">
        <v>74</v>
      </c>
      <c r="E826" t="s">
        <v>74</v>
      </c>
      <c r="F826" t="s">
        <v>14916</v>
      </c>
      <c r="G826" t="s">
        <v>74</v>
      </c>
      <c r="H826" t="s">
        <v>74</v>
      </c>
      <c r="I826" t="s">
        <v>14917</v>
      </c>
      <c r="J826" t="s">
        <v>9667</v>
      </c>
      <c r="K826" t="s">
        <v>74</v>
      </c>
      <c r="L826" t="s">
        <v>74</v>
      </c>
      <c r="M826" t="s">
        <v>78</v>
      </c>
      <c r="N826" t="s">
        <v>79</v>
      </c>
      <c r="O826" t="s">
        <v>74</v>
      </c>
      <c r="P826" t="s">
        <v>74</v>
      </c>
      <c r="Q826" t="s">
        <v>74</v>
      </c>
      <c r="R826" t="s">
        <v>74</v>
      </c>
      <c r="S826" t="s">
        <v>74</v>
      </c>
      <c r="T826" t="s">
        <v>14918</v>
      </c>
      <c r="U826" t="s">
        <v>14919</v>
      </c>
      <c r="V826" t="s">
        <v>14920</v>
      </c>
      <c r="W826" t="s">
        <v>14921</v>
      </c>
      <c r="X826" t="s">
        <v>14922</v>
      </c>
      <c r="Y826" t="s">
        <v>14923</v>
      </c>
      <c r="Z826" t="s">
        <v>14924</v>
      </c>
      <c r="AA826" t="s">
        <v>14925</v>
      </c>
      <c r="AB826" t="s">
        <v>14926</v>
      </c>
      <c r="AC826" t="s">
        <v>14927</v>
      </c>
      <c r="AD826" t="s">
        <v>14928</v>
      </c>
      <c r="AE826" t="s">
        <v>14929</v>
      </c>
      <c r="AF826" t="s">
        <v>74</v>
      </c>
      <c r="AG826">
        <v>72</v>
      </c>
      <c r="AH826">
        <v>79</v>
      </c>
      <c r="AI826">
        <v>96</v>
      </c>
      <c r="AJ826">
        <v>7</v>
      </c>
      <c r="AK826">
        <v>79</v>
      </c>
      <c r="AL826" t="s">
        <v>308</v>
      </c>
      <c r="AM826" t="s">
        <v>309</v>
      </c>
      <c r="AN826" t="s">
        <v>310</v>
      </c>
      <c r="AO826" t="s">
        <v>9680</v>
      </c>
      <c r="AP826" t="s">
        <v>9681</v>
      </c>
      <c r="AQ826" t="s">
        <v>74</v>
      </c>
      <c r="AR826" t="s">
        <v>9682</v>
      </c>
      <c r="AS826" t="s">
        <v>9683</v>
      </c>
      <c r="AT826" t="s">
        <v>14713</v>
      </c>
      <c r="AU826">
        <v>2011</v>
      </c>
      <c r="AV826">
        <v>235</v>
      </c>
      <c r="AW826" t="s">
        <v>2154</v>
      </c>
      <c r="AX826" t="s">
        <v>74</v>
      </c>
      <c r="AY826" t="s">
        <v>74</v>
      </c>
      <c r="AZ826" t="s">
        <v>864</v>
      </c>
      <c r="BA826" t="s">
        <v>74</v>
      </c>
      <c r="BB826">
        <v>27</v>
      </c>
      <c r="BC826">
        <v>37</v>
      </c>
      <c r="BD826" t="s">
        <v>74</v>
      </c>
      <c r="BE826" t="s">
        <v>14930</v>
      </c>
      <c r="BF826" t="str">
        <f>HYPERLINK("http://dx.doi.org/10.1016/j.sedgeo.2010.06.025","http://dx.doi.org/10.1016/j.sedgeo.2010.06.025")</f>
        <v>http://dx.doi.org/10.1016/j.sedgeo.2010.06.025</v>
      </c>
      <c r="BG826" t="s">
        <v>74</v>
      </c>
      <c r="BH826" t="s">
        <v>74</v>
      </c>
      <c r="BI826">
        <v>11</v>
      </c>
      <c r="BJ826" t="s">
        <v>131</v>
      </c>
      <c r="BK826" t="s">
        <v>100</v>
      </c>
      <c r="BL826" t="s">
        <v>131</v>
      </c>
      <c r="BM826" t="s">
        <v>14847</v>
      </c>
      <c r="BN826" t="s">
        <v>74</v>
      </c>
      <c r="BO826" t="s">
        <v>74</v>
      </c>
      <c r="BP826" t="s">
        <v>74</v>
      </c>
      <c r="BQ826" t="s">
        <v>74</v>
      </c>
      <c r="BR826" t="s">
        <v>103</v>
      </c>
      <c r="BS826" t="s">
        <v>14931</v>
      </c>
      <c r="BT826" t="str">
        <f>HYPERLINK("https%3A%2F%2Fwww.webofscience.com%2Fwos%2Fwoscc%2Ffull-record%2FWOS:000288189300003","View Full Record in Web of Science")</f>
        <v>View Full Record in Web of Science</v>
      </c>
    </row>
    <row r="827" spans="1:72" x14ac:dyDescent="0.15">
      <c r="A827" t="s">
        <v>72</v>
      </c>
      <c r="B827" t="s">
        <v>14932</v>
      </c>
      <c r="C827" t="s">
        <v>74</v>
      </c>
      <c r="D827" t="s">
        <v>74</v>
      </c>
      <c r="E827" t="s">
        <v>74</v>
      </c>
      <c r="F827" t="s">
        <v>14933</v>
      </c>
      <c r="G827" t="s">
        <v>74</v>
      </c>
      <c r="H827" t="s">
        <v>74</v>
      </c>
      <c r="I827" t="s">
        <v>14934</v>
      </c>
      <c r="J827" t="s">
        <v>14935</v>
      </c>
      <c r="K827" t="s">
        <v>74</v>
      </c>
      <c r="L827" t="s">
        <v>74</v>
      </c>
      <c r="M827" t="s">
        <v>78</v>
      </c>
      <c r="N827" t="s">
        <v>79</v>
      </c>
      <c r="O827" t="s">
        <v>74</v>
      </c>
      <c r="P827" t="s">
        <v>74</v>
      </c>
      <c r="Q827" t="s">
        <v>74</v>
      </c>
      <c r="R827" t="s">
        <v>74</v>
      </c>
      <c r="S827" t="s">
        <v>74</v>
      </c>
      <c r="T827" t="s">
        <v>14936</v>
      </c>
      <c r="U827" t="s">
        <v>14937</v>
      </c>
      <c r="V827" t="s">
        <v>14938</v>
      </c>
      <c r="W827" t="s">
        <v>14939</v>
      </c>
      <c r="X827" t="s">
        <v>14940</v>
      </c>
      <c r="Y827" t="s">
        <v>14941</v>
      </c>
      <c r="Z827" t="s">
        <v>14942</v>
      </c>
      <c r="AA827" t="s">
        <v>14943</v>
      </c>
      <c r="AB827" t="s">
        <v>14944</v>
      </c>
      <c r="AC827" t="s">
        <v>14945</v>
      </c>
      <c r="AD827" t="s">
        <v>14946</v>
      </c>
      <c r="AE827" t="s">
        <v>14947</v>
      </c>
      <c r="AF827" t="s">
        <v>74</v>
      </c>
      <c r="AG827">
        <v>11</v>
      </c>
      <c r="AH827">
        <v>44</v>
      </c>
      <c r="AI827">
        <v>56</v>
      </c>
      <c r="AJ827">
        <v>2</v>
      </c>
      <c r="AK827">
        <v>35</v>
      </c>
      <c r="AL827" t="s">
        <v>6555</v>
      </c>
      <c r="AM827" t="s">
        <v>1490</v>
      </c>
      <c r="AN827" t="s">
        <v>6556</v>
      </c>
      <c r="AO827" t="s">
        <v>14948</v>
      </c>
      <c r="AP827" t="s">
        <v>74</v>
      </c>
      <c r="AQ827" t="s">
        <v>74</v>
      </c>
      <c r="AR827" t="s">
        <v>14949</v>
      </c>
      <c r="AS827" t="s">
        <v>14950</v>
      </c>
      <c r="AT827" t="s">
        <v>14951</v>
      </c>
      <c r="AU827">
        <v>2011</v>
      </c>
      <c r="AV827">
        <v>366</v>
      </c>
      <c r="AW827">
        <v>1565</v>
      </c>
      <c r="AX827" t="s">
        <v>74</v>
      </c>
      <c r="AY827" t="s">
        <v>74</v>
      </c>
      <c r="AZ827" t="s">
        <v>74</v>
      </c>
      <c r="BA827" t="s">
        <v>74</v>
      </c>
      <c r="BB827">
        <v>772</v>
      </c>
      <c r="BC827">
        <v>782</v>
      </c>
      <c r="BD827" t="s">
        <v>74</v>
      </c>
      <c r="BE827" t="s">
        <v>14952</v>
      </c>
      <c r="BF827" t="str">
        <f>HYPERLINK("http://dx.doi.org/10.1098/rstb.2010.0194","http://dx.doi.org/10.1098/rstb.2010.0194")</f>
        <v>http://dx.doi.org/10.1098/rstb.2010.0194</v>
      </c>
      <c r="BG827" t="s">
        <v>74</v>
      </c>
      <c r="BH827" t="s">
        <v>74</v>
      </c>
      <c r="BI827">
        <v>11</v>
      </c>
      <c r="BJ827" t="s">
        <v>1784</v>
      </c>
      <c r="BK827" t="s">
        <v>100</v>
      </c>
      <c r="BL827" t="s">
        <v>1785</v>
      </c>
      <c r="BM827" t="s">
        <v>14953</v>
      </c>
      <c r="BN827">
        <v>21282181</v>
      </c>
      <c r="BO827" t="s">
        <v>702</v>
      </c>
      <c r="BP827" t="s">
        <v>74</v>
      </c>
      <c r="BQ827" t="s">
        <v>74</v>
      </c>
      <c r="BR827" t="s">
        <v>103</v>
      </c>
      <c r="BS827" t="s">
        <v>14954</v>
      </c>
      <c r="BT827" t="str">
        <f>HYPERLINK("https%3A%2F%2Fwww.webofscience.com%2Fwos%2Fwoscc%2Ffull-record%2FWOS:000286721400020","View Full Record in Web of Science")</f>
        <v>View Full Record in Web of Science</v>
      </c>
    </row>
    <row r="828" spans="1:72" x14ac:dyDescent="0.15">
      <c r="A828" t="s">
        <v>72</v>
      </c>
      <c r="B828" t="s">
        <v>14955</v>
      </c>
      <c r="C828" t="s">
        <v>74</v>
      </c>
      <c r="D828" t="s">
        <v>74</v>
      </c>
      <c r="E828" t="s">
        <v>74</v>
      </c>
      <c r="F828" t="s">
        <v>14956</v>
      </c>
      <c r="G828" t="s">
        <v>74</v>
      </c>
      <c r="H828" t="s">
        <v>74</v>
      </c>
      <c r="I828" t="s">
        <v>14957</v>
      </c>
      <c r="J828" t="s">
        <v>349</v>
      </c>
      <c r="K828" t="s">
        <v>74</v>
      </c>
      <c r="L828" t="s">
        <v>74</v>
      </c>
      <c r="M828" t="s">
        <v>78</v>
      </c>
      <c r="N828" t="s">
        <v>79</v>
      </c>
      <c r="O828" t="s">
        <v>74</v>
      </c>
      <c r="P828" t="s">
        <v>74</v>
      </c>
      <c r="Q828" t="s">
        <v>74</v>
      </c>
      <c r="R828" t="s">
        <v>74</v>
      </c>
      <c r="S828" t="s">
        <v>74</v>
      </c>
      <c r="T828" t="s">
        <v>74</v>
      </c>
      <c r="U828" t="s">
        <v>14958</v>
      </c>
      <c r="V828" t="s">
        <v>14959</v>
      </c>
      <c r="W828" t="s">
        <v>14960</v>
      </c>
      <c r="X828" t="s">
        <v>14961</v>
      </c>
      <c r="Y828" t="s">
        <v>14962</v>
      </c>
      <c r="Z828" t="s">
        <v>14963</v>
      </c>
      <c r="AA828" t="s">
        <v>14964</v>
      </c>
      <c r="AB828" t="s">
        <v>14965</v>
      </c>
      <c r="AC828" t="s">
        <v>14966</v>
      </c>
      <c r="AD828" t="s">
        <v>14967</v>
      </c>
      <c r="AE828" t="s">
        <v>14968</v>
      </c>
      <c r="AF828" t="s">
        <v>74</v>
      </c>
      <c r="AG828">
        <v>33</v>
      </c>
      <c r="AH828">
        <v>36</v>
      </c>
      <c r="AI828">
        <v>44</v>
      </c>
      <c r="AJ828">
        <v>0</v>
      </c>
      <c r="AK828">
        <v>20</v>
      </c>
      <c r="AL828" t="s">
        <v>120</v>
      </c>
      <c r="AM828" t="s">
        <v>121</v>
      </c>
      <c r="AN828" t="s">
        <v>122</v>
      </c>
      <c r="AO828" t="s">
        <v>361</v>
      </c>
      <c r="AP828" t="s">
        <v>362</v>
      </c>
      <c r="AQ828" t="s">
        <v>74</v>
      </c>
      <c r="AR828" t="s">
        <v>363</v>
      </c>
      <c r="AS828" t="s">
        <v>364</v>
      </c>
      <c r="AT828" t="s">
        <v>14969</v>
      </c>
      <c r="AU828">
        <v>2011</v>
      </c>
      <c r="AV828">
        <v>116</v>
      </c>
      <c r="AW828" t="s">
        <v>74</v>
      </c>
      <c r="AX828" t="s">
        <v>74</v>
      </c>
      <c r="AY828" t="s">
        <v>74</v>
      </c>
      <c r="AZ828" t="s">
        <v>74</v>
      </c>
      <c r="BA828" t="s">
        <v>74</v>
      </c>
      <c r="BB828" t="s">
        <v>74</v>
      </c>
      <c r="BC828" t="s">
        <v>74</v>
      </c>
      <c r="BD828" t="s">
        <v>14970</v>
      </c>
      <c r="BE828" t="s">
        <v>14971</v>
      </c>
      <c r="BF828" t="str">
        <f>HYPERLINK("http://dx.doi.org/10.1029/2010JF001754","http://dx.doi.org/10.1029/2010JF001754")</f>
        <v>http://dx.doi.org/10.1029/2010JF001754</v>
      </c>
      <c r="BG828" t="s">
        <v>74</v>
      </c>
      <c r="BH828" t="s">
        <v>74</v>
      </c>
      <c r="BI828">
        <v>13</v>
      </c>
      <c r="BJ828" t="s">
        <v>130</v>
      </c>
      <c r="BK828" t="s">
        <v>100</v>
      </c>
      <c r="BL828" t="s">
        <v>131</v>
      </c>
      <c r="BM828" t="s">
        <v>14972</v>
      </c>
      <c r="BN828" t="s">
        <v>74</v>
      </c>
      <c r="BO828" t="s">
        <v>702</v>
      </c>
      <c r="BP828" t="s">
        <v>74</v>
      </c>
      <c r="BQ828" t="s">
        <v>74</v>
      </c>
      <c r="BR828" t="s">
        <v>103</v>
      </c>
      <c r="BS828" t="s">
        <v>14973</v>
      </c>
      <c r="BT828" t="str">
        <f>HYPERLINK("https%3A%2F%2Fwww.webofscience.com%2Fwos%2Fwoscc%2Ffull-record%2FWOS:000288328200002","View Full Record in Web of Science")</f>
        <v>View Full Record in Web of Science</v>
      </c>
    </row>
    <row r="829" spans="1:72" x14ac:dyDescent="0.15">
      <c r="A829" t="s">
        <v>72</v>
      </c>
      <c r="B829" t="s">
        <v>14974</v>
      </c>
      <c r="C829" t="s">
        <v>74</v>
      </c>
      <c r="D829" t="s">
        <v>74</v>
      </c>
      <c r="E829" t="s">
        <v>74</v>
      </c>
      <c r="F829" t="s">
        <v>14975</v>
      </c>
      <c r="G829" t="s">
        <v>74</v>
      </c>
      <c r="H829" t="s">
        <v>74</v>
      </c>
      <c r="I829" t="s">
        <v>14976</v>
      </c>
      <c r="J829" t="s">
        <v>230</v>
      </c>
      <c r="K829" t="s">
        <v>74</v>
      </c>
      <c r="L829" t="s">
        <v>74</v>
      </c>
      <c r="M829" t="s">
        <v>78</v>
      </c>
      <c r="N829" t="s">
        <v>79</v>
      </c>
      <c r="O829" t="s">
        <v>74</v>
      </c>
      <c r="P829" t="s">
        <v>74</v>
      </c>
      <c r="Q829" t="s">
        <v>74</v>
      </c>
      <c r="R829" t="s">
        <v>74</v>
      </c>
      <c r="S829" t="s">
        <v>74</v>
      </c>
      <c r="T829" t="s">
        <v>74</v>
      </c>
      <c r="U829" t="s">
        <v>14977</v>
      </c>
      <c r="V829" t="s">
        <v>14978</v>
      </c>
      <c r="W829" t="s">
        <v>14979</v>
      </c>
      <c r="X829" t="s">
        <v>14980</v>
      </c>
      <c r="Y829" t="s">
        <v>14981</v>
      </c>
      <c r="Z829" t="s">
        <v>14982</v>
      </c>
      <c r="AA829" t="s">
        <v>14983</v>
      </c>
      <c r="AB829" t="s">
        <v>14984</v>
      </c>
      <c r="AC829" t="s">
        <v>14985</v>
      </c>
      <c r="AD829" t="s">
        <v>14986</v>
      </c>
      <c r="AE829" t="s">
        <v>14987</v>
      </c>
      <c r="AF829" t="s">
        <v>74</v>
      </c>
      <c r="AG829">
        <v>83</v>
      </c>
      <c r="AH829">
        <v>12</v>
      </c>
      <c r="AI829">
        <v>13</v>
      </c>
      <c r="AJ829">
        <v>0</v>
      </c>
      <c r="AK829">
        <v>18</v>
      </c>
      <c r="AL829" t="s">
        <v>120</v>
      </c>
      <c r="AM829" t="s">
        <v>121</v>
      </c>
      <c r="AN829" t="s">
        <v>122</v>
      </c>
      <c r="AO829" t="s">
        <v>242</v>
      </c>
      <c r="AP829" t="s">
        <v>74</v>
      </c>
      <c r="AQ829" t="s">
        <v>74</v>
      </c>
      <c r="AR829" t="s">
        <v>244</v>
      </c>
      <c r="AS829" t="s">
        <v>245</v>
      </c>
      <c r="AT829" t="s">
        <v>14969</v>
      </c>
      <c r="AU829">
        <v>2011</v>
      </c>
      <c r="AV829">
        <v>116</v>
      </c>
      <c r="AW829" t="s">
        <v>74</v>
      </c>
      <c r="AX829" t="s">
        <v>74</v>
      </c>
      <c r="AY829" t="s">
        <v>74</v>
      </c>
      <c r="AZ829" t="s">
        <v>74</v>
      </c>
      <c r="BA829" t="s">
        <v>74</v>
      </c>
      <c r="BB829" t="s">
        <v>74</v>
      </c>
      <c r="BC829" t="s">
        <v>74</v>
      </c>
      <c r="BD829" t="s">
        <v>14988</v>
      </c>
      <c r="BE829" t="s">
        <v>14989</v>
      </c>
      <c r="BF829" t="str">
        <f>HYPERLINK("http://dx.doi.org/10.1029/2010JD014878","http://dx.doi.org/10.1029/2010JD014878")</f>
        <v>http://dx.doi.org/10.1029/2010JD014878</v>
      </c>
      <c r="BG829" t="s">
        <v>74</v>
      </c>
      <c r="BH829" t="s">
        <v>74</v>
      </c>
      <c r="BI829">
        <v>15</v>
      </c>
      <c r="BJ829" t="s">
        <v>248</v>
      </c>
      <c r="BK829" t="s">
        <v>100</v>
      </c>
      <c r="BL829" t="s">
        <v>248</v>
      </c>
      <c r="BM829" t="s">
        <v>14990</v>
      </c>
      <c r="BN829" t="s">
        <v>74</v>
      </c>
      <c r="BO829" t="s">
        <v>594</v>
      </c>
      <c r="BP829" t="s">
        <v>74</v>
      </c>
      <c r="BQ829" t="s">
        <v>74</v>
      </c>
      <c r="BR829" t="s">
        <v>103</v>
      </c>
      <c r="BS829" t="s">
        <v>14991</v>
      </c>
      <c r="BT829" t="str">
        <f>HYPERLINK("https%3A%2F%2Fwww.webofscience.com%2Fwos%2Fwoscc%2Ffull-record%2FWOS:000288324900003","View Full Record in Web of Science")</f>
        <v>View Full Record in Web of Science</v>
      </c>
    </row>
    <row r="830" spans="1:72" x14ac:dyDescent="0.15">
      <c r="A830" t="s">
        <v>72</v>
      </c>
      <c r="B830" t="s">
        <v>14992</v>
      </c>
      <c r="C830" t="s">
        <v>74</v>
      </c>
      <c r="D830" t="s">
        <v>74</v>
      </c>
      <c r="E830" t="s">
        <v>74</v>
      </c>
      <c r="F830" t="s">
        <v>14993</v>
      </c>
      <c r="G830" t="s">
        <v>74</v>
      </c>
      <c r="H830" t="s">
        <v>74</v>
      </c>
      <c r="I830" t="s">
        <v>14994</v>
      </c>
      <c r="J830" t="s">
        <v>230</v>
      </c>
      <c r="K830" t="s">
        <v>74</v>
      </c>
      <c r="L830" t="s">
        <v>74</v>
      </c>
      <c r="M830" t="s">
        <v>78</v>
      </c>
      <c r="N830" t="s">
        <v>79</v>
      </c>
      <c r="O830" t="s">
        <v>74</v>
      </c>
      <c r="P830" t="s">
        <v>74</v>
      </c>
      <c r="Q830" t="s">
        <v>74</v>
      </c>
      <c r="R830" t="s">
        <v>74</v>
      </c>
      <c r="S830" t="s">
        <v>74</v>
      </c>
      <c r="T830" t="s">
        <v>74</v>
      </c>
      <c r="U830" t="s">
        <v>14995</v>
      </c>
      <c r="V830" t="s">
        <v>14996</v>
      </c>
      <c r="W830" t="s">
        <v>14997</v>
      </c>
      <c r="X830" t="s">
        <v>14998</v>
      </c>
      <c r="Y830" t="s">
        <v>14999</v>
      </c>
      <c r="Z830" t="s">
        <v>15000</v>
      </c>
      <c r="AA830" t="s">
        <v>15001</v>
      </c>
      <c r="AB830" t="s">
        <v>15002</v>
      </c>
      <c r="AC830" t="s">
        <v>15003</v>
      </c>
      <c r="AD830" t="s">
        <v>15004</v>
      </c>
      <c r="AE830" t="s">
        <v>15005</v>
      </c>
      <c r="AF830" t="s">
        <v>74</v>
      </c>
      <c r="AG830">
        <v>31</v>
      </c>
      <c r="AH830">
        <v>96</v>
      </c>
      <c r="AI830">
        <v>101</v>
      </c>
      <c r="AJ830">
        <v>0</v>
      </c>
      <c r="AK830">
        <v>21</v>
      </c>
      <c r="AL830" t="s">
        <v>120</v>
      </c>
      <c r="AM830" t="s">
        <v>121</v>
      </c>
      <c r="AN830" t="s">
        <v>122</v>
      </c>
      <c r="AO830" t="s">
        <v>242</v>
      </c>
      <c r="AP830" t="s">
        <v>243</v>
      </c>
      <c r="AQ830" t="s">
        <v>74</v>
      </c>
      <c r="AR830" t="s">
        <v>244</v>
      </c>
      <c r="AS830" t="s">
        <v>245</v>
      </c>
      <c r="AT830" t="s">
        <v>15006</v>
      </c>
      <c r="AU830">
        <v>2011</v>
      </c>
      <c r="AV830">
        <v>116</v>
      </c>
      <c r="AW830" t="s">
        <v>74</v>
      </c>
      <c r="AX830" t="s">
        <v>74</v>
      </c>
      <c r="AY830" t="s">
        <v>74</v>
      </c>
      <c r="AZ830" t="s">
        <v>74</v>
      </c>
      <c r="BA830" t="s">
        <v>74</v>
      </c>
      <c r="BB830" t="s">
        <v>74</v>
      </c>
      <c r="BC830" t="s">
        <v>74</v>
      </c>
      <c r="BD830" t="s">
        <v>15007</v>
      </c>
      <c r="BE830" t="s">
        <v>15008</v>
      </c>
      <c r="BF830" t="str">
        <f>HYPERLINK("http://dx.doi.org/10.1029/2010JD015113","http://dx.doi.org/10.1029/2010JD015113")</f>
        <v>http://dx.doi.org/10.1029/2010JD015113</v>
      </c>
      <c r="BG830" t="s">
        <v>74</v>
      </c>
      <c r="BH830" t="s">
        <v>74</v>
      </c>
      <c r="BI830">
        <v>10</v>
      </c>
      <c r="BJ830" t="s">
        <v>248</v>
      </c>
      <c r="BK830" t="s">
        <v>100</v>
      </c>
      <c r="BL830" t="s">
        <v>248</v>
      </c>
      <c r="BM830" t="s">
        <v>15009</v>
      </c>
      <c r="BN830" t="s">
        <v>74</v>
      </c>
      <c r="BO830" t="s">
        <v>3194</v>
      </c>
      <c r="BP830" t="s">
        <v>74</v>
      </c>
      <c r="BQ830" t="s">
        <v>74</v>
      </c>
      <c r="BR830" t="s">
        <v>103</v>
      </c>
      <c r="BS830" t="s">
        <v>15010</v>
      </c>
      <c r="BT830" t="str">
        <f>HYPERLINK("https%3A%2F%2Fwww.webofscience.com%2Fwos%2Fwoscc%2Ffull-record%2FWOS:000288324300006","View Full Record in Web of Science")</f>
        <v>View Full Record in Web of Science</v>
      </c>
    </row>
    <row r="831" spans="1:72" x14ac:dyDescent="0.15">
      <c r="A831" t="s">
        <v>72</v>
      </c>
      <c r="B831" t="s">
        <v>15011</v>
      </c>
      <c r="C831" t="s">
        <v>74</v>
      </c>
      <c r="D831" t="s">
        <v>74</v>
      </c>
      <c r="E831" t="s">
        <v>74</v>
      </c>
      <c r="F831" t="s">
        <v>15012</v>
      </c>
      <c r="G831" t="s">
        <v>74</v>
      </c>
      <c r="H831" t="s">
        <v>74</v>
      </c>
      <c r="I831" t="s">
        <v>15013</v>
      </c>
      <c r="J831" t="s">
        <v>108</v>
      </c>
      <c r="K831" t="s">
        <v>74</v>
      </c>
      <c r="L831" t="s">
        <v>74</v>
      </c>
      <c r="M831" t="s">
        <v>78</v>
      </c>
      <c r="N831" t="s">
        <v>79</v>
      </c>
      <c r="O831" t="s">
        <v>74</v>
      </c>
      <c r="P831" t="s">
        <v>74</v>
      </c>
      <c r="Q831" t="s">
        <v>74</v>
      </c>
      <c r="R831" t="s">
        <v>74</v>
      </c>
      <c r="S831" t="s">
        <v>74</v>
      </c>
      <c r="T831" t="s">
        <v>74</v>
      </c>
      <c r="U831" t="s">
        <v>15014</v>
      </c>
      <c r="V831" t="s">
        <v>15015</v>
      </c>
      <c r="W831" t="s">
        <v>15016</v>
      </c>
      <c r="X831" t="s">
        <v>15017</v>
      </c>
      <c r="Y831" t="s">
        <v>15018</v>
      </c>
      <c r="Z831" t="s">
        <v>15019</v>
      </c>
      <c r="AA831" t="s">
        <v>15020</v>
      </c>
      <c r="AB831" t="s">
        <v>15021</v>
      </c>
      <c r="AC831" t="s">
        <v>15022</v>
      </c>
      <c r="AD831" t="s">
        <v>15023</v>
      </c>
      <c r="AE831" t="s">
        <v>15024</v>
      </c>
      <c r="AF831" t="s">
        <v>74</v>
      </c>
      <c r="AG831">
        <v>33</v>
      </c>
      <c r="AH831">
        <v>67</v>
      </c>
      <c r="AI831">
        <v>70</v>
      </c>
      <c r="AJ831">
        <v>0</v>
      </c>
      <c r="AK831">
        <v>63</v>
      </c>
      <c r="AL831" t="s">
        <v>120</v>
      </c>
      <c r="AM831" t="s">
        <v>121</v>
      </c>
      <c r="AN831" t="s">
        <v>122</v>
      </c>
      <c r="AO831" t="s">
        <v>123</v>
      </c>
      <c r="AP831" t="s">
        <v>124</v>
      </c>
      <c r="AQ831" t="s">
        <v>74</v>
      </c>
      <c r="AR831" t="s">
        <v>125</v>
      </c>
      <c r="AS831" t="s">
        <v>126</v>
      </c>
      <c r="AT831" t="s">
        <v>15025</v>
      </c>
      <c r="AU831">
        <v>2011</v>
      </c>
      <c r="AV831">
        <v>38</v>
      </c>
      <c r="AW831" t="s">
        <v>74</v>
      </c>
      <c r="AX831" t="s">
        <v>74</v>
      </c>
      <c r="AY831" t="s">
        <v>74</v>
      </c>
      <c r="AZ831" t="s">
        <v>74</v>
      </c>
      <c r="BA831" t="s">
        <v>74</v>
      </c>
      <c r="BB831" t="s">
        <v>74</v>
      </c>
      <c r="BC831" t="s">
        <v>74</v>
      </c>
      <c r="BD831" t="s">
        <v>15026</v>
      </c>
      <c r="BE831" t="s">
        <v>15027</v>
      </c>
      <c r="BF831" t="str">
        <f>HYPERLINK("http://dx.doi.org/10.1029/2010GL046520","http://dx.doi.org/10.1029/2010GL046520")</f>
        <v>http://dx.doi.org/10.1029/2010GL046520</v>
      </c>
      <c r="BG831" t="s">
        <v>74</v>
      </c>
      <c r="BH831" t="s">
        <v>74</v>
      </c>
      <c r="BI831">
        <v>6</v>
      </c>
      <c r="BJ831" t="s">
        <v>130</v>
      </c>
      <c r="BK831" t="s">
        <v>100</v>
      </c>
      <c r="BL831" t="s">
        <v>131</v>
      </c>
      <c r="BM831" t="s">
        <v>15028</v>
      </c>
      <c r="BN831" t="s">
        <v>74</v>
      </c>
      <c r="BO831" t="s">
        <v>393</v>
      </c>
      <c r="BP831" t="s">
        <v>74</v>
      </c>
      <c r="BQ831" t="s">
        <v>74</v>
      </c>
      <c r="BR831" t="s">
        <v>103</v>
      </c>
      <c r="BS831" t="s">
        <v>15029</v>
      </c>
      <c r="BT831" t="str">
        <f>HYPERLINK("https%3A%2F%2Fwww.webofscience.com%2Fwos%2Fwoscc%2Ffull-record%2FWOS:000288327500003","View Full Record in Web of Science")</f>
        <v>View Full Record in Web of Science</v>
      </c>
    </row>
    <row r="832" spans="1:72" x14ac:dyDescent="0.15">
      <c r="A832" t="s">
        <v>72</v>
      </c>
      <c r="B832" t="s">
        <v>15030</v>
      </c>
      <c r="C832" t="s">
        <v>74</v>
      </c>
      <c r="D832" t="s">
        <v>74</v>
      </c>
      <c r="E832" t="s">
        <v>74</v>
      </c>
      <c r="F832" t="s">
        <v>15031</v>
      </c>
      <c r="G832" t="s">
        <v>74</v>
      </c>
      <c r="H832" t="s">
        <v>74</v>
      </c>
      <c r="I832" t="s">
        <v>15032</v>
      </c>
      <c r="J832" t="s">
        <v>373</v>
      </c>
      <c r="K832" t="s">
        <v>74</v>
      </c>
      <c r="L832" t="s">
        <v>74</v>
      </c>
      <c r="M832" t="s">
        <v>78</v>
      </c>
      <c r="N832" t="s">
        <v>79</v>
      </c>
      <c r="O832" t="s">
        <v>74</v>
      </c>
      <c r="P832" t="s">
        <v>74</v>
      </c>
      <c r="Q832" t="s">
        <v>74</v>
      </c>
      <c r="R832" t="s">
        <v>74</v>
      </c>
      <c r="S832" t="s">
        <v>74</v>
      </c>
      <c r="T832" t="s">
        <v>74</v>
      </c>
      <c r="U832" t="s">
        <v>15033</v>
      </c>
      <c r="V832" t="s">
        <v>15034</v>
      </c>
      <c r="W832" t="s">
        <v>15035</v>
      </c>
      <c r="X832" t="s">
        <v>15036</v>
      </c>
      <c r="Y832" t="s">
        <v>15037</v>
      </c>
      <c r="Z832" t="s">
        <v>15038</v>
      </c>
      <c r="AA832" t="s">
        <v>15039</v>
      </c>
      <c r="AB832" t="s">
        <v>15040</v>
      </c>
      <c r="AC832" t="s">
        <v>3205</v>
      </c>
      <c r="AD832" t="s">
        <v>2005</v>
      </c>
      <c r="AE832" t="s">
        <v>74</v>
      </c>
      <c r="AF832" t="s">
        <v>74</v>
      </c>
      <c r="AG832">
        <v>28</v>
      </c>
      <c r="AH832">
        <v>29</v>
      </c>
      <c r="AI832">
        <v>30</v>
      </c>
      <c r="AJ832">
        <v>0</v>
      </c>
      <c r="AK832">
        <v>5</v>
      </c>
      <c r="AL832" t="s">
        <v>120</v>
      </c>
      <c r="AM832" t="s">
        <v>121</v>
      </c>
      <c r="AN832" t="s">
        <v>122</v>
      </c>
      <c r="AO832" t="s">
        <v>385</v>
      </c>
      <c r="AP832" t="s">
        <v>386</v>
      </c>
      <c r="AQ832" t="s">
        <v>74</v>
      </c>
      <c r="AR832" t="s">
        <v>387</v>
      </c>
      <c r="AS832" t="s">
        <v>388</v>
      </c>
      <c r="AT832" t="s">
        <v>15025</v>
      </c>
      <c r="AU832">
        <v>2011</v>
      </c>
      <c r="AV832">
        <v>116</v>
      </c>
      <c r="AW832" t="s">
        <v>74</v>
      </c>
      <c r="AX832" t="s">
        <v>74</v>
      </c>
      <c r="AY832" t="s">
        <v>74</v>
      </c>
      <c r="AZ832" t="s">
        <v>74</v>
      </c>
      <c r="BA832" t="s">
        <v>74</v>
      </c>
      <c r="BB832" t="s">
        <v>74</v>
      </c>
      <c r="BC832" t="s">
        <v>74</v>
      </c>
      <c r="BD832" t="s">
        <v>15041</v>
      </c>
      <c r="BE832" t="s">
        <v>15042</v>
      </c>
      <c r="BF832" t="str">
        <f>HYPERLINK("http://dx.doi.org/10.1029/2010JA016248","http://dx.doi.org/10.1029/2010JA016248")</f>
        <v>http://dx.doi.org/10.1029/2010JA016248</v>
      </c>
      <c r="BG832" t="s">
        <v>74</v>
      </c>
      <c r="BH832" t="s">
        <v>74</v>
      </c>
      <c r="BI832">
        <v>12</v>
      </c>
      <c r="BJ832" t="s">
        <v>391</v>
      </c>
      <c r="BK832" t="s">
        <v>100</v>
      </c>
      <c r="BL832" t="s">
        <v>391</v>
      </c>
      <c r="BM832" t="s">
        <v>15043</v>
      </c>
      <c r="BN832" t="s">
        <v>74</v>
      </c>
      <c r="BO832" t="s">
        <v>393</v>
      </c>
      <c r="BP832" t="s">
        <v>74</v>
      </c>
      <c r="BQ832" t="s">
        <v>74</v>
      </c>
      <c r="BR832" t="s">
        <v>103</v>
      </c>
      <c r="BS832" t="s">
        <v>15044</v>
      </c>
      <c r="BT832" t="str">
        <f>HYPERLINK("https%3A%2F%2Fwww.webofscience.com%2Fwos%2Fwoscc%2Ffull-record%2FWOS:000288331000007","View Full Record in Web of Science")</f>
        <v>View Full Record in Web of Science</v>
      </c>
    </row>
    <row r="833" spans="1:72" x14ac:dyDescent="0.15">
      <c r="A833" t="s">
        <v>72</v>
      </c>
      <c r="B833" t="s">
        <v>15045</v>
      </c>
      <c r="C833" t="s">
        <v>74</v>
      </c>
      <c r="D833" t="s">
        <v>74</v>
      </c>
      <c r="E833" t="s">
        <v>74</v>
      </c>
      <c r="F833" t="s">
        <v>15046</v>
      </c>
      <c r="G833" t="s">
        <v>74</v>
      </c>
      <c r="H833" t="s">
        <v>74</v>
      </c>
      <c r="I833" t="s">
        <v>15047</v>
      </c>
      <c r="J833" t="s">
        <v>6634</v>
      </c>
      <c r="K833" t="s">
        <v>74</v>
      </c>
      <c r="L833" t="s">
        <v>74</v>
      </c>
      <c r="M833" t="s">
        <v>78</v>
      </c>
      <c r="N833" t="s">
        <v>2002</v>
      </c>
      <c r="O833" t="s">
        <v>74</v>
      </c>
      <c r="P833" t="s">
        <v>74</v>
      </c>
      <c r="Q833" t="s">
        <v>74</v>
      </c>
      <c r="R833" t="s">
        <v>74</v>
      </c>
      <c r="S833" t="s">
        <v>74</v>
      </c>
      <c r="T833" t="s">
        <v>74</v>
      </c>
      <c r="U833" t="s">
        <v>15048</v>
      </c>
      <c r="V833" t="s">
        <v>15049</v>
      </c>
      <c r="W833" t="s">
        <v>15050</v>
      </c>
      <c r="X833" t="s">
        <v>15051</v>
      </c>
      <c r="Y833" t="s">
        <v>15052</v>
      </c>
      <c r="Z833" t="s">
        <v>15053</v>
      </c>
      <c r="AA833" t="s">
        <v>15054</v>
      </c>
      <c r="AB833" t="s">
        <v>74</v>
      </c>
      <c r="AC833" t="s">
        <v>74</v>
      </c>
      <c r="AD833" t="s">
        <v>74</v>
      </c>
      <c r="AE833" t="s">
        <v>74</v>
      </c>
      <c r="AF833" t="s">
        <v>74</v>
      </c>
      <c r="AG833">
        <v>17</v>
      </c>
      <c r="AH833">
        <v>0</v>
      </c>
      <c r="AI833">
        <v>1</v>
      </c>
      <c r="AJ833">
        <v>0</v>
      </c>
      <c r="AK833">
        <v>12</v>
      </c>
      <c r="AL833" t="s">
        <v>6639</v>
      </c>
      <c r="AM833" t="s">
        <v>1778</v>
      </c>
      <c r="AN833" t="s">
        <v>6640</v>
      </c>
      <c r="AO833" t="s">
        <v>6641</v>
      </c>
      <c r="AP833" t="s">
        <v>74</v>
      </c>
      <c r="AQ833" t="s">
        <v>74</v>
      </c>
      <c r="AR833" t="s">
        <v>6642</v>
      </c>
      <c r="AS833" t="s">
        <v>6643</v>
      </c>
      <c r="AT833" t="s">
        <v>15055</v>
      </c>
      <c r="AU833">
        <v>2011</v>
      </c>
      <c r="AV833">
        <v>21</v>
      </c>
      <c r="AW833">
        <v>5</v>
      </c>
      <c r="AX833" t="s">
        <v>74</v>
      </c>
      <c r="AY833" t="s">
        <v>74</v>
      </c>
      <c r="AZ833" t="s">
        <v>74</v>
      </c>
      <c r="BA833" t="s">
        <v>74</v>
      </c>
      <c r="BB833" t="s">
        <v>15056</v>
      </c>
      <c r="BC833" t="s">
        <v>15057</v>
      </c>
      <c r="BD833" t="s">
        <v>74</v>
      </c>
      <c r="BE833" t="s">
        <v>15058</v>
      </c>
      <c r="BF833" t="str">
        <f>HYPERLINK("http://dx.doi.org/10.1016/j.cub.2011.01.055","http://dx.doi.org/10.1016/j.cub.2011.01.055")</f>
        <v>http://dx.doi.org/10.1016/j.cub.2011.01.055</v>
      </c>
      <c r="BG833" t="s">
        <v>74</v>
      </c>
      <c r="BH833" t="s">
        <v>74</v>
      </c>
      <c r="BI833">
        <v>3</v>
      </c>
      <c r="BJ833" t="s">
        <v>6647</v>
      </c>
      <c r="BK833" t="s">
        <v>100</v>
      </c>
      <c r="BL833" t="s">
        <v>6648</v>
      </c>
      <c r="BM833" t="s">
        <v>15059</v>
      </c>
      <c r="BN833">
        <v>21377096</v>
      </c>
      <c r="BO833" t="s">
        <v>1284</v>
      </c>
      <c r="BP833" t="s">
        <v>74</v>
      </c>
      <c r="BQ833" t="s">
        <v>74</v>
      </c>
      <c r="BR833" t="s">
        <v>103</v>
      </c>
      <c r="BS833" t="s">
        <v>15060</v>
      </c>
      <c r="BT833" t="str">
        <f>HYPERLINK("https%3A%2F%2Fwww.webofscience.com%2Fwos%2Fwoscc%2Ffull-record%2FWOS:000288298900009","View Full Record in Web of Science")</f>
        <v>View Full Record in Web of Science</v>
      </c>
    </row>
    <row r="834" spans="1:72" x14ac:dyDescent="0.15">
      <c r="A834" t="s">
        <v>72</v>
      </c>
      <c r="B834" t="s">
        <v>15061</v>
      </c>
      <c r="C834" t="s">
        <v>74</v>
      </c>
      <c r="D834" t="s">
        <v>74</v>
      </c>
      <c r="E834" t="s">
        <v>74</v>
      </c>
      <c r="F834" t="s">
        <v>15062</v>
      </c>
      <c r="G834" t="s">
        <v>74</v>
      </c>
      <c r="H834" t="s">
        <v>74</v>
      </c>
      <c r="I834" t="s">
        <v>15063</v>
      </c>
      <c r="J834" t="s">
        <v>3214</v>
      </c>
      <c r="K834" t="s">
        <v>74</v>
      </c>
      <c r="L834" t="s">
        <v>74</v>
      </c>
      <c r="M834" t="s">
        <v>78</v>
      </c>
      <c r="N834" t="s">
        <v>79</v>
      </c>
      <c r="O834" t="s">
        <v>74</v>
      </c>
      <c r="P834" t="s">
        <v>74</v>
      </c>
      <c r="Q834" t="s">
        <v>74</v>
      </c>
      <c r="R834" t="s">
        <v>74</v>
      </c>
      <c r="S834" t="s">
        <v>74</v>
      </c>
      <c r="T834" t="s">
        <v>15064</v>
      </c>
      <c r="U834" t="s">
        <v>15065</v>
      </c>
      <c r="V834" t="s">
        <v>15066</v>
      </c>
      <c r="W834" t="s">
        <v>15067</v>
      </c>
      <c r="X834" t="s">
        <v>13989</v>
      </c>
      <c r="Y834" t="s">
        <v>15068</v>
      </c>
      <c r="Z834" t="s">
        <v>15069</v>
      </c>
      <c r="AA834" t="s">
        <v>15070</v>
      </c>
      <c r="AB834" t="s">
        <v>15071</v>
      </c>
      <c r="AC834" t="s">
        <v>15072</v>
      </c>
      <c r="AD834" t="s">
        <v>15073</v>
      </c>
      <c r="AE834" t="s">
        <v>15074</v>
      </c>
      <c r="AF834" t="s">
        <v>74</v>
      </c>
      <c r="AG834">
        <v>36</v>
      </c>
      <c r="AH834">
        <v>6</v>
      </c>
      <c r="AI834">
        <v>6</v>
      </c>
      <c r="AJ834">
        <v>0</v>
      </c>
      <c r="AK834">
        <v>3</v>
      </c>
      <c r="AL834" t="s">
        <v>3225</v>
      </c>
      <c r="AM834" t="s">
        <v>3226</v>
      </c>
      <c r="AN834" t="s">
        <v>3227</v>
      </c>
      <c r="AO834" t="s">
        <v>3228</v>
      </c>
      <c r="AP834" t="s">
        <v>3229</v>
      </c>
      <c r="AQ834" t="s">
        <v>74</v>
      </c>
      <c r="AR834" t="s">
        <v>3214</v>
      </c>
      <c r="AS834" t="s">
        <v>3230</v>
      </c>
      <c r="AT834" t="s">
        <v>15055</v>
      </c>
      <c r="AU834">
        <v>2011</v>
      </c>
      <c r="AV834" t="s">
        <v>74</v>
      </c>
      <c r="AW834">
        <v>2785</v>
      </c>
      <c r="AX834" t="s">
        <v>74</v>
      </c>
      <c r="AY834" t="s">
        <v>74</v>
      </c>
      <c r="AZ834" t="s">
        <v>74</v>
      </c>
      <c r="BA834" t="s">
        <v>74</v>
      </c>
      <c r="BB834">
        <v>32</v>
      </c>
      <c r="BC834">
        <v>52</v>
      </c>
      <c r="BD834" t="s">
        <v>74</v>
      </c>
      <c r="BE834" t="s">
        <v>74</v>
      </c>
      <c r="BF834" t="s">
        <v>74</v>
      </c>
      <c r="BG834" t="s">
        <v>74</v>
      </c>
      <c r="BH834" t="s">
        <v>74</v>
      </c>
      <c r="BI834">
        <v>21</v>
      </c>
      <c r="BJ834" t="s">
        <v>3232</v>
      </c>
      <c r="BK834" t="s">
        <v>100</v>
      </c>
      <c r="BL834" t="s">
        <v>3232</v>
      </c>
      <c r="BM834" t="s">
        <v>15075</v>
      </c>
      <c r="BN834" t="s">
        <v>74</v>
      </c>
      <c r="BO834" t="s">
        <v>74</v>
      </c>
      <c r="BP834" t="s">
        <v>74</v>
      </c>
      <c r="BQ834" t="s">
        <v>74</v>
      </c>
      <c r="BR834" t="s">
        <v>103</v>
      </c>
      <c r="BS834" t="s">
        <v>15076</v>
      </c>
      <c r="BT834" t="str">
        <f>HYPERLINK("https%3A%2F%2Fwww.webofscience.com%2Fwos%2Fwoscc%2Ffull-record%2FWOS:000288075000002","View Full Record in Web of Science")</f>
        <v>View Full Record in Web of Science</v>
      </c>
    </row>
    <row r="835" spans="1:72" x14ac:dyDescent="0.15">
      <c r="A835" t="s">
        <v>72</v>
      </c>
      <c r="B835" t="s">
        <v>15077</v>
      </c>
      <c r="C835" t="s">
        <v>74</v>
      </c>
      <c r="D835" t="s">
        <v>74</v>
      </c>
      <c r="E835" t="s">
        <v>74</v>
      </c>
      <c r="F835" t="s">
        <v>15078</v>
      </c>
      <c r="G835" t="s">
        <v>74</v>
      </c>
      <c r="H835" t="s">
        <v>74</v>
      </c>
      <c r="I835" t="s">
        <v>15079</v>
      </c>
      <c r="J835" t="s">
        <v>15080</v>
      </c>
      <c r="K835" t="s">
        <v>74</v>
      </c>
      <c r="L835" t="s">
        <v>74</v>
      </c>
      <c r="M835" t="s">
        <v>78</v>
      </c>
      <c r="N835" t="s">
        <v>79</v>
      </c>
      <c r="O835" t="s">
        <v>74</v>
      </c>
      <c r="P835" t="s">
        <v>74</v>
      </c>
      <c r="Q835" t="s">
        <v>74</v>
      </c>
      <c r="R835" t="s">
        <v>74</v>
      </c>
      <c r="S835" t="s">
        <v>74</v>
      </c>
      <c r="T835" t="s">
        <v>74</v>
      </c>
      <c r="U835" t="s">
        <v>15081</v>
      </c>
      <c r="V835" t="s">
        <v>15082</v>
      </c>
      <c r="W835" t="s">
        <v>15083</v>
      </c>
      <c r="X835" t="s">
        <v>15084</v>
      </c>
      <c r="Y835" t="s">
        <v>15085</v>
      </c>
      <c r="Z835" t="s">
        <v>15086</v>
      </c>
      <c r="AA835" t="s">
        <v>15087</v>
      </c>
      <c r="AB835" t="s">
        <v>15088</v>
      </c>
      <c r="AC835" t="s">
        <v>15089</v>
      </c>
      <c r="AD835" t="s">
        <v>15090</v>
      </c>
      <c r="AE835" t="s">
        <v>15091</v>
      </c>
      <c r="AF835" t="s">
        <v>74</v>
      </c>
      <c r="AG835">
        <v>51</v>
      </c>
      <c r="AH835">
        <v>14</v>
      </c>
      <c r="AI835">
        <v>18</v>
      </c>
      <c r="AJ835">
        <v>0</v>
      </c>
      <c r="AK835">
        <v>29</v>
      </c>
      <c r="AL835" t="s">
        <v>8158</v>
      </c>
      <c r="AM835" t="s">
        <v>1490</v>
      </c>
      <c r="AN835" t="s">
        <v>8159</v>
      </c>
      <c r="AO835" t="s">
        <v>15092</v>
      </c>
      <c r="AP835" t="s">
        <v>74</v>
      </c>
      <c r="AQ835" t="s">
        <v>74</v>
      </c>
      <c r="AR835" t="s">
        <v>15093</v>
      </c>
      <c r="AS835" t="s">
        <v>15094</v>
      </c>
      <c r="AT835" t="s">
        <v>15095</v>
      </c>
      <c r="AU835">
        <v>2011</v>
      </c>
      <c r="AV835">
        <v>12</v>
      </c>
      <c r="AW835" t="s">
        <v>74</v>
      </c>
      <c r="AX835" t="s">
        <v>74</v>
      </c>
      <c r="AY835" t="s">
        <v>74</v>
      </c>
      <c r="AZ835" t="s">
        <v>74</v>
      </c>
      <c r="BA835" t="s">
        <v>74</v>
      </c>
      <c r="BB835" t="s">
        <v>74</v>
      </c>
      <c r="BC835" t="s">
        <v>74</v>
      </c>
      <c r="BD835">
        <v>4</v>
      </c>
      <c r="BE835" t="s">
        <v>15096</v>
      </c>
      <c r="BF835" t="str">
        <f>HYPERLINK("http://dx.doi.org/10.1186/1467-4866-12-4","http://dx.doi.org/10.1186/1467-4866-12-4")</f>
        <v>http://dx.doi.org/10.1186/1467-4866-12-4</v>
      </c>
      <c r="BG835" t="s">
        <v>74</v>
      </c>
      <c r="BH835" t="s">
        <v>74</v>
      </c>
      <c r="BI835">
        <v>10</v>
      </c>
      <c r="BJ835" t="s">
        <v>488</v>
      </c>
      <c r="BK835" t="s">
        <v>100</v>
      </c>
      <c r="BL835" t="s">
        <v>488</v>
      </c>
      <c r="BM835" t="s">
        <v>15097</v>
      </c>
      <c r="BN835">
        <v>21385368</v>
      </c>
      <c r="BO835" t="s">
        <v>555</v>
      </c>
      <c r="BP835" t="s">
        <v>74</v>
      </c>
      <c r="BQ835" t="s">
        <v>74</v>
      </c>
      <c r="BR835" t="s">
        <v>103</v>
      </c>
      <c r="BS835" t="s">
        <v>15098</v>
      </c>
      <c r="BT835" t="str">
        <f>HYPERLINK("https%3A%2F%2Fwww.webofscience.com%2Fwos%2Fwoscc%2Ffull-record%2FWOS:000288553700001","View Full Record in Web of Science")</f>
        <v>View Full Record in Web of Science</v>
      </c>
    </row>
    <row r="836" spans="1:72" x14ac:dyDescent="0.15">
      <c r="A836" t="s">
        <v>72</v>
      </c>
      <c r="B836" t="s">
        <v>15099</v>
      </c>
      <c r="C836" t="s">
        <v>74</v>
      </c>
      <c r="D836" t="s">
        <v>74</v>
      </c>
      <c r="E836" t="s">
        <v>74</v>
      </c>
      <c r="F836" t="s">
        <v>15100</v>
      </c>
      <c r="G836" t="s">
        <v>74</v>
      </c>
      <c r="H836" t="s">
        <v>74</v>
      </c>
      <c r="I836" t="s">
        <v>15101</v>
      </c>
      <c r="J836" t="s">
        <v>12478</v>
      </c>
      <c r="K836" t="s">
        <v>74</v>
      </c>
      <c r="L836" t="s">
        <v>74</v>
      </c>
      <c r="M836" t="s">
        <v>78</v>
      </c>
      <c r="N836" t="s">
        <v>79</v>
      </c>
      <c r="O836" t="s">
        <v>74</v>
      </c>
      <c r="P836" t="s">
        <v>74</v>
      </c>
      <c r="Q836" t="s">
        <v>74</v>
      </c>
      <c r="R836" t="s">
        <v>74</v>
      </c>
      <c r="S836" t="s">
        <v>74</v>
      </c>
      <c r="T836" t="s">
        <v>15102</v>
      </c>
      <c r="U836" t="s">
        <v>15103</v>
      </c>
      <c r="V836" t="s">
        <v>15104</v>
      </c>
      <c r="W836" t="s">
        <v>15105</v>
      </c>
      <c r="X836" t="s">
        <v>15106</v>
      </c>
      <c r="Y836" t="s">
        <v>15107</v>
      </c>
      <c r="Z836" t="s">
        <v>15108</v>
      </c>
      <c r="AA836" t="s">
        <v>15109</v>
      </c>
      <c r="AB836" t="s">
        <v>15110</v>
      </c>
      <c r="AC836" t="s">
        <v>15111</v>
      </c>
      <c r="AD836" t="s">
        <v>15112</v>
      </c>
      <c r="AE836" t="s">
        <v>15113</v>
      </c>
      <c r="AF836" t="s">
        <v>74</v>
      </c>
      <c r="AG836">
        <v>52</v>
      </c>
      <c r="AH836">
        <v>36</v>
      </c>
      <c r="AI836">
        <v>39</v>
      </c>
      <c r="AJ836">
        <v>12</v>
      </c>
      <c r="AK836">
        <v>103</v>
      </c>
      <c r="AL836" t="s">
        <v>9877</v>
      </c>
      <c r="AM836" t="s">
        <v>1490</v>
      </c>
      <c r="AN836" t="s">
        <v>9878</v>
      </c>
      <c r="AO836" t="s">
        <v>12489</v>
      </c>
      <c r="AP836" t="s">
        <v>74</v>
      </c>
      <c r="AQ836" t="s">
        <v>74</v>
      </c>
      <c r="AR836" t="s">
        <v>12491</v>
      </c>
      <c r="AS836" t="s">
        <v>12492</v>
      </c>
      <c r="AT836" t="s">
        <v>15095</v>
      </c>
      <c r="AU836">
        <v>2011</v>
      </c>
      <c r="AV836">
        <v>272</v>
      </c>
      <c r="AW836">
        <v>1</v>
      </c>
      <c r="AX836" t="s">
        <v>74</v>
      </c>
      <c r="AY836" t="s">
        <v>74</v>
      </c>
      <c r="AZ836" t="s">
        <v>74</v>
      </c>
      <c r="BA836" t="s">
        <v>74</v>
      </c>
      <c r="BB836">
        <v>160</v>
      </c>
      <c r="BC836">
        <v>173</v>
      </c>
      <c r="BD836" t="s">
        <v>74</v>
      </c>
      <c r="BE836" t="s">
        <v>15114</v>
      </c>
      <c r="BF836" t="str">
        <f>HYPERLINK("http://dx.doi.org/10.1016/j.jtbi.2010.11.043","http://dx.doi.org/10.1016/j.jtbi.2010.11.043")</f>
        <v>http://dx.doi.org/10.1016/j.jtbi.2010.11.043</v>
      </c>
      <c r="BG836" t="s">
        <v>74</v>
      </c>
      <c r="BH836" t="s">
        <v>74</v>
      </c>
      <c r="BI836">
        <v>14</v>
      </c>
      <c r="BJ836" t="s">
        <v>12494</v>
      </c>
      <c r="BK836" t="s">
        <v>100</v>
      </c>
      <c r="BL836" t="s">
        <v>12495</v>
      </c>
      <c r="BM836" t="s">
        <v>15115</v>
      </c>
      <c r="BN836">
        <v>21146542</v>
      </c>
      <c r="BO836" t="s">
        <v>1025</v>
      </c>
      <c r="BP836" t="s">
        <v>74</v>
      </c>
      <c r="BQ836" t="s">
        <v>74</v>
      </c>
      <c r="BR836" t="s">
        <v>103</v>
      </c>
      <c r="BS836" t="s">
        <v>15116</v>
      </c>
      <c r="BT836" t="str">
        <f>HYPERLINK("https%3A%2F%2Fwww.webofscience.com%2Fwos%2Fwoscc%2Ffull-record%2FWOS:000287227700017","View Full Record in Web of Science")</f>
        <v>View Full Record in Web of Science</v>
      </c>
    </row>
    <row r="837" spans="1:72" x14ac:dyDescent="0.15">
      <c r="A837" t="s">
        <v>72</v>
      </c>
      <c r="B837" t="s">
        <v>15117</v>
      </c>
      <c r="C837" t="s">
        <v>74</v>
      </c>
      <c r="D837" t="s">
        <v>74</v>
      </c>
      <c r="E837" t="s">
        <v>74</v>
      </c>
      <c r="F837" t="s">
        <v>15118</v>
      </c>
      <c r="G837" t="s">
        <v>74</v>
      </c>
      <c r="H837" t="s">
        <v>74</v>
      </c>
      <c r="I837" t="s">
        <v>15119</v>
      </c>
      <c r="J837" t="s">
        <v>254</v>
      </c>
      <c r="K837" t="s">
        <v>74</v>
      </c>
      <c r="L837" t="s">
        <v>74</v>
      </c>
      <c r="M837" t="s">
        <v>78</v>
      </c>
      <c r="N837" t="s">
        <v>79</v>
      </c>
      <c r="O837" t="s">
        <v>74</v>
      </c>
      <c r="P837" t="s">
        <v>74</v>
      </c>
      <c r="Q837" t="s">
        <v>74</v>
      </c>
      <c r="R837" t="s">
        <v>74</v>
      </c>
      <c r="S837" t="s">
        <v>74</v>
      </c>
      <c r="T837" t="s">
        <v>74</v>
      </c>
      <c r="U837" t="s">
        <v>15120</v>
      </c>
      <c r="V837" t="s">
        <v>15121</v>
      </c>
      <c r="W837" t="s">
        <v>15122</v>
      </c>
      <c r="X837" t="s">
        <v>15123</v>
      </c>
      <c r="Y837" t="s">
        <v>15124</v>
      </c>
      <c r="Z837" t="s">
        <v>15125</v>
      </c>
      <c r="AA837" t="s">
        <v>15126</v>
      </c>
      <c r="AB837" t="s">
        <v>15127</v>
      </c>
      <c r="AC837" t="s">
        <v>74</v>
      </c>
      <c r="AD837" t="s">
        <v>74</v>
      </c>
      <c r="AE837" t="s">
        <v>74</v>
      </c>
      <c r="AF837" t="s">
        <v>74</v>
      </c>
      <c r="AG837">
        <v>60</v>
      </c>
      <c r="AH837">
        <v>102</v>
      </c>
      <c r="AI837">
        <v>110</v>
      </c>
      <c r="AJ837">
        <v>0</v>
      </c>
      <c r="AK837">
        <v>32</v>
      </c>
      <c r="AL837" t="s">
        <v>120</v>
      </c>
      <c r="AM837" t="s">
        <v>121</v>
      </c>
      <c r="AN837" t="s">
        <v>122</v>
      </c>
      <c r="AO837" t="s">
        <v>265</v>
      </c>
      <c r="AP837" t="s">
        <v>266</v>
      </c>
      <c r="AQ837" t="s">
        <v>74</v>
      </c>
      <c r="AR837" t="s">
        <v>267</v>
      </c>
      <c r="AS837" t="s">
        <v>268</v>
      </c>
      <c r="AT837" t="s">
        <v>15128</v>
      </c>
      <c r="AU837">
        <v>2011</v>
      </c>
      <c r="AV837">
        <v>116</v>
      </c>
      <c r="AW837" t="s">
        <v>74</v>
      </c>
      <c r="AX837" t="s">
        <v>74</v>
      </c>
      <c r="AY837" t="s">
        <v>74</v>
      </c>
      <c r="AZ837" t="s">
        <v>74</v>
      </c>
      <c r="BA837" t="s">
        <v>74</v>
      </c>
      <c r="BB837" t="s">
        <v>74</v>
      </c>
      <c r="BC837" t="s">
        <v>74</v>
      </c>
      <c r="BD837" t="s">
        <v>15129</v>
      </c>
      <c r="BE837" t="s">
        <v>15130</v>
      </c>
      <c r="BF837" t="str">
        <f>HYPERLINK("http://dx.doi.org/10.1029/2010JC006464","http://dx.doi.org/10.1029/2010JC006464")</f>
        <v>http://dx.doi.org/10.1029/2010JC006464</v>
      </c>
      <c r="BG837" t="s">
        <v>74</v>
      </c>
      <c r="BH837" t="s">
        <v>74</v>
      </c>
      <c r="BI837">
        <v>16</v>
      </c>
      <c r="BJ837" t="s">
        <v>271</v>
      </c>
      <c r="BK837" t="s">
        <v>100</v>
      </c>
      <c r="BL837" t="s">
        <v>271</v>
      </c>
      <c r="BM837" t="s">
        <v>15131</v>
      </c>
      <c r="BN837" t="s">
        <v>74</v>
      </c>
      <c r="BO837" t="s">
        <v>74</v>
      </c>
      <c r="BP837" t="s">
        <v>74</v>
      </c>
      <c r="BQ837" t="s">
        <v>74</v>
      </c>
      <c r="BR837" t="s">
        <v>103</v>
      </c>
      <c r="BS837" t="s">
        <v>15132</v>
      </c>
      <c r="BT837" t="str">
        <f>HYPERLINK("https%3A%2F%2Fwww.webofscience.com%2Fwos%2Fwoscc%2Ffull-record%2FWOS:000288089700004","View Full Record in Web of Science")</f>
        <v>View Full Record in Web of Science</v>
      </c>
    </row>
    <row r="838" spans="1:72" x14ac:dyDescent="0.15">
      <c r="A838" t="s">
        <v>72</v>
      </c>
      <c r="B838" t="s">
        <v>15133</v>
      </c>
      <c r="C838" t="s">
        <v>74</v>
      </c>
      <c r="D838" t="s">
        <v>74</v>
      </c>
      <c r="E838" t="s">
        <v>74</v>
      </c>
      <c r="F838" t="s">
        <v>15134</v>
      </c>
      <c r="G838" t="s">
        <v>74</v>
      </c>
      <c r="H838" t="s">
        <v>74</v>
      </c>
      <c r="I838" t="s">
        <v>15135</v>
      </c>
      <c r="J838" t="s">
        <v>15136</v>
      </c>
      <c r="K838" t="s">
        <v>74</v>
      </c>
      <c r="L838" t="s">
        <v>74</v>
      </c>
      <c r="M838" t="s">
        <v>78</v>
      </c>
      <c r="N838" t="s">
        <v>3318</v>
      </c>
      <c r="O838" t="s">
        <v>74</v>
      </c>
      <c r="P838" t="s">
        <v>74</v>
      </c>
      <c r="Q838" t="s">
        <v>74</v>
      </c>
      <c r="R838" t="s">
        <v>74</v>
      </c>
      <c r="S838" t="s">
        <v>74</v>
      </c>
      <c r="T838" t="s">
        <v>74</v>
      </c>
      <c r="U838" t="s">
        <v>74</v>
      </c>
      <c r="V838" t="s">
        <v>74</v>
      </c>
      <c r="W838" t="s">
        <v>74</v>
      </c>
      <c r="X838" t="s">
        <v>74</v>
      </c>
      <c r="Y838" t="s">
        <v>74</v>
      </c>
      <c r="Z838" t="s">
        <v>74</v>
      </c>
      <c r="AA838" t="s">
        <v>74</v>
      </c>
      <c r="AB838" t="s">
        <v>74</v>
      </c>
      <c r="AC838" t="s">
        <v>74</v>
      </c>
      <c r="AD838" t="s">
        <v>74</v>
      </c>
      <c r="AE838" t="s">
        <v>74</v>
      </c>
      <c r="AF838" t="s">
        <v>74</v>
      </c>
      <c r="AG838">
        <v>0</v>
      </c>
      <c r="AH838">
        <v>0</v>
      </c>
      <c r="AI838">
        <v>0</v>
      </c>
      <c r="AJ838">
        <v>0</v>
      </c>
      <c r="AK838">
        <v>0</v>
      </c>
      <c r="AL838" t="s">
        <v>15137</v>
      </c>
      <c r="AM838" t="s">
        <v>15138</v>
      </c>
      <c r="AN838" t="s">
        <v>15139</v>
      </c>
      <c r="AO838" t="s">
        <v>15140</v>
      </c>
      <c r="AP838" t="s">
        <v>74</v>
      </c>
      <c r="AQ838" t="s">
        <v>74</v>
      </c>
      <c r="AR838" t="s">
        <v>15141</v>
      </c>
      <c r="AS838" t="s">
        <v>15142</v>
      </c>
      <c r="AT838" t="s">
        <v>15128</v>
      </c>
      <c r="AU838">
        <v>2011</v>
      </c>
      <c r="AV838">
        <v>209</v>
      </c>
      <c r="AW838">
        <v>2802</v>
      </c>
      <c r="AX838" t="s">
        <v>74</v>
      </c>
      <c r="AY838" t="s">
        <v>74</v>
      </c>
      <c r="AZ838" t="s">
        <v>74</v>
      </c>
      <c r="BA838" t="s">
        <v>74</v>
      </c>
      <c r="BB838">
        <v>11</v>
      </c>
      <c r="BC838">
        <v>11</v>
      </c>
      <c r="BD838" t="s">
        <v>74</v>
      </c>
      <c r="BE838" t="s">
        <v>15143</v>
      </c>
      <c r="BF838" t="str">
        <f>HYPERLINK("http://dx.doi.org/10.1016/S0262-4079(11)60478-8","http://dx.doi.org/10.1016/S0262-4079(11)60478-8")</f>
        <v>http://dx.doi.org/10.1016/S0262-4079(11)60478-8</v>
      </c>
      <c r="BG838" t="s">
        <v>74</v>
      </c>
      <c r="BH838" t="s">
        <v>74</v>
      </c>
      <c r="BI838">
        <v>1</v>
      </c>
      <c r="BJ838" t="s">
        <v>177</v>
      </c>
      <c r="BK838" t="s">
        <v>100</v>
      </c>
      <c r="BL838" t="s">
        <v>178</v>
      </c>
      <c r="BM838" t="s">
        <v>15144</v>
      </c>
      <c r="BN838" t="s">
        <v>74</v>
      </c>
      <c r="BO838" t="s">
        <v>74</v>
      </c>
      <c r="BP838" t="s">
        <v>74</v>
      </c>
      <c r="BQ838" t="s">
        <v>74</v>
      </c>
      <c r="BR838" t="s">
        <v>103</v>
      </c>
      <c r="BS838" t="s">
        <v>15145</v>
      </c>
      <c r="BT838" t="str">
        <f>HYPERLINK("https%3A%2F%2Fwww.webofscience.com%2Fwos%2Fwoscc%2Ffull-record%2FWOS:000288235000006","View Full Record in Web of Science")</f>
        <v>View Full Record in Web of Science</v>
      </c>
    </row>
    <row r="839" spans="1:72" x14ac:dyDescent="0.15">
      <c r="A839" t="s">
        <v>72</v>
      </c>
      <c r="B839" t="s">
        <v>15146</v>
      </c>
      <c r="C839" t="s">
        <v>74</v>
      </c>
      <c r="D839" t="s">
        <v>74</v>
      </c>
      <c r="E839" t="s">
        <v>74</v>
      </c>
      <c r="F839" t="s">
        <v>15147</v>
      </c>
      <c r="G839" t="s">
        <v>74</v>
      </c>
      <c r="H839" t="s">
        <v>74</v>
      </c>
      <c r="I839" t="s">
        <v>15148</v>
      </c>
      <c r="J839" t="s">
        <v>108</v>
      </c>
      <c r="K839" t="s">
        <v>74</v>
      </c>
      <c r="L839" t="s">
        <v>74</v>
      </c>
      <c r="M839" t="s">
        <v>78</v>
      </c>
      <c r="N839" t="s">
        <v>79</v>
      </c>
      <c r="O839" t="s">
        <v>74</v>
      </c>
      <c r="P839" t="s">
        <v>74</v>
      </c>
      <c r="Q839" t="s">
        <v>74</v>
      </c>
      <c r="R839" t="s">
        <v>74</v>
      </c>
      <c r="S839" t="s">
        <v>74</v>
      </c>
      <c r="T839" t="s">
        <v>74</v>
      </c>
      <c r="U839" t="s">
        <v>15149</v>
      </c>
      <c r="V839" t="s">
        <v>15150</v>
      </c>
      <c r="W839" t="s">
        <v>15151</v>
      </c>
      <c r="X839" t="s">
        <v>15152</v>
      </c>
      <c r="Y839" t="s">
        <v>15153</v>
      </c>
      <c r="Z839" t="s">
        <v>9293</v>
      </c>
      <c r="AA839" t="s">
        <v>15154</v>
      </c>
      <c r="AB839" t="s">
        <v>15155</v>
      </c>
      <c r="AC839" t="s">
        <v>15156</v>
      </c>
      <c r="AD839" t="s">
        <v>15157</v>
      </c>
      <c r="AE839" t="s">
        <v>15158</v>
      </c>
      <c r="AF839" t="s">
        <v>74</v>
      </c>
      <c r="AG839">
        <v>30</v>
      </c>
      <c r="AH839">
        <v>954</v>
      </c>
      <c r="AI839">
        <v>1090</v>
      </c>
      <c r="AJ839">
        <v>9</v>
      </c>
      <c r="AK839">
        <v>378</v>
      </c>
      <c r="AL839" t="s">
        <v>120</v>
      </c>
      <c r="AM839" t="s">
        <v>121</v>
      </c>
      <c r="AN839" t="s">
        <v>122</v>
      </c>
      <c r="AO839" t="s">
        <v>123</v>
      </c>
      <c r="AP839" t="s">
        <v>124</v>
      </c>
      <c r="AQ839" t="s">
        <v>74</v>
      </c>
      <c r="AR839" t="s">
        <v>125</v>
      </c>
      <c r="AS839" t="s">
        <v>126</v>
      </c>
      <c r="AT839" t="s">
        <v>15159</v>
      </c>
      <c r="AU839">
        <v>2011</v>
      </c>
      <c r="AV839">
        <v>38</v>
      </c>
      <c r="AW839" t="s">
        <v>74</v>
      </c>
      <c r="AX839" t="s">
        <v>74</v>
      </c>
      <c r="AY839" t="s">
        <v>74</v>
      </c>
      <c r="AZ839" t="s">
        <v>74</v>
      </c>
      <c r="BA839" t="s">
        <v>74</v>
      </c>
      <c r="BB839" t="s">
        <v>74</v>
      </c>
      <c r="BC839" t="s">
        <v>74</v>
      </c>
      <c r="BD839" t="s">
        <v>15160</v>
      </c>
      <c r="BE839" t="s">
        <v>15161</v>
      </c>
      <c r="BF839" t="str">
        <f>HYPERLINK("http://dx.doi.org/10.1029/2011GL046583","http://dx.doi.org/10.1029/2011GL046583")</f>
        <v>http://dx.doi.org/10.1029/2011GL046583</v>
      </c>
      <c r="BG839" t="s">
        <v>74</v>
      </c>
      <c r="BH839" t="s">
        <v>74</v>
      </c>
      <c r="BI839">
        <v>5</v>
      </c>
      <c r="BJ839" t="s">
        <v>130</v>
      </c>
      <c r="BK839" t="s">
        <v>100</v>
      </c>
      <c r="BL839" t="s">
        <v>131</v>
      </c>
      <c r="BM839" t="s">
        <v>15162</v>
      </c>
      <c r="BN839" t="s">
        <v>74</v>
      </c>
      <c r="BO839" t="s">
        <v>702</v>
      </c>
      <c r="BP839" t="s">
        <v>74</v>
      </c>
      <c r="BQ839" t="s">
        <v>74</v>
      </c>
      <c r="BR839" t="s">
        <v>103</v>
      </c>
      <c r="BS839" t="s">
        <v>15163</v>
      </c>
      <c r="BT839" t="str">
        <f>HYPERLINK("https%3A%2F%2Fwww.webofscience.com%2Fwos%2Fwoscc%2Ffull-record%2FWOS:000288087000005","View Full Record in Web of Science")</f>
        <v>View Full Record in Web of Science</v>
      </c>
    </row>
    <row r="840" spans="1:72" x14ac:dyDescent="0.15">
      <c r="A840" t="s">
        <v>72</v>
      </c>
      <c r="B840" t="s">
        <v>15164</v>
      </c>
      <c r="C840" t="s">
        <v>74</v>
      </c>
      <c r="D840" t="s">
        <v>74</v>
      </c>
      <c r="E840" t="s">
        <v>74</v>
      </c>
      <c r="F840" t="s">
        <v>15165</v>
      </c>
      <c r="G840" t="s">
        <v>74</v>
      </c>
      <c r="H840" t="s">
        <v>74</v>
      </c>
      <c r="I840" t="s">
        <v>15166</v>
      </c>
      <c r="J840" t="s">
        <v>470</v>
      </c>
      <c r="K840" t="s">
        <v>74</v>
      </c>
      <c r="L840" t="s">
        <v>74</v>
      </c>
      <c r="M840" t="s">
        <v>78</v>
      </c>
      <c r="N840" t="s">
        <v>79</v>
      </c>
      <c r="O840" t="s">
        <v>74</v>
      </c>
      <c r="P840" t="s">
        <v>74</v>
      </c>
      <c r="Q840" t="s">
        <v>74</v>
      </c>
      <c r="R840" t="s">
        <v>74</v>
      </c>
      <c r="S840" t="s">
        <v>74</v>
      </c>
      <c r="T840" t="s">
        <v>74</v>
      </c>
      <c r="U840" t="s">
        <v>15167</v>
      </c>
      <c r="V840" t="s">
        <v>15168</v>
      </c>
      <c r="W840" t="s">
        <v>15169</v>
      </c>
      <c r="X840" t="s">
        <v>15170</v>
      </c>
      <c r="Y840" t="s">
        <v>15171</v>
      </c>
      <c r="Z840" t="s">
        <v>15172</v>
      </c>
      <c r="AA840" t="s">
        <v>15173</v>
      </c>
      <c r="AB840" t="s">
        <v>15174</v>
      </c>
      <c r="AC840" t="s">
        <v>15175</v>
      </c>
      <c r="AD840" t="s">
        <v>15176</v>
      </c>
      <c r="AE840" t="s">
        <v>15177</v>
      </c>
      <c r="AF840" t="s">
        <v>74</v>
      </c>
      <c r="AG840">
        <v>77</v>
      </c>
      <c r="AH840">
        <v>26</v>
      </c>
      <c r="AI840">
        <v>28</v>
      </c>
      <c r="AJ840">
        <v>0</v>
      </c>
      <c r="AK840">
        <v>18</v>
      </c>
      <c r="AL840" t="s">
        <v>120</v>
      </c>
      <c r="AM840" t="s">
        <v>121</v>
      </c>
      <c r="AN840" t="s">
        <v>122</v>
      </c>
      <c r="AO840" t="s">
        <v>482</v>
      </c>
      <c r="AP840" t="s">
        <v>74</v>
      </c>
      <c r="AQ840" t="s">
        <v>74</v>
      </c>
      <c r="AR840" t="s">
        <v>470</v>
      </c>
      <c r="AS840" t="s">
        <v>484</v>
      </c>
      <c r="AT840" t="s">
        <v>15159</v>
      </c>
      <c r="AU840">
        <v>2011</v>
      </c>
      <c r="AV840">
        <v>30</v>
      </c>
      <c r="AW840" t="s">
        <v>74</v>
      </c>
      <c r="AX840" t="s">
        <v>74</v>
      </c>
      <c r="AY840" t="s">
        <v>74</v>
      </c>
      <c r="AZ840" t="s">
        <v>74</v>
      </c>
      <c r="BA840" t="s">
        <v>74</v>
      </c>
      <c r="BB840" t="s">
        <v>74</v>
      </c>
      <c r="BC840" t="s">
        <v>74</v>
      </c>
      <c r="BD840" t="s">
        <v>15178</v>
      </c>
      <c r="BE840" t="s">
        <v>15179</v>
      </c>
      <c r="BF840" t="str">
        <f>HYPERLINK("http://dx.doi.org/10.1029/2010TC002714","http://dx.doi.org/10.1029/2010TC002714")</f>
        <v>http://dx.doi.org/10.1029/2010TC002714</v>
      </c>
      <c r="BG840" t="s">
        <v>74</v>
      </c>
      <c r="BH840" t="s">
        <v>74</v>
      </c>
      <c r="BI840">
        <v>21</v>
      </c>
      <c r="BJ840" t="s">
        <v>488</v>
      </c>
      <c r="BK840" t="s">
        <v>100</v>
      </c>
      <c r="BL840" t="s">
        <v>488</v>
      </c>
      <c r="BM840" t="s">
        <v>15180</v>
      </c>
      <c r="BN840" t="s">
        <v>74</v>
      </c>
      <c r="BO840" t="s">
        <v>152</v>
      </c>
      <c r="BP840" t="s">
        <v>74</v>
      </c>
      <c r="BQ840" t="s">
        <v>74</v>
      </c>
      <c r="BR840" t="s">
        <v>103</v>
      </c>
      <c r="BS840" t="s">
        <v>15181</v>
      </c>
      <c r="BT840" t="str">
        <f>HYPERLINK("https%3A%2F%2Fwww.webofscience.com%2Fwos%2Fwoscc%2Ffull-record%2FWOS:000288083400001","View Full Record in Web of Science")</f>
        <v>View Full Record in Web of Science</v>
      </c>
    </row>
    <row r="841" spans="1:72" x14ac:dyDescent="0.15">
      <c r="A841" t="s">
        <v>72</v>
      </c>
      <c r="B841" t="s">
        <v>15182</v>
      </c>
      <c r="C841" t="s">
        <v>74</v>
      </c>
      <c r="D841" t="s">
        <v>74</v>
      </c>
      <c r="E841" t="s">
        <v>74</v>
      </c>
      <c r="F841" t="s">
        <v>15183</v>
      </c>
      <c r="G841" t="s">
        <v>74</v>
      </c>
      <c r="H841" t="s">
        <v>74</v>
      </c>
      <c r="I841" t="s">
        <v>15184</v>
      </c>
      <c r="J841" t="s">
        <v>230</v>
      </c>
      <c r="K841" t="s">
        <v>74</v>
      </c>
      <c r="L841" t="s">
        <v>74</v>
      </c>
      <c r="M841" t="s">
        <v>78</v>
      </c>
      <c r="N841" t="s">
        <v>79</v>
      </c>
      <c r="O841" t="s">
        <v>74</v>
      </c>
      <c r="P841" t="s">
        <v>74</v>
      </c>
      <c r="Q841" t="s">
        <v>74</v>
      </c>
      <c r="R841" t="s">
        <v>74</v>
      </c>
      <c r="S841" t="s">
        <v>74</v>
      </c>
      <c r="T841" t="s">
        <v>74</v>
      </c>
      <c r="U841" t="s">
        <v>15185</v>
      </c>
      <c r="V841" t="s">
        <v>15186</v>
      </c>
      <c r="W841" t="s">
        <v>15187</v>
      </c>
      <c r="X841" t="s">
        <v>15188</v>
      </c>
      <c r="Y841" t="s">
        <v>15189</v>
      </c>
      <c r="Z841" t="s">
        <v>15190</v>
      </c>
      <c r="AA841" t="s">
        <v>15191</v>
      </c>
      <c r="AB841" t="s">
        <v>15192</v>
      </c>
      <c r="AC841" t="s">
        <v>15193</v>
      </c>
      <c r="AD841" t="s">
        <v>15194</v>
      </c>
      <c r="AE841" t="s">
        <v>15195</v>
      </c>
      <c r="AF841" t="s">
        <v>74</v>
      </c>
      <c r="AG841">
        <v>72</v>
      </c>
      <c r="AH841">
        <v>133</v>
      </c>
      <c r="AI841">
        <v>140</v>
      </c>
      <c r="AJ841">
        <v>2</v>
      </c>
      <c r="AK841">
        <v>94</v>
      </c>
      <c r="AL841" t="s">
        <v>120</v>
      </c>
      <c r="AM841" t="s">
        <v>121</v>
      </c>
      <c r="AN841" t="s">
        <v>122</v>
      </c>
      <c r="AO841" t="s">
        <v>242</v>
      </c>
      <c r="AP841" t="s">
        <v>243</v>
      </c>
      <c r="AQ841" t="s">
        <v>74</v>
      </c>
      <c r="AR841" t="s">
        <v>244</v>
      </c>
      <c r="AS841" t="s">
        <v>245</v>
      </c>
      <c r="AT841" t="s">
        <v>15196</v>
      </c>
      <c r="AU841">
        <v>2011</v>
      </c>
      <c r="AV841">
        <v>116</v>
      </c>
      <c r="AW841" t="s">
        <v>74</v>
      </c>
      <c r="AX841" t="s">
        <v>74</v>
      </c>
      <c r="AY841" t="s">
        <v>74</v>
      </c>
      <c r="AZ841" t="s">
        <v>74</v>
      </c>
      <c r="BA841" t="s">
        <v>74</v>
      </c>
      <c r="BB841" t="s">
        <v>74</v>
      </c>
      <c r="BC841" t="s">
        <v>74</v>
      </c>
      <c r="BD841" t="s">
        <v>15197</v>
      </c>
      <c r="BE841" t="s">
        <v>15198</v>
      </c>
      <c r="BF841" t="str">
        <f>HYPERLINK("http://dx.doi.org/10.1029/2010JD014995","http://dx.doi.org/10.1029/2010JD014995")</f>
        <v>http://dx.doi.org/10.1029/2010JD014995</v>
      </c>
      <c r="BG841" t="s">
        <v>74</v>
      </c>
      <c r="BH841" t="s">
        <v>74</v>
      </c>
      <c r="BI841">
        <v>21</v>
      </c>
      <c r="BJ841" t="s">
        <v>248</v>
      </c>
      <c r="BK841" t="s">
        <v>100</v>
      </c>
      <c r="BL841" t="s">
        <v>248</v>
      </c>
      <c r="BM841" t="s">
        <v>15199</v>
      </c>
      <c r="BN841" t="s">
        <v>74</v>
      </c>
      <c r="BO841" t="s">
        <v>15200</v>
      </c>
      <c r="BP841" t="s">
        <v>74</v>
      </c>
      <c r="BQ841" t="s">
        <v>74</v>
      </c>
      <c r="BR841" t="s">
        <v>103</v>
      </c>
      <c r="BS841" t="s">
        <v>15201</v>
      </c>
      <c r="BT841" t="str">
        <f>HYPERLINK("https%3A%2F%2Fwww.webofscience.com%2Fwos%2Fwoscc%2Ffull-record%2FWOS:000288087600001","View Full Record in Web of Science")</f>
        <v>View Full Record in Web of Science</v>
      </c>
    </row>
    <row r="842" spans="1:72" x14ac:dyDescent="0.15">
      <c r="A842" t="s">
        <v>72</v>
      </c>
      <c r="B842" t="s">
        <v>15202</v>
      </c>
      <c r="C842" t="s">
        <v>74</v>
      </c>
      <c r="D842" t="s">
        <v>74</v>
      </c>
      <c r="E842" t="s">
        <v>74</v>
      </c>
      <c r="F842" t="s">
        <v>15203</v>
      </c>
      <c r="G842" t="s">
        <v>74</v>
      </c>
      <c r="H842" t="s">
        <v>74</v>
      </c>
      <c r="I842" t="s">
        <v>15204</v>
      </c>
      <c r="J842" t="s">
        <v>6981</v>
      </c>
      <c r="K842" t="s">
        <v>74</v>
      </c>
      <c r="L842" t="s">
        <v>74</v>
      </c>
      <c r="M842" t="s">
        <v>78</v>
      </c>
      <c r="N842" t="s">
        <v>2002</v>
      </c>
      <c r="O842" t="s">
        <v>74</v>
      </c>
      <c r="P842" t="s">
        <v>74</v>
      </c>
      <c r="Q842" t="s">
        <v>74</v>
      </c>
      <c r="R842" t="s">
        <v>74</v>
      </c>
      <c r="S842" t="s">
        <v>74</v>
      </c>
      <c r="T842" t="s">
        <v>74</v>
      </c>
      <c r="U842" t="s">
        <v>15205</v>
      </c>
      <c r="V842" t="s">
        <v>74</v>
      </c>
      <c r="W842" t="s">
        <v>15206</v>
      </c>
      <c r="X842" t="s">
        <v>15207</v>
      </c>
      <c r="Y842" t="s">
        <v>15208</v>
      </c>
      <c r="Z842" t="s">
        <v>15209</v>
      </c>
      <c r="AA842" t="s">
        <v>15210</v>
      </c>
      <c r="AB842" t="s">
        <v>15211</v>
      </c>
      <c r="AC842" t="s">
        <v>74</v>
      </c>
      <c r="AD842" t="s">
        <v>74</v>
      </c>
      <c r="AE842" t="s">
        <v>74</v>
      </c>
      <c r="AF842" t="s">
        <v>74</v>
      </c>
      <c r="AG842">
        <v>8</v>
      </c>
      <c r="AH842">
        <v>0</v>
      </c>
      <c r="AI842">
        <v>0</v>
      </c>
      <c r="AJ842">
        <v>0</v>
      </c>
      <c r="AK842">
        <v>8</v>
      </c>
      <c r="AL842" t="s">
        <v>2577</v>
      </c>
      <c r="AM842" t="s">
        <v>1490</v>
      </c>
      <c r="AN842" t="s">
        <v>6989</v>
      </c>
      <c r="AO842" t="s">
        <v>6990</v>
      </c>
      <c r="AP842" t="s">
        <v>74</v>
      </c>
      <c r="AQ842" t="s">
        <v>74</v>
      </c>
      <c r="AR842" t="s">
        <v>6981</v>
      </c>
      <c r="AS842" t="s">
        <v>6991</v>
      </c>
      <c r="AT842" t="s">
        <v>15196</v>
      </c>
      <c r="AU842">
        <v>2011</v>
      </c>
      <c r="AV842">
        <v>471</v>
      </c>
      <c r="AW842">
        <v>7336</v>
      </c>
      <c r="AX842" t="s">
        <v>74</v>
      </c>
      <c r="AY842" t="s">
        <v>74</v>
      </c>
      <c r="AZ842" t="s">
        <v>74</v>
      </c>
      <c r="BA842" t="s">
        <v>74</v>
      </c>
      <c r="BB842">
        <v>45</v>
      </c>
      <c r="BC842">
        <v>46</v>
      </c>
      <c r="BD842" t="s">
        <v>74</v>
      </c>
      <c r="BE842" t="s">
        <v>15212</v>
      </c>
      <c r="BF842" t="str">
        <f>HYPERLINK("http://dx.doi.org/10.1038/471045a","http://dx.doi.org/10.1038/471045a")</f>
        <v>http://dx.doi.org/10.1038/471045a</v>
      </c>
      <c r="BG842" t="s">
        <v>74</v>
      </c>
      <c r="BH842" t="s">
        <v>74</v>
      </c>
      <c r="BI842">
        <v>2</v>
      </c>
      <c r="BJ842" t="s">
        <v>177</v>
      </c>
      <c r="BK842" t="s">
        <v>867</v>
      </c>
      <c r="BL842" t="s">
        <v>178</v>
      </c>
      <c r="BM842" t="s">
        <v>15213</v>
      </c>
      <c r="BN842">
        <v>21368818</v>
      </c>
      <c r="BO842" t="s">
        <v>152</v>
      </c>
      <c r="BP842" t="s">
        <v>74</v>
      </c>
      <c r="BQ842" t="s">
        <v>74</v>
      </c>
      <c r="BR842" t="s">
        <v>103</v>
      </c>
      <c r="BS842" t="s">
        <v>15214</v>
      </c>
      <c r="BT842" t="str">
        <f>HYPERLINK("https%3A%2F%2Fwww.webofscience.com%2Fwos%2Fwoscc%2Ffull-record%2FWOS:000287924100028","View Full Record in Web of Science")</f>
        <v>View Full Record in Web of Science</v>
      </c>
    </row>
    <row r="843" spans="1:72" x14ac:dyDescent="0.15">
      <c r="A843" t="s">
        <v>72</v>
      </c>
      <c r="B843" t="s">
        <v>15215</v>
      </c>
      <c r="C843" t="s">
        <v>74</v>
      </c>
      <c r="D843" t="s">
        <v>74</v>
      </c>
      <c r="E843" t="s">
        <v>74</v>
      </c>
      <c r="F843" t="s">
        <v>15216</v>
      </c>
      <c r="G843" t="s">
        <v>74</v>
      </c>
      <c r="H843" t="s">
        <v>74</v>
      </c>
      <c r="I843" t="s">
        <v>15217</v>
      </c>
      <c r="J843" t="s">
        <v>6981</v>
      </c>
      <c r="K843" t="s">
        <v>74</v>
      </c>
      <c r="L843" t="s">
        <v>74</v>
      </c>
      <c r="M843" t="s">
        <v>78</v>
      </c>
      <c r="N843" t="s">
        <v>79</v>
      </c>
      <c r="O843" t="s">
        <v>74</v>
      </c>
      <c r="P843" t="s">
        <v>74</v>
      </c>
      <c r="Q843" t="s">
        <v>74</v>
      </c>
      <c r="R843" t="s">
        <v>74</v>
      </c>
      <c r="S843" t="s">
        <v>74</v>
      </c>
      <c r="T843" t="s">
        <v>74</v>
      </c>
      <c r="U843" t="s">
        <v>15218</v>
      </c>
      <c r="V843" t="s">
        <v>15219</v>
      </c>
      <c r="W843" t="s">
        <v>15220</v>
      </c>
      <c r="X843" t="s">
        <v>5868</v>
      </c>
      <c r="Y843" t="s">
        <v>15221</v>
      </c>
      <c r="Z843" t="s">
        <v>15222</v>
      </c>
      <c r="AA843" t="s">
        <v>15223</v>
      </c>
      <c r="AB843" t="s">
        <v>15224</v>
      </c>
      <c r="AC843" t="s">
        <v>74</v>
      </c>
      <c r="AD843" t="s">
        <v>74</v>
      </c>
      <c r="AE843" t="s">
        <v>74</v>
      </c>
      <c r="AF843" t="s">
        <v>74</v>
      </c>
      <c r="AG843">
        <v>32</v>
      </c>
      <c r="AH843">
        <v>62</v>
      </c>
      <c r="AI843">
        <v>68</v>
      </c>
      <c r="AJ843">
        <v>0</v>
      </c>
      <c r="AK843">
        <v>35</v>
      </c>
      <c r="AL843" t="s">
        <v>2577</v>
      </c>
      <c r="AM843" t="s">
        <v>1490</v>
      </c>
      <c r="AN843" t="s">
        <v>6989</v>
      </c>
      <c r="AO843" t="s">
        <v>6990</v>
      </c>
      <c r="AP843" t="s">
        <v>74</v>
      </c>
      <c r="AQ843" t="s">
        <v>74</v>
      </c>
      <c r="AR843" t="s">
        <v>6981</v>
      </c>
      <c r="AS843" t="s">
        <v>6991</v>
      </c>
      <c r="AT843" t="s">
        <v>15196</v>
      </c>
      <c r="AU843">
        <v>2011</v>
      </c>
      <c r="AV843">
        <v>471</v>
      </c>
      <c r="AW843">
        <v>7336</v>
      </c>
      <c r="AX843" t="s">
        <v>74</v>
      </c>
      <c r="AY843" t="s">
        <v>74</v>
      </c>
      <c r="AZ843" t="s">
        <v>74</v>
      </c>
      <c r="BA843" t="s">
        <v>74</v>
      </c>
      <c r="BB843">
        <v>91</v>
      </c>
      <c r="BC843">
        <v>94</v>
      </c>
      <c r="BD843" t="s">
        <v>74</v>
      </c>
      <c r="BE843" t="s">
        <v>15225</v>
      </c>
      <c r="BF843" t="str">
        <f>HYPERLINK("http://dx.doi.org/10.1038/nature09825","http://dx.doi.org/10.1038/nature09825")</f>
        <v>http://dx.doi.org/10.1038/nature09825</v>
      </c>
      <c r="BG843" t="s">
        <v>74</v>
      </c>
      <c r="BH843" t="s">
        <v>74</v>
      </c>
      <c r="BI843">
        <v>4</v>
      </c>
      <c r="BJ843" t="s">
        <v>177</v>
      </c>
      <c r="BK843" t="s">
        <v>100</v>
      </c>
      <c r="BL843" t="s">
        <v>178</v>
      </c>
      <c r="BM843" t="s">
        <v>15213</v>
      </c>
      <c r="BN843">
        <v>21368830</v>
      </c>
      <c r="BO843" t="s">
        <v>74</v>
      </c>
      <c r="BP843" t="s">
        <v>74</v>
      </c>
      <c r="BQ843" t="s">
        <v>74</v>
      </c>
      <c r="BR843" t="s">
        <v>103</v>
      </c>
      <c r="BS843" t="s">
        <v>15226</v>
      </c>
      <c r="BT843" t="str">
        <f>HYPERLINK("https%3A%2F%2Fwww.webofscience.com%2Fwos%2Fwoscc%2Ffull-record%2FWOS:000287924100040","View Full Record in Web of Science")</f>
        <v>View Full Record in Web of Science</v>
      </c>
    </row>
    <row r="844" spans="1:72" x14ac:dyDescent="0.15">
      <c r="A844" t="s">
        <v>72</v>
      </c>
      <c r="B844" t="s">
        <v>15227</v>
      </c>
      <c r="C844" t="s">
        <v>74</v>
      </c>
      <c r="D844" t="s">
        <v>74</v>
      </c>
      <c r="E844" t="s">
        <v>74</v>
      </c>
      <c r="F844" t="s">
        <v>15228</v>
      </c>
      <c r="G844" t="s">
        <v>74</v>
      </c>
      <c r="H844" t="s">
        <v>74</v>
      </c>
      <c r="I844" t="s">
        <v>15229</v>
      </c>
      <c r="J844" t="s">
        <v>157</v>
      </c>
      <c r="K844" t="s">
        <v>74</v>
      </c>
      <c r="L844" t="s">
        <v>74</v>
      </c>
      <c r="M844" t="s">
        <v>78</v>
      </c>
      <c r="N844" t="s">
        <v>79</v>
      </c>
      <c r="O844" t="s">
        <v>74</v>
      </c>
      <c r="P844" t="s">
        <v>74</v>
      </c>
      <c r="Q844" t="s">
        <v>74</v>
      </c>
      <c r="R844" t="s">
        <v>74</v>
      </c>
      <c r="S844" t="s">
        <v>74</v>
      </c>
      <c r="T844" t="s">
        <v>74</v>
      </c>
      <c r="U844" t="s">
        <v>15230</v>
      </c>
      <c r="V844" t="s">
        <v>15231</v>
      </c>
      <c r="W844" t="s">
        <v>15232</v>
      </c>
      <c r="X844" t="s">
        <v>15233</v>
      </c>
      <c r="Y844" t="s">
        <v>15234</v>
      </c>
      <c r="Z844" t="s">
        <v>15235</v>
      </c>
      <c r="AA844" t="s">
        <v>15236</v>
      </c>
      <c r="AB844" t="s">
        <v>15237</v>
      </c>
      <c r="AC844" t="s">
        <v>15238</v>
      </c>
      <c r="AD844" t="s">
        <v>15239</v>
      </c>
      <c r="AE844" t="s">
        <v>15240</v>
      </c>
      <c r="AF844" t="s">
        <v>74</v>
      </c>
      <c r="AG844">
        <v>34</v>
      </c>
      <c r="AH844">
        <v>55</v>
      </c>
      <c r="AI844">
        <v>60</v>
      </c>
      <c r="AJ844">
        <v>0</v>
      </c>
      <c r="AK844">
        <v>33</v>
      </c>
      <c r="AL844" t="s">
        <v>169</v>
      </c>
      <c r="AM844" t="s">
        <v>170</v>
      </c>
      <c r="AN844" t="s">
        <v>171</v>
      </c>
      <c r="AO844" t="s">
        <v>172</v>
      </c>
      <c r="AP844" t="s">
        <v>74</v>
      </c>
      <c r="AQ844" t="s">
        <v>74</v>
      </c>
      <c r="AR844" t="s">
        <v>157</v>
      </c>
      <c r="AS844" t="s">
        <v>173</v>
      </c>
      <c r="AT844" t="s">
        <v>15241</v>
      </c>
      <c r="AU844">
        <v>2011</v>
      </c>
      <c r="AV844">
        <v>6</v>
      </c>
      <c r="AW844">
        <v>3</v>
      </c>
      <c r="AX844" t="s">
        <v>74</v>
      </c>
      <c r="AY844" t="s">
        <v>74</v>
      </c>
      <c r="AZ844" t="s">
        <v>74</v>
      </c>
      <c r="BA844" t="s">
        <v>74</v>
      </c>
      <c r="BB844" t="s">
        <v>74</v>
      </c>
      <c r="BC844" t="s">
        <v>74</v>
      </c>
      <c r="BD844" t="s">
        <v>15242</v>
      </c>
      <c r="BE844" t="s">
        <v>15243</v>
      </c>
      <c r="BF844" t="str">
        <f>HYPERLINK("http://dx.doi.org/10.1371/journal.pone.0017467","http://dx.doi.org/10.1371/journal.pone.0017467")</f>
        <v>http://dx.doi.org/10.1371/journal.pone.0017467</v>
      </c>
      <c r="BG844" t="s">
        <v>74</v>
      </c>
      <c r="BH844" t="s">
        <v>74</v>
      </c>
      <c r="BI844">
        <v>7</v>
      </c>
      <c r="BJ844" t="s">
        <v>177</v>
      </c>
      <c r="BK844" t="s">
        <v>100</v>
      </c>
      <c r="BL844" t="s">
        <v>178</v>
      </c>
      <c r="BM844" t="s">
        <v>15244</v>
      </c>
      <c r="BN844">
        <v>21399696</v>
      </c>
      <c r="BO844" t="s">
        <v>3334</v>
      </c>
      <c r="BP844" t="s">
        <v>74</v>
      </c>
      <c r="BQ844" t="s">
        <v>74</v>
      </c>
      <c r="BR844" t="s">
        <v>103</v>
      </c>
      <c r="BS844" t="s">
        <v>15245</v>
      </c>
      <c r="BT844" t="str">
        <f>HYPERLINK("https%3A%2F%2Fwww.webofscience.com%2Fwos%2Fwoscc%2Ffull-record%2FWOS:000287933300025","View Full Record in Web of Science")</f>
        <v>View Full Record in Web of Science</v>
      </c>
    </row>
    <row r="845" spans="1:72" x14ac:dyDescent="0.15">
      <c r="A845" t="s">
        <v>72</v>
      </c>
      <c r="B845" t="s">
        <v>15246</v>
      </c>
      <c r="C845" t="s">
        <v>74</v>
      </c>
      <c r="D845" t="s">
        <v>74</v>
      </c>
      <c r="E845" t="s">
        <v>74</v>
      </c>
      <c r="F845" t="s">
        <v>15247</v>
      </c>
      <c r="G845" t="s">
        <v>74</v>
      </c>
      <c r="H845" t="s">
        <v>74</v>
      </c>
      <c r="I845" t="s">
        <v>15248</v>
      </c>
      <c r="J845" t="s">
        <v>3214</v>
      </c>
      <c r="K845" t="s">
        <v>74</v>
      </c>
      <c r="L845" t="s">
        <v>74</v>
      </c>
      <c r="M845" t="s">
        <v>78</v>
      </c>
      <c r="N845" t="s">
        <v>79</v>
      </c>
      <c r="O845" t="s">
        <v>74</v>
      </c>
      <c r="P845" t="s">
        <v>74</v>
      </c>
      <c r="Q845" t="s">
        <v>74</v>
      </c>
      <c r="R845" t="s">
        <v>74</v>
      </c>
      <c r="S845" t="s">
        <v>74</v>
      </c>
      <c r="T845" t="s">
        <v>15249</v>
      </c>
      <c r="U845" t="s">
        <v>74</v>
      </c>
      <c r="V845" t="s">
        <v>15250</v>
      </c>
      <c r="W845" t="s">
        <v>15251</v>
      </c>
      <c r="X845" t="s">
        <v>15252</v>
      </c>
      <c r="Y845" t="s">
        <v>15253</v>
      </c>
      <c r="Z845" t="s">
        <v>15254</v>
      </c>
      <c r="AA845" t="s">
        <v>15255</v>
      </c>
      <c r="AB845" t="s">
        <v>15256</v>
      </c>
      <c r="AC845" t="s">
        <v>15257</v>
      </c>
      <c r="AD845" t="s">
        <v>15258</v>
      </c>
      <c r="AE845" t="s">
        <v>15259</v>
      </c>
      <c r="AF845" t="s">
        <v>74</v>
      </c>
      <c r="AG845">
        <v>48</v>
      </c>
      <c r="AH845">
        <v>47</v>
      </c>
      <c r="AI845">
        <v>47</v>
      </c>
      <c r="AJ845">
        <v>0</v>
      </c>
      <c r="AK845">
        <v>4</v>
      </c>
      <c r="AL845" t="s">
        <v>3225</v>
      </c>
      <c r="AM845" t="s">
        <v>3226</v>
      </c>
      <c r="AN845" t="s">
        <v>3227</v>
      </c>
      <c r="AO845" t="s">
        <v>3228</v>
      </c>
      <c r="AP845" t="s">
        <v>3229</v>
      </c>
      <c r="AQ845" t="s">
        <v>74</v>
      </c>
      <c r="AR845" t="s">
        <v>3214</v>
      </c>
      <c r="AS845" t="s">
        <v>3230</v>
      </c>
      <c r="AT845" t="s">
        <v>15241</v>
      </c>
      <c r="AU845">
        <v>2011</v>
      </c>
      <c r="AV845" t="s">
        <v>74</v>
      </c>
      <c r="AW845">
        <v>2781</v>
      </c>
      <c r="AX845" t="s">
        <v>74</v>
      </c>
      <c r="AY845" t="s">
        <v>74</v>
      </c>
      <c r="AZ845" t="s">
        <v>74</v>
      </c>
      <c r="BA845" t="s">
        <v>74</v>
      </c>
      <c r="BB845">
        <v>29</v>
      </c>
      <c r="BC845">
        <v>39</v>
      </c>
      <c r="BD845" t="s">
        <v>74</v>
      </c>
      <c r="BE845" t="s">
        <v>15260</v>
      </c>
      <c r="BF845" t="str">
        <f>HYPERLINK("http://dx.doi.org/10.11646/zootaxa.2781.1.2","http://dx.doi.org/10.11646/zootaxa.2781.1.2")</f>
        <v>http://dx.doi.org/10.11646/zootaxa.2781.1.2</v>
      </c>
      <c r="BG845" t="s">
        <v>74</v>
      </c>
      <c r="BH845" t="s">
        <v>74</v>
      </c>
      <c r="BI845">
        <v>11</v>
      </c>
      <c r="BJ845" t="s">
        <v>3232</v>
      </c>
      <c r="BK845" t="s">
        <v>100</v>
      </c>
      <c r="BL845" t="s">
        <v>3232</v>
      </c>
      <c r="BM845" t="s">
        <v>15261</v>
      </c>
      <c r="BN845" t="s">
        <v>74</v>
      </c>
      <c r="BO845" t="s">
        <v>74</v>
      </c>
      <c r="BP845" t="s">
        <v>74</v>
      </c>
      <c r="BQ845" t="s">
        <v>74</v>
      </c>
      <c r="BR845" t="s">
        <v>103</v>
      </c>
      <c r="BS845" t="s">
        <v>15262</v>
      </c>
      <c r="BT845" t="str">
        <f>HYPERLINK("https%3A%2F%2Fwww.webofscience.com%2Fwos%2Fwoscc%2Ffull-record%2FWOS:000287862600002","View Full Record in Web of Science")</f>
        <v>View Full Record in Web of Science</v>
      </c>
    </row>
    <row r="846" spans="1:72" x14ac:dyDescent="0.15">
      <c r="A846" t="s">
        <v>72</v>
      </c>
      <c r="B846" t="s">
        <v>15263</v>
      </c>
      <c r="C846" t="s">
        <v>74</v>
      </c>
      <c r="D846" t="s">
        <v>74</v>
      </c>
      <c r="E846" t="s">
        <v>74</v>
      </c>
      <c r="F846" t="s">
        <v>15264</v>
      </c>
      <c r="G846" t="s">
        <v>74</v>
      </c>
      <c r="H846" t="s">
        <v>74</v>
      </c>
      <c r="I846" t="s">
        <v>15265</v>
      </c>
      <c r="J846" t="s">
        <v>15266</v>
      </c>
      <c r="K846" t="s">
        <v>74</v>
      </c>
      <c r="L846" t="s">
        <v>74</v>
      </c>
      <c r="M846" t="s">
        <v>78</v>
      </c>
      <c r="N846" t="s">
        <v>79</v>
      </c>
      <c r="O846" t="s">
        <v>74</v>
      </c>
      <c r="P846" t="s">
        <v>74</v>
      </c>
      <c r="Q846" t="s">
        <v>74</v>
      </c>
      <c r="R846" t="s">
        <v>74</v>
      </c>
      <c r="S846" t="s">
        <v>74</v>
      </c>
      <c r="T846" t="s">
        <v>15267</v>
      </c>
      <c r="U846" t="s">
        <v>15268</v>
      </c>
      <c r="V846" t="s">
        <v>15269</v>
      </c>
      <c r="W846" t="s">
        <v>15270</v>
      </c>
      <c r="X846" t="s">
        <v>15271</v>
      </c>
      <c r="Y846" t="s">
        <v>15272</v>
      </c>
      <c r="Z846" t="s">
        <v>15273</v>
      </c>
      <c r="AA846" t="s">
        <v>15274</v>
      </c>
      <c r="AB846" t="s">
        <v>15275</v>
      </c>
      <c r="AC846" t="s">
        <v>15276</v>
      </c>
      <c r="AD846" t="s">
        <v>15277</v>
      </c>
      <c r="AE846" t="s">
        <v>15278</v>
      </c>
      <c r="AF846" t="s">
        <v>74</v>
      </c>
      <c r="AG846">
        <v>23</v>
      </c>
      <c r="AH846">
        <v>3</v>
      </c>
      <c r="AI846">
        <v>4</v>
      </c>
      <c r="AJ846">
        <v>0</v>
      </c>
      <c r="AK846">
        <v>10</v>
      </c>
      <c r="AL846" t="s">
        <v>15279</v>
      </c>
      <c r="AM846" t="s">
        <v>15280</v>
      </c>
      <c r="AN846" t="s">
        <v>15281</v>
      </c>
      <c r="AO846" t="s">
        <v>15282</v>
      </c>
      <c r="AP846" t="s">
        <v>15283</v>
      </c>
      <c r="AQ846" t="s">
        <v>74</v>
      </c>
      <c r="AR846" t="s">
        <v>15284</v>
      </c>
      <c r="AS846" t="s">
        <v>15285</v>
      </c>
      <c r="AT846" t="s">
        <v>15286</v>
      </c>
      <c r="AU846">
        <v>2011</v>
      </c>
      <c r="AV846">
        <v>60</v>
      </c>
      <c r="AW846">
        <v>3</v>
      </c>
      <c r="AX846" t="s">
        <v>74</v>
      </c>
      <c r="AY846" t="s">
        <v>74</v>
      </c>
      <c r="AZ846" t="s">
        <v>74</v>
      </c>
      <c r="BA846" t="s">
        <v>74</v>
      </c>
      <c r="BB846">
        <v>117</v>
      </c>
      <c r="BC846">
        <v>126</v>
      </c>
      <c r="BD846" t="s">
        <v>74</v>
      </c>
      <c r="BE846" t="s">
        <v>15287</v>
      </c>
      <c r="BF846" t="str">
        <f>HYPERLINK("http://dx.doi.org/10.5650/jos.60.117","http://dx.doi.org/10.5650/jos.60.117")</f>
        <v>http://dx.doi.org/10.5650/jos.60.117</v>
      </c>
      <c r="BG846" t="s">
        <v>74</v>
      </c>
      <c r="BH846" t="s">
        <v>74</v>
      </c>
      <c r="BI846">
        <v>10</v>
      </c>
      <c r="BJ846" t="s">
        <v>15288</v>
      </c>
      <c r="BK846" t="s">
        <v>100</v>
      </c>
      <c r="BL846" t="s">
        <v>15289</v>
      </c>
      <c r="BM846" t="s">
        <v>15290</v>
      </c>
      <c r="BN846">
        <v>21343659</v>
      </c>
      <c r="BO846" t="s">
        <v>152</v>
      </c>
      <c r="BP846" t="s">
        <v>74</v>
      </c>
      <c r="BQ846" t="s">
        <v>74</v>
      </c>
      <c r="BR846" t="s">
        <v>103</v>
      </c>
      <c r="BS846" t="s">
        <v>15291</v>
      </c>
      <c r="BT846" t="str">
        <f>HYPERLINK("https%3A%2F%2Fwww.webofscience.com%2Fwos%2Fwoscc%2Ffull-record%2FWOS:000287831100003","View Full Record in Web of Science")</f>
        <v>View Full Record in Web of Science</v>
      </c>
    </row>
    <row r="847" spans="1:72" x14ac:dyDescent="0.15">
      <c r="A847" t="s">
        <v>72</v>
      </c>
      <c r="B847" t="s">
        <v>15292</v>
      </c>
      <c r="C847" t="s">
        <v>74</v>
      </c>
      <c r="D847" t="s">
        <v>74</v>
      </c>
      <c r="E847" t="s">
        <v>74</v>
      </c>
      <c r="F847" t="s">
        <v>15293</v>
      </c>
      <c r="G847" t="s">
        <v>74</v>
      </c>
      <c r="H847" t="s">
        <v>74</v>
      </c>
      <c r="I847" t="s">
        <v>15294</v>
      </c>
      <c r="J847" t="s">
        <v>5508</v>
      </c>
      <c r="K847" t="s">
        <v>74</v>
      </c>
      <c r="L847" t="s">
        <v>74</v>
      </c>
      <c r="M847" t="s">
        <v>78</v>
      </c>
      <c r="N847" t="s">
        <v>79</v>
      </c>
      <c r="O847" t="s">
        <v>74</v>
      </c>
      <c r="P847" t="s">
        <v>74</v>
      </c>
      <c r="Q847" t="s">
        <v>74</v>
      </c>
      <c r="R847" t="s">
        <v>74</v>
      </c>
      <c r="S847" t="s">
        <v>74</v>
      </c>
      <c r="T847" t="s">
        <v>74</v>
      </c>
      <c r="U847" t="s">
        <v>15295</v>
      </c>
      <c r="V847" t="s">
        <v>15296</v>
      </c>
      <c r="W847" t="s">
        <v>15297</v>
      </c>
      <c r="X847" t="s">
        <v>15298</v>
      </c>
      <c r="Y847" t="s">
        <v>15299</v>
      </c>
      <c r="Z847" t="s">
        <v>15300</v>
      </c>
      <c r="AA847" t="s">
        <v>15301</v>
      </c>
      <c r="AB847" t="s">
        <v>15302</v>
      </c>
      <c r="AC847" t="s">
        <v>15303</v>
      </c>
      <c r="AD847" t="s">
        <v>15304</v>
      </c>
      <c r="AE847" t="s">
        <v>15305</v>
      </c>
      <c r="AF847" t="s">
        <v>74</v>
      </c>
      <c r="AG847">
        <v>63</v>
      </c>
      <c r="AH847">
        <v>40</v>
      </c>
      <c r="AI847">
        <v>45</v>
      </c>
      <c r="AJ847">
        <v>1</v>
      </c>
      <c r="AK847">
        <v>15</v>
      </c>
      <c r="AL847" t="s">
        <v>5520</v>
      </c>
      <c r="AM847" t="s">
        <v>5521</v>
      </c>
      <c r="AN847" t="s">
        <v>5522</v>
      </c>
      <c r="AO847" t="s">
        <v>5523</v>
      </c>
      <c r="AP847" t="s">
        <v>74</v>
      </c>
      <c r="AQ847" t="s">
        <v>74</v>
      </c>
      <c r="AR847" t="s">
        <v>5525</v>
      </c>
      <c r="AS847" t="s">
        <v>5526</v>
      </c>
      <c r="AT847" t="s">
        <v>15306</v>
      </c>
      <c r="AU847">
        <v>2011</v>
      </c>
      <c r="AV847">
        <v>69</v>
      </c>
      <c r="AW847" t="s">
        <v>15307</v>
      </c>
      <c r="AX847" t="s">
        <v>74</v>
      </c>
      <c r="AY847" t="s">
        <v>74</v>
      </c>
      <c r="AZ847" t="s">
        <v>74</v>
      </c>
      <c r="BA847" t="s">
        <v>74</v>
      </c>
      <c r="BB847">
        <v>167</v>
      </c>
      <c r="BC847">
        <v>189</v>
      </c>
      <c r="BD847" t="s">
        <v>74</v>
      </c>
      <c r="BE847" t="s">
        <v>15308</v>
      </c>
      <c r="BF847" t="str">
        <f>HYPERLINK("http://dx.doi.org/10.1357/002224011798765330","http://dx.doi.org/10.1357/002224011798765330")</f>
        <v>http://dx.doi.org/10.1357/002224011798765330</v>
      </c>
      <c r="BG847" t="s">
        <v>74</v>
      </c>
      <c r="BH847" t="s">
        <v>74</v>
      </c>
      <c r="BI847">
        <v>23</v>
      </c>
      <c r="BJ847" t="s">
        <v>271</v>
      </c>
      <c r="BK847" t="s">
        <v>100</v>
      </c>
      <c r="BL847" t="s">
        <v>271</v>
      </c>
      <c r="BM847" t="s">
        <v>15309</v>
      </c>
      <c r="BN847" t="s">
        <v>74</v>
      </c>
      <c r="BO847" t="s">
        <v>74</v>
      </c>
      <c r="BP847" t="s">
        <v>74</v>
      </c>
      <c r="BQ847" t="s">
        <v>74</v>
      </c>
      <c r="BR847" t="s">
        <v>103</v>
      </c>
      <c r="BS847" t="s">
        <v>15310</v>
      </c>
      <c r="BT847" t="str">
        <f>HYPERLINK("https%3A%2F%2Fwww.webofscience.com%2Fwos%2Fwoscc%2Ffull-record%2FWOS:000298440800002","View Full Record in Web of Science")</f>
        <v>View Full Record in Web of Science</v>
      </c>
    </row>
    <row r="848" spans="1:72" x14ac:dyDescent="0.15">
      <c r="A848" t="s">
        <v>72</v>
      </c>
      <c r="B848" t="s">
        <v>15311</v>
      </c>
      <c r="C848" t="s">
        <v>74</v>
      </c>
      <c r="D848" t="s">
        <v>74</v>
      </c>
      <c r="E848" t="s">
        <v>74</v>
      </c>
      <c r="F848" t="s">
        <v>15312</v>
      </c>
      <c r="G848" t="s">
        <v>74</v>
      </c>
      <c r="H848" t="s">
        <v>74</v>
      </c>
      <c r="I848" t="s">
        <v>15313</v>
      </c>
      <c r="J848" t="s">
        <v>15314</v>
      </c>
      <c r="K848" t="s">
        <v>74</v>
      </c>
      <c r="L848" t="s">
        <v>74</v>
      </c>
      <c r="M848" t="s">
        <v>78</v>
      </c>
      <c r="N848" t="s">
        <v>79</v>
      </c>
      <c r="O848" t="s">
        <v>74</v>
      </c>
      <c r="P848" t="s">
        <v>74</v>
      </c>
      <c r="Q848" t="s">
        <v>74</v>
      </c>
      <c r="R848" t="s">
        <v>74</v>
      </c>
      <c r="S848" t="s">
        <v>74</v>
      </c>
      <c r="T848" t="s">
        <v>74</v>
      </c>
      <c r="U848" t="s">
        <v>74</v>
      </c>
      <c r="V848" t="s">
        <v>15315</v>
      </c>
      <c r="W848" t="s">
        <v>15316</v>
      </c>
      <c r="X848" t="s">
        <v>74</v>
      </c>
      <c r="Y848" t="s">
        <v>15317</v>
      </c>
      <c r="Z848" t="s">
        <v>74</v>
      </c>
      <c r="AA848" t="s">
        <v>74</v>
      </c>
      <c r="AB848" t="s">
        <v>74</v>
      </c>
      <c r="AC848" t="s">
        <v>74</v>
      </c>
      <c r="AD848" t="s">
        <v>74</v>
      </c>
      <c r="AE848" t="s">
        <v>74</v>
      </c>
      <c r="AF848" t="s">
        <v>74</v>
      </c>
      <c r="AG848">
        <v>3</v>
      </c>
      <c r="AH848">
        <v>10</v>
      </c>
      <c r="AI848">
        <v>10</v>
      </c>
      <c r="AJ848">
        <v>0</v>
      </c>
      <c r="AK848">
        <v>19</v>
      </c>
      <c r="AL848" t="s">
        <v>15318</v>
      </c>
      <c r="AM848" t="s">
        <v>15319</v>
      </c>
      <c r="AN848" t="s">
        <v>15320</v>
      </c>
      <c r="AO848" t="s">
        <v>15321</v>
      </c>
      <c r="AP848" t="s">
        <v>15322</v>
      </c>
      <c r="AQ848" t="s">
        <v>74</v>
      </c>
      <c r="AR848" t="s">
        <v>15323</v>
      </c>
      <c r="AS848" t="s">
        <v>15324</v>
      </c>
      <c r="AT848" t="s">
        <v>15325</v>
      </c>
      <c r="AU848">
        <v>2011</v>
      </c>
      <c r="AV848">
        <v>22</v>
      </c>
      <c r="AW848">
        <v>2</v>
      </c>
      <c r="AX848" t="s">
        <v>74</v>
      </c>
      <c r="AY848" t="s">
        <v>74</v>
      </c>
      <c r="AZ848" t="s">
        <v>74</v>
      </c>
      <c r="BA848" t="s">
        <v>74</v>
      </c>
      <c r="BB848">
        <v>10</v>
      </c>
      <c r="BC848" t="s">
        <v>8858</v>
      </c>
      <c r="BD848" t="s">
        <v>74</v>
      </c>
      <c r="BE848" t="s">
        <v>74</v>
      </c>
      <c r="BF848" t="s">
        <v>74</v>
      </c>
      <c r="BG848" t="s">
        <v>74</v>
      </c>
      <c r="BH848" t="s">
        <v>74</v>
      </c>
      <c r="BI848">
        <v>2</v>
      </c>
      <c r="BJ848" t="s">
        <v>15326</v>
      </c>
      <c r="BK848" t="s">
        <v>100</v>
      </c>
      <c r="BL848" t="s">
        <v>15326</v>
      </c>
      <c r="BM848" t="s">
        <v>15327</v>
      </c>
      <c r="BN848" t="s">
        <v>74</v>
      </c>
      <c r="BO848" t="s">
        <v>74</v>
      </c>
      <c r="BP848" t="s">
        <v>74</v>
      </c>
      <c r="BQ848" t="s">
        <v>74</v>
      </c>
      <c r="BR848" t="s">
        <v>103</v>
      </c>
      <c r="BS848" t="s">
        <v>15328</v>
      </c>
      <c r="BT848" t="str">
        <f>HYPERLINK("https%3A%2F%2Fwww.webofscience.com%2Fwos%2Fwoscc%2Ffull-record%2FWOS:000290971500004","View Full Record in Web of Science")</f>
        <v>View Full Record in Web of Science</v>
      </c>
    </row>
    <row r="849" spans="1:72" x14ac:dyDescent="0.15">
      <c r="A849" t="s">
        <v>72</v>
      </c>
      <c r="B849" t="s">
        <v>15329</v>
      </c>
      <c r="C849" t="s">
        <v>74</v>
      </c>
      <c r="D849" t="s">
        <v>74</v>
      </c>
      <c r="E849" t="s">
        <v>74</v>
      </c>
      <c r="F849" t="s">
        <v>15330</v>
      </c>
      <c r="G849" t="s">
        <v>74</v>
      </c>
      <c r="H849" t="s">
        <v>74</v>
      </c>
      <c r="I849" t="s">
        <v>15331</v>
      </c>
      <c r="J849" t="s">
        <v>15332</v>
      </c>
      <c r="K849" t="s">
        <v>74</v>
      </c>
      <c r="L849" t="s">
        <v>74</v>
      </c>
      <c r="M849" t="s">
        <v>78</v>
      </c>
      <c r="N849" t="s">
        <v>79</v>
      </c>
      <c r="O849" t="s">
        <v>74</v>
      </c>
      <c r="P849" t="s">
        <v>74</v>
      </c>
      <c r="Q849" t="s">
        <v>74</v>
      </c>
      <c r="R849" t="s">
        <v>74</v>
      </c>
      <c r="S849" t="s">
        <v>74</v>
      </c>
      <c r="T849" t="s">
        <v>74</v>
      </c>
      <c r="U849" t="s">
        <v>15333</v>
      </c>
      <c r="V849" t="s">
        <v>15334</v>
      </c>
      <c r="W849" t="s">
        <v>15335</v>
      </c>
      <c r="X849" t="s">
        <v>15336</v>
      </c>
      <c r="Y849" t="s">
        <v>15337</v>
      </c>
      <c r="Z849" t="s">
        <v>15338</v>
      </c>
      <c r="AA849" t="s">
        <v>15339</v>
      </c>
      <c r="AB849" t="s">
        <v>15340</v>
      </c>
      <c r="AC849" t="s">
        <v>15341</v>
      </c>
      <c r="AD849" t="s">
        <v>15342</v>
      </c>
      <c r="AE849" t="s">
        <v>15343</v>
      </c>
      <c r="AF849" t="s">
        <v>74</v>
      </c>
      <c r="AG849">
        <v>50</v>
      </c>
      <c r="AH849">
        <v>13</v>
      </c>
      <c r="AI849">
        <v>14</v>
      </c>
      <c r="AJ849">
        <v>6</v>
      </c>
      <c r="AK849">
        <v>20</v>
      </c>
      <c r="AL849" t="s">
        <v>15344</v>
      </c>
      <c r="AM849" t="s">
        <v>15345</v>
      </c>
      <c r="AN849" t="s">
        <v>15346</v>
      </c>
      <c r="AO849" t="s">
        <v>15347</v>
      </c>
      <c r="AP849" t="s">
        <v>74</v>
      </c>
      <c r="AQ849" t="s">
        <v>74</v>
      </c>
      <c r="AR849" t="s">
        <v>15348</v>
      </c>
      <c r="AS849" t="s">
        <v>15349</v>
      </c>
      <c r="AT849" t="s">
        <v>15286</v>
      </c>
      <c r="AU849">
        <v>2011</v>
      </c>
      <c r="AV849">
        <v>61</v>
      </c>
      <c r="AW849">
        <v>1</v>
      </c>
      <c r="AX849" t="s">
        <v>74</v>
      </c>
      <c r="AY849" t="s">
        <v>74</v>
      </c>
      <c r="AZ849" t="s">
        <v>74</v>
      </c>
      <c r="BA849" t="s">
        <v>74</v>
      </c>
      <c r="BB849">
        <v>77</v>
      </c>
      <c r="BC849">
        <v>90</v>
      </c>
      <c r="BD849" t="s">
        <v>74</v>
      </c>
      <c r="BE849" t="s">
        <v>15350</v>
      </c>
      <c r="BF849" t="str">
        <f>HYPERLINK("http://dx.doi.org/10.22499/2.6101.007","http://dx.doi.org/10.22499/2.6101.007")</f>
        <v>http://dx.doi.org/10.22499/2.6101.007</v>
      </c>
      <c r="BG849" t="s">
        <v>74</v>
      </c>
      <c r="BH849" t="s">
        <v>74</v>
      </c>
      <c r="BI849">
        <v>14</v>
      </c>
      <c r="BJ849" t="s">
        <v>1996</v>
      </c>
      <c r="BK849" t="s">
        <v>100</v>
      </c>
      <c r="BL849" t="s">
        <v>1996</v>
      </c>
      <c r="BM849" t="s">
        <v>15351</v>
      </c>
      <c r="BN849" t="s">
        <v>74</v>
      </c>
      <c r="BO849" t="s">
        <v>1186</v>
      </c>
      <c r="BP849" t="s">
        <v>74</v>
      </c>
      <c r="BQ849" t="s">
        <v>74</v>
      </c>
      <c r="BR849" t="s">
        <v>103</v>
      </c>
      <c r="BS849" t="s">
        <v>15352</v>
      </c>
      <c r="BT849" t="str">
        <f>HYPERLINK("https%3A%2F%2Fwww.webofscience.com%2Fwos%2Fwoscc%2Ffull-record%2FWOS:000290714600007","View Full Record in Web of Science")</f>
        <v>View Full Record in Web of Science</v>
      </c>
    </row>
    <row r="850" spans="1:72" x14ac:dyDescent="0.15">
      <c r="A850" t="s">
        <v>72</v>
      </c>
      <c r="B850" t="s">
        <v>15353</v>
      </c>
      <c r="C850" t="s">
        <v>74</v>
      </c>
      <c r="D850" t="s">
        <v>74</v>
      </c>
      <c r="E850" t="s">
        <v>74</v>
      </c>
      <c r="F850" t="s">
        <v>15354</v>
      </c>
      <c r="G850" t="s">
        <v>74</v>
      </c>
      <c r="H850" t="s">
        <v>74</v>
      </c>
      <c r="I850" t="s">
        <v>15355</v>
      </c>
      <c r="J850" t="s">
        <v>15356</v>
      </c>
      <c r="K850" t="s">
        <v>74</v>
      </c>
      <c r="L850" t="s">
        <v>74</v>
      </c>
      <c r="M850" t="s">
        <v>78</v>
      </c>
      <c r="N850" t="s">
        <v>278</v>
      </c>
      <c r="O850" t="s">
        <v>74</v>
      </c>
      <c r="P850" t="s">
        <v>74</v>
      </c>
      <c r="Q850" t="s">
        <v>74</v>
      </c>
      <c r="R850" t="s">
        <v>74</v>
      </c>
      <c r="S850" t="s">
        <v>74</v>
      </c>
      <c r="T850" t="s">
        <v>15357</v>
      </c>
      <c r="U850" t="s">
        <v>15358</v>
      </c>
      <c r="V850" t="s">
        <v>15359</v>
      </c>
      <c r="W850" t="s">
        <v>15360</v>
      </c>
      <c r="X850" t="s">
        <v>15361</v>
      </c>
      <c r="Y850" t="s">
        <v>15362</v>
      </c>
      <c r="Z850" t="s">
        <v>15363</v>
      </c>
      <c r="AA850" t="s">
        <v>74</v>
      </c>
      <c r="AB850" t="s">
        <v>74</v>
      </c>
      <c r="AC850" t="s">
        <v>15364</v>
      </c>
      <c r="AD850" t="s">
        <v>15365</v>
      </c>
      <c r="AE850" t="s">
        <v>15366</v>
      </c>
      <c r="AF850" t="s">
        <v>74</v>
      </c>
      <c r="AG850">
        <v>151</v>
      </c>
      <c r="AH850">
        <v>31</v>
      </c>
      <c r="AI850">
        <v>34</v>
      </c>
      <c r="AJ850">
        <v>3</v>
      </c>
      <c r="AK850">
        <v>73</v>
      </c>
      <c r="AL850" t="s">
        <v>15367</v>
      </c>
      <c r="AM850" t="s">
        <v>15280</v>
      </c>
      <c r="AN850" t="s">
        <v>15368</v>
      </c>
      <c r="AO850" t="s">
        <v>15369</v>
      </c>
      <c r="AP850" t="s">
        <v>15370</v>
      </c>
      <c r="AQ850" t="s">
        <v>74</v>
      </c>
      <c r="AR850" t="s">
        <v>15356</v>
      </c>
      <c r="AS850" t="s">
        <v>15371</v>
      </c>
      <c r="AT850" t="s">
        <v>15286</v>
      </c>
      <c r="AU850">
        <v>2011</v>
      </c>
      <c r="AV850">
        <v>15</v>
      </c>
      <c r="AW850">
        <v>2</v>
      </c>
      <c r="AX850" t="s">
        <v>74</v>
      </c>
      <c r="AY850" t="s">
        <v>74</v>
      </c>
      <c r="AZ850" t="s">
        <v>74</v>
      </c>
      <c r="BA850" t="s">
        <v>74</v>
      </c>
      <c r="BB850">
        <v>129</v>
      </c>
      <c r="BC850">
        <v>153</v>
      </c>
      <c r="BD850" t="s">
        <v>74</v>
      </c>
      <c r="BE850" t="s">
        <v>15372</v>
      </c>
      <c r="BF850" t="str">
        <f>HYPERLINK("http://dx.doi.org/10.1007/s00792-010-0348-x","http://dx.doi.org/10.1007/s00792-010-0348-x")</f>
        <v>http://dx.doi.org/10.1007/s00792-010-0348-x</v>
      </c>
      <c r="BG850" t="s">
        <v>74</v>
      </c>
      <c r="BH850" t="s">
        <v>74</v>
      </c>
      <c r="BI850">
        <v>25</v>
      </c>
      <c r="BJ850" t="s">
        <v>15373</v>
      </c>
      <c r="BK850" t="s">
        <v>100</v>
      </c>
      <c r="BL850" t="s">
        <v>15373</v>
      </c>
      <c r="BM850" t="s">
        <v>15374</v>
      </c>
      <c r="BN850">
        <v>21210167</v>
      </c>
      <c r="BO850" t="s">
        <v>74</v>
      </c>
      <c r="BP850" t="s">
        <v>74</v>
      </c>
      <c r="BQ850" t="s">
        <v>74</v>
      </c>
      <c r="BR850" t="s">
        <v>103</v>
      </c>
      <c r="BS850" t="s">
        <v>15375</v>
      </c>
      <c r="BT850" t="str">
        <f>HYPERLINK("https%3A%2F%2Fwww.webofscience.com%2Fwos%2Fwoscc%2Ffull-record%2FWOS:000290037500002","View Full Record in Web of Science")</f>
        <v>View Full Record in Web of Science</v>
      </c>
    </row>
    <row r="851" spans="1:72" x14ac:dyDescent="0.15">
      <c r="A851" t="s">
        <v>72</v>
      </c>
      <c r="B851" t="s">
        <v>15376</v>
      </c>
      <c r="C851" t="s">
        <v>74</v>
      </c>
      <c r="D851" t="s">
        <v>74</v>
      </c>
      <c r="E851" t="s">
        <v>74</v>
      </c>
      <c r="F851" t="s">
        <v>15377</v>
      </c>
      <c r="G851" t="s">
        <v>74</v>
      </c>
      <c r="H851" t="s">
        <v>74</v>
      </c>
      <c r="I851" t="s">
        <v>15378</v>
      </c>
      <c r="J851" t="s">
        <v>5663</v>
      </c>
      <c r="K851" t="s">
        <v>74</v>
      </c>
      <c r="L851" t="s">
        <v>74</v>
      </c>
      <c r="M851" t="s">
        <v>78</v>
      </c>
      <c r="N851" t="s">
        <v>79</v>
      </c>
      <c r="O851" t="s">
        <v>74</v>
      </c>
      <c r="P851" t="s">
        <v>74</v>
      </c>
      <c r="Q851" t="s">
        <v>74</v>
      </c>
      <c r="R851" t="s">
        <v>74</v>
      </c>
      <c r="S851" t="s">
        <v>74</v>
      </c>
      <c r="T851" t="s">
        <v>74</v>
      </c>
      <c r="U851" t="s">
        <v>15379</v>
      </c>
      <c r="V851" t="s">
        <v>15380</v>
      </c>
      <c r="W851" t="s">
        <v>15381</v>
      </c>
      <c r="X851" t="s">
        <v>15382</v>
      </c>
      <c r="Y851" t="s">
        <v>15383</v>
      </c>
      <c r="Z851" t="s">
        <v>15384</v>
      </c>
      <c r="AA851" t="s">
        <v>15385</v>
      </c>
      <c r="AB851" t="s">
        <v>15386</v>
      </c>
      <c r="AC851" t="s">
        <v>15387</v>
      </c>
      <c r="AD851" t="s">
        <v>15388</v>
      </c>
      <c r="AE851" t="s">
        <v>15389</v>
      </c>
      <c r="AF851" t="s">
        <v>74</v>
      </c>
      <c r="AG851">
        <v>44</v>
      </c>
      <c r="AH851">
        <v>22</v>
      </c>
      <c r="AI851">
        <v>22</v>
      </c>
      <c r="AJ851">
        <v>3</v>
      </c>
      <c r="AK851">
        <v>26</v>
      </c>
      <c r="AL851" t="s">
        <v>1323</v>
      </c>
      <c r="AM851" t="s">
        <v>1324</v>
      </c>
      <c r="AN851" t="s">
        <v>1325</v>
      </c>
      <c r="AO851" t="s">
        <v>5675</v>
      </c>
      <c r="AP851" t="s">
        <v>5695</v>
      </c>
      <c r="AQ851" t="s">
        <v>74</v>
      </c>
      <c r="AR851" t="s">
        <v>5676</v>
      </c>
      <c r="AS851" t="s">
        <v>5677</v>
      </c>
      <c r="AT851" t="s">
        <v>15286</v>
      </c>
      <c r="AU851">
        <v>2011</v>
      </c>
      <c r="AV851">
        <v>56</v>
      </c>
      <c r="AW851">
        <v>2</v>
      </c>
      <c r="AX851" t="s">
        <v>74</v>
      </c>
      <c r="AY851" t="s">
        <v>74</v>
      </c>
      <c r="AZ851" t="s">
        <v>74</v>
      </c>
      <c r="BA851" t="s">
        <v>74</v>
      </c>
      <c r="BB851">
        <v>521</v>
      </c>
      <c r="BC851">
        <v>528</v>
      </c>
      <c r="BD851" t="s">
        <v>74</v>
      </c>
      <c r="BE851" t="s">
        <v>15390</v>
      </c>
      <c r="BF851" t="str">
        <f>HYPERLINK("http://dx.doi.org/10.4319/lo.2011.56.2.0521","http://dx.doi.org/10.4319/lo.2011.56.2.0521")</f>
        <v>http://dx.doi.org/10.4319/lo.2011.56.2.0521</v>
      </c>
      <c r="BG851" t="s">
        <v>74</v>
      </c>
      <c r="BH851" t="s">
        <v>74</v>
      </c>
      <c r="BI851">
        <v>8</v>
      </c>
      <c r="BJ851" t="s">
        <v>5679</v>
      </c>
      <c r="BK851" t="s">
        <v>100</v>
      </c>
      <c r="BL851" t="s">
        <v>5605</v>
      </c>
      <c r="BM851" t="s">
        <v>15391</v>
      </c>
      <c r="BN851" t="s">
        <v>74</v>
      </c>
      <c r="BO851" t="s">
        <v>1025</v>
      </c>
      <c r="BP851" t="s">
        <v>74</v>
      </c>
      <c r="BQ851" t="s">
        <v>74</v>
      </c>
      <c r="BR851" t="s">
        <v>103</v>
      </c>
      <c r="BS851" t="s">
        <v>15392</v>
      </c>
      <c r="BT851" t="str">
        <f>HYPERLINK("https%3A%2F%2Fwww.webofscience.com%2Fwos%2Fwoscc%2Ffull-record%2FWOS:000290677800009","View Full Record in Web of Science")</f>
        <v>View Full Record in Web of Science</v>
      </c>
    </row>
    <row r="852" spans="1:72" x14ac:dyDescent="0.15">
      <c r="A852" t="s">
        <v>72</v>
      </c>
      <c r="B852" t="s">
        <v>15393</v>
      </c>
      <c r="C852" t="s">
        <v>74</v>
      </c>
      <c r="D852" t="s">
        <v>74</v>
      </c>
      <c r="E852" t="s">
        <v>74</v>
      </c>
      <c r="F852" t="s">
        <v>15394</v>
      </c>
      <c r="G852" t="s">
        <v>74</v>
      </c>
      <c r="H852" t="s">
        <v>74</v>
      </c>
      <c r="I852" t="s">
        <v>15395</v>
      </c>
      <c r="J852" t="s">
        <v>15396</v>
      </c>
      <c r="K852" t="s">
        <v>74</v>
      </c>
      <c r="L852" t="s">
        <v>74</v>
      </c>
      <c r="M852" t="s">
        <v>78</v>
      </c>
      <c r="N852" t="s">
        <v>79</v>
      </c>
      <c r="O852" t="s">
        <v>74</v>
      </c>
      <c r="P852" t="s">
        <v>74</v>
      </c>
      <c r="Q852" t="s">
        <v>74</v>
      </c>
      <c r="R852" t="s">
        <v>74</v>
      </c>
      <c r="S852" t="s">
        <v>74</v>
      </c>
      <c r="T852" t="s">
        <v>74</v>
      </c>
      <c r="U852" t="s">
        <v>15397</v>
      </c>
      <c r="V852" t="s">
        <v>15398</v>
      </c>
      <c r="W852" t="s">
        <v>15399</v>
      </c>
      <c r="X852" t="s">
        <v>15400</v>
      </c>
      <c r="Y852" t="s">
        <v>15401</v>
      </c>
      <c r="Z852" t="s">
        <v>74</v>
      </c>
      <c r="AA852" t="s">
        <v>74</v>
      </c>
      <c r="AB852" t="s">
        <v>74</v>
      </c>
      <c r="AC852" t="s">
        <v>74</v>
      </c>
      <c r="AD852" t="s">
        <v>74</v>
      </c>
      <c r="AE852" t="s">
        <v>74</v>
      </c>
      <c r="AF852" t="s">
        <v>74</v>
      </c>
      <c r="AG852">
        <v>60</v>
      </c>
      <c r="AH852">
        <v>0</v>
      </c>
      <c r="AI852">
        <v>0</v>
      </c>
      <c r="AJ852">
        <v>0</v>
      </c>
      <c r="AK852">
        <v>3</v>
      </c>
      <c r="AL852" t="s">
        <v>5936</v>
      </c>
      <c r="AM852" t="s">
        <v>5937</v>
      </c>
      <c r="AN852" t="s">
        <v>5938</v>
      </c>
      <c r="AO852" t="s">
        <v>15402</v>
      </c>
      <c r="AP852" t="s">
        <v>74</v>
      </c>
      <c r="AQ852" t="s">
        <v>74</v>
      </c>
      <c r="AR852" t="s">
        <v>15396</v>
      </c>
      <c r="AS852" t="s">
        <v>15403</v>
      </c>
      <c r="AT852" t="s">
        <v>15286</v>
      </c>
      <c r="AU852">
        <v>2011</v>
      </c>
      <c r="AV852">
        <v>102</v>
      </c>
      <c r="AW852">
        <v>1</v>
      </c>
      <c r="AX852" t="s">
        <v>74</v>
      </c>
      <c r="AY852" t="s">
        <v>74</v>
      </c>
      <c r="AZ852" t="s">
        <v>74</v>
      </c>
      <c r="BA852" t="s">
        <v>74</v>
      </c>
      <c r="BB852">
        <v>34</v>
      </c>
      <c r="BC852">
        <v>59</v>
      </c>
      <c r="BD852" t="s">
        <v>74</v>
      </c>
      <c r="BE852" t="s">
        <v>15404</v>
      </c>
      <c r="BF852" t="str">
        <f>HYPERLINK("http://dx.doi.org/10.1086/658656","http://dx.doi.org/10.1086/658656")</f>
        <v>http://dx.doi.org/10.1086/658656</v>
      </c>
      <c r="BG852" t="s">
        <v>74</v>
      </c>
      <c r="BH852" t="s">
        <v>74</v>
      </c>
      <c r="BI852">
        <v>26</v>
      </c>
      <c r="BJ852" t="s">
        <v>15405</v>
      </c>
      <c r="BK852" t="s">
        <v>15406</v>
      </c>
      <c r="BL852" t="s">
        <v>15407</v>
      </c>
      <c r="BM852" t="s">
        <v>15408</v>
      </c>
      <c r="BN852" t="s">
        <v>74</v>
      </c>
      <c r="BO852" t="s">
        <v>74</v>
      </c>
      <c r="BP852" t="s">
        <v>74</v>
      </c>
      <c r="BQ852" t="s">
        <v>74</v>
      </c>
      <c r="BR852" t="s">
        <v>103</v>
      </c>
      <c r="BS852" t="s">
        <v>15409</v>
      </c>
      <c r="BT852" t="str">
        <f>HYPERLINK("https%3A%2F%2Fwww.webofscience.com%2Fwos%2Fwoscc%2Ffull-record%2FWOS:000289868600002","View Full Record in Web of Science")</f>
        <v>View Full Record in Web of Science</v>
      </c>
    </row>
    <row r="853" spans="1:72" x14ac:dyDescent="0.15">
      <c r="A853" t="s">
        <v>72</v>
      </c>
      <c r="B853" t="s">
        <v>15410</v>
      </c>
      <c r="C853" t="s">
        <v>74</v>
      </c>
      <c r="D853" t="s">
        <v>74</v>
      </c>
      <c r="E853" t="s">
        <v>74</v>
      </c>
      <c r="F853" t="s">
        <v>15411</v>
      </c>
      <c r="G853" t="s">
        <v>74</v>
      </c>
      <c r="H853" t="s">
        <v>74</v>
      </c>
      <c r="I853" t="s">
        <v>15412</v>
      </c>
      <c r="J853" t="s">
        <v>15413</v>
      </c>
      <c r="K853" t="s">
        <v>74</v>
      </c>
      <c r="L853" t="s">
        <v>74</v>
      </c>
      <c r="M853" t="s">
        <v>78</v>
      </c>
      <c r="N853" t="s">
        <v>79</v>
      </c>
      <c r="O853" t="s">
        <v>74</v>
      </c>
      <c r="P853" t="s">
        <v>74</v>
      </c>
      <c r="Q853" t="s">
        <v>74</v>
      </c>
      <c r="R853" t="s">
        <v>74</v>
      </c>
      <c r="S853" t="s">
        <v>74</v>
      </c>
      <c r="T853" t="s">
        <v>15414</v>
      </c>
      <c r="U853" t="s">
        <v>15415</v>
      </c>
      <c r="V853" t="s">
        <v>15416</v>
      </c>
      <c r="W853" t="s">
        <v>15417</v>
      </c>
      <c r="X853" t="s">
        <v>15418</v>
      </c>
      <c r="Y853" t="s">
        <v>15419</v>
      </c>
      <c r="Z853" t="s">
        <v>15420</v>
      </c>
      <c r="AA853" t="s">
        <v>74</v>
      </c>
      <c r="AB853" t="s">
        <v>15421</v>
      </c>
      <c r="AC853" t="s">
        <v>74</v>
      </c>
      <c r="AD853" t="s">
        <v>74</v>
      </c>
      <c r="AE853" t="s">
        <v>74</v>
      </c>
      <c r="AF853" t="s">
        <v>74</v>
      </c>
      <c r="AG853">
        <v>15</v>
      </c>
      <c r="AH853">
        <v>7</v>
      </c>
      <c r="AI853">
        <v>9</v>
      </c>
      <c r="AJ853">
        <v>0</v>
      </c>
      <c r="AK853">
        <v>15</v>
      </c>
      <c r="AL853" t="s">
        <v>15422</v>
      </c>
      <c r="AM853" t="s">
        <v>15423</v>
      </c>
      <c r="AN853" t="s">
        <v>15424</v>
      </c>
      <c r="AO853" t="s">
        <v>15425</v>
      </c>
      <c r="AP853" t="s">
        <v>74</v>
      </c>
      <c r="AQ853" t="s">
        <v>74</v>
      </c>
      <c r="AR853" t="s">
        <v>15426</v>
      </c>
      <c r="AS853" t="s">
        <v>15427</v>
      </c>
      <c r="AT853" t="s">
        <v>15286</v>
      </c>
      <c r="AU853">
        <v>2011</v>
      </c>
      <c r="AV853">
        <v>153</v>
      </c>
      <c r="AW853">
        <v>3</v>
      </c>
      <c r="AX853" t="s">
        <v>74</v>
      </c>
      <c r="AY853" t="s">
        <v>74</v>
      </c>
      <c r="AZ853" t="s">
        <v>74</v>
      </c>
      <c r="BA853" t="s">
        <v>74</v>
      </c>
      <c r="BB853">
        <v>117</v>
      </c>
      <c r="BC853">
        <v>121</v>
      </c>
      <c r="BD853" t="s">
        <v>74</v>
      </c>
      <c r="BE853" t="s">
        <v>15428</v>
      </c>
      <c r="BF853" t="str">
        <f>HYPERLINK("http://dx.doi.org/10.1024/0036-7281/a000165","http://dx.doi.org/10.1024/0036-7281/a000165")</f>
        <v>http://dx.doi.org/10.1024/0036-7281/a000165</v>
      </c>
      <c r="BG853" t="s">
        <v>74</v>
      </c>
      <c r="BH853" t="s">
        <v>74</v>
      </c>
      <c r="BI853">
        <v>5</v>
      </c>
      <c r="BJ853" t="s">
        <v>15429</v>
      </c>
      <c r="BK853" t="s">
        <v>100</v>
      </c>
      <c r="BL853" t="s">
        <v>15429</v>
      </c>
      <c r="BM853" t="s">
        <v>15430</v>
      </c>
      <c r="BN853">
        <v>21360449</v>
      </c>
      <c r="BO853" t="s">
        <v>74</v>
      </c>
      <c r="BP853" t="s">
        <v>74</v>
      </c>
      <c r="BQ853" t="s">
        <v>74</v>
      </c>
      <c r="BR853" t="s">
        <v>103</v>
      </c>
      <c r="BS853" t="s">
        <v>15431</v>
      </c>
      <c r="BT853" t="str">
        <f>HYPERLINK("https%3A%2F%2Fwww.webofscience.com%2Fwos%2Fwoscc%2Ffull-record%2FWOS:000290370500004","View Full Record in Web of Science")</f>
        <v>View Full Record in Web of Science</v>
      </c>
    </row>
    <row r="854" spans="1:72" x14ac:dyDescent="0.15">
      <c r="A854" t="s">
        <v>72</v>
      </c>
      <c r="B854" t="s">
        <v>15432</v>
      </c>
      <c r="C854" t="s">
        <v>74</v>
      </c>
      <c r="D854" t="s">
        <v>74</v>
      </c>
      <c r="E854" t="s">
        <v>74</v>
      </c>
      <c r="F854" t="s">
        <v>15433</v>
      </c>
      <c r="G854" t="s">
        <v>74</v>
      </c>
      <c r="H854" t="s">
        <v>74</v>
      </c>
      <c r="I854" t="s">
        <v>15434</v>
      </c>
      <c r="J854" t="s">
        <v>15435</v>
      </c>
      <c r="K854" t="s">
        <v>74</v>
      </c>
      <c r="L854" t="s">
        <v>74</v>
      </c>
      <c r="M854" t="s">
        <v>78</v>
      </c>
      <c r="N854" t="s">
        <v>79</v>
      </c>
      <c r="O854" t="s">
        <v>74</v>
      </c>
      <c r="P854" t="s">
        <v>74</v>
      </c>
      <c r="Q854" t="s">
        <v>74</v>
      </c>
      <c r="R854" t="s">
        <v>74</v>
      </c>
      <c r="S854" t="s">
        <v>74</v>
      </c>
      <c r="T854" t="s">
        <v>15436</v>
      </c>
      <c r="U854" t="s">
        <v>15437</v>
      </c>
      <c r="V854" t="s">
        <v>15438</v>
      </c>
      <c r="W854" t="s">
        <v>15439</v>
      </c>
      <c r="X854" t="s">
        <v>1458</v>
      </c>
      <c r="Y854" t="s">
        <v>15440</v>
      </c>
      <c r="Z854" t="s">
        <v>15441</v>
      </c>
      <c r="AA854" t="s">
        <v>15442</v>
      </c>
      <c r="AB854" t="s">
        <v>15443</v>
      </c>
      <c r="AC854" t="s">
        <v>15444</v>
      </c>
      <c r="AD854" t="s">
        <v>15445</v>
      </c>
      <c r="AE854" t="s">
        <v>15446</v>
      </c>
      <c r="AF854" t="s">
        <v>74</v>
      </c>
      <c r="AG854">
        <v>73</v>
      </c>
      <c r="AH854">
        <v>13</v>
      </c>
      <c r="AI854">
        <v>15</v>
      </c>
      <c r="AJ854">
        <v>0</v>
      </c>
      <c r="AK854">
        <v>10</v>
      </c>
      <c r="AL854" t="s">
        <v>1323</v>
      </c>
      <c r="AM854" t="s">
        <v>1324</v>
      </c>
      <c r="AN854" t="s">
        <v>1325</v>
      </c>
      <c r="AO854" t="s">
        <v>15447</v>
      </c>
      <c r="AP854" t="s">
        <v>15448</v>
      </c>
      <c r="AQ854" t="s">
        <v>74</v>
      </c>
      <c r="AR854" t="s">
        <v>15449</v>
      </c>
      <c r="AS854" t="s">
        <v>15450</v>
      </c>
      <c r="AT854" t="s">
        <v>15451</v>
      </c>
      <c r="AU854">
        <v>2011</v>
      </c>
      <c r="AV854">
        <v>46</v>
      </c>
      <c r="AW854" t="s">
        <v>15307</v>
      </c>
      <c r="AX854" t="s">
        <v>74</v>
      </c>
      <c r="AY854" t="s">
        <v>74</v>
      </c>
      <c r="AZ854" t="s">
        <v>864</v>
      </c>
      <c r="BA854" t="s">
        <v>74</v>
      </c>
      <c r="BB854">
        <v>126</v>
      </c>
      <c r="BC854">
        <v>136</v>
      </c>
      <c r="BD854" t="s">
        <v>74</v>
      </c>
      <c r="BE854" t="s">
        <v>15452</v>
      </c>
      <c r="BF854" t="str">
        <f>HYPERLINK("http://dx.doi.org/10.1002/gj.1243","http://dx.doi.org/10.1002/gj.1243")</f>
        <v>http://dx.doi.org/10.1002/gj.1243</v>
      </c>
      <c r="BG854" t="s">
        <v>74</v>
      </c>
      <c r="BH854" t="s">
        <v>74</v>
      </c>
      <c r="BI854">
        <v>11</v>
      </c>
      <c r="BJ854" t="s">
        <v>130</v>
      </c>
      <c r="BK854" t="s">
        <v>100</v>
      </c>
      <c r="BL854" t="s">
        <v>131</v>
      </c>
      <c r="BM854" t="s">
        <v>15453</v>
      </c>
      <c r="BN854" t="s">
        <v>74</v>
      </c>
      <c r="BO854" t="s">
        <v>74</v>
      </c>
      <c r="BP854" t="s">
        <v>74</v>
      </c>
      <c r="BQ854" t="s">
        <v>74</v>
      </c>
      <c r="BR854" t="s">
        <v>103</v>
      </c>
      <c r="BS854" t="s">
        <v>15454</v>
      </c>
      <c r="BT854" t="str">
        <f>HYPERLINK("https%3A%2F%2Fwww.webofscience.com%2Fwos%2Fwoscc%2Ffull-record%2FWOS:000289658400003","View Full Record in Web of Science")</f>
        <v>View Full Record in Web of Science</v>
      </c>
    </row>
    <row r="855" spans="1:72" x14ac:dyDescent="0.15">
      <c r="A855" t="s">
        <v>72</v>
      </c>
      <c r="B855" t="s">
        <v>15455</v>
      </c>
      <c r="C855" t="s">
        <v>74</v>
      </c>
      <c r="D855" t="s">
        <v>74</v>
      </c>
      <c r="E855" t="s">
        <v>74</v>
      </c>
      <c r="F855" t="s">
        <v>15456</v>
      </c>
      <c r="G855" t="s">
        <v>74</v>
      </c>
      <c r="H855" t="s">
        <v>74</v>
      </c>
      <c r="I855" t="s">
        <v>15457</v>
      </c>
      <c r="J855" t="s">
        <v>4215</v>
      </c>
      <c r="K855" t="s">
        <v>74</v>
      </c>
      <c r="L855" t="s">
        <v>74</v>
      </c>
      <c r="M855" t="s">
        <v>78</v>
      </c>
      <c r="N855" t="s">
        <v>79</v>
      </c>
      <c r="O855" t="s">
        <v>74</v>
      </c>
      <c r="P855" t="s">
        <v>74</v>
      </c>
      <c r="Q855" t="s">
        <v>74</v>
      </c>
      <c r="R855" t="s">
        <v>74</v>
      </c>
      <c r="S855" t="s">
        <v>74</v>
      </c>
      <c r="T855" t="s">
        <v>74</v>
      </c>
      <c r="U855" t="s">
        <v>74</v>
      </c>
      <c r="V855" t="s">
        <v>15458</v>
      </c>
      <c r="W855" t="s">
        <v>15459</v>
      </c>
      <c r="X855" t="s">
        <v>621</v>
      </c>
      <c r="Y855" t="s">
        <v>15460</v>
      </c>
      <c r="Z855" t="s">
        <v>74</v>
      </c>
      <c r="AA855" t="s">
        <v>74</v>
      </c>
      <c r="AB855" t="s">
        <v>74</v>
      </c>
      <c r="AC855" t="s">
        <v>74</v>
      </c>
      <c r="AD855" t="s">
        <v>74</v>
      </c>
      <c r="AE855" t="s">
        <v>74</v>
      </c>
      <c r="AF855" t="s">
        <v>74</v>
      </c>
      <c r="AG855">
        <v>9</v>
      </c>
      <c r="AH855">
        <v>1</v>
      </c>
      <c r="AI855">
        <v>1</v>
      </c>
      <c r="AJ855">
        <v>0</v>
      </c>
      <c r="AK855">
        <v>5</v>
      </c>
      <c r="AL855" t="s">
        <v>7082</v>
      </c>
      <c r="AM855" t="s">
        <v>91</v>
      </c>
      <c r="AN855" t="s">
        <v>7083</v>
      </c>
      <c r="AO855" t="s">
        <v>4223</v>
      </c>
      <c r="AP855" t="s">
        <v>74</v>
      </c>
      <c r="AQ855" t="s">
        <v>74</v>
      </c>
      <c r="AR855" t="s">
        <v>4225</v>
      </c>
      <c r="AS855" t="s">
        <v>4226</v>
      </c>
      <c r="AT855" t="s">
        <v>15286</v>
      </c>
      <c r="AU855">
        <v>2011</v>
      </c>
      <c r="AV855">
        <v>36</v>
      </c>
      <c r="AW855">
        <v>3</v>
      </c>
      <c r="AX855" t="s">
        <v>74</v>
      </c>
      <c r="AY855" t="s">
        <v>74</v>
      </c>
      <c r="AZ855" t="s">
        <v>74</v>
      </c>
      <c r="BA855" t="s">
        <v>74</v>
      </c>
      <c r="BB855">
        <v>193</v>
      </c>
      <c r="BC855">
        <v>199</v>
      </c>
      <c r="BD855" t="s">
        <v>74</v>
      </c>
      <c r="BE855" t="s">
        <v>15461</v>
      </c>
      <c r="BF855" t="str">
        <f>HYPERLINK("http://dx.doi.org/10.3103/S106837391103006X","http://dx.doi.org/10.3103/S106837391103006X")</f>
        <v>http://dx.doi.org/10.3103/S106837391103006X</v>
      </c>
      <c r="BG855" t="s">
        <v>74</v>
      </c>
      <c r="BH855" t="s">
        <v>74</v>
      </c>
      <c r="BI855">
        <v>7</v>
      </c>
      <c r="BJ855" t="s">
        <v>248</v>
      </c>
      <c r="BK855" t="s">
        <v>100</v>
      </c>
      <c r="BL855" t="s">
        <v>248</v>
      </c>
      <c r="BM855" t="s">
        <v>15462</v>
      </c>
      <c r="BN855" t="s">
        <v>74</v>
      </c>
      <c r="BO855" t="s">
        <v>74</v>
      </c>
      <c r="BP855" t="s">
        <v>74</v>
      </c>
      <c r="BQ855" t="s">
        <v>74</v>
      </c>
      <c r="BR855" t="s">
        <v>103</v>
      </c>
      <c r="BS855" t="s">
        <v>15463</v>
      </c>
      <c r="BT855" t="str">
        <f>HYPERLINK("https%3A%2F%2Fwww.webofscience.com%2Fwos%2Fwoscc%2Ffull-record%2FWOS:000289574700006","View Full Record in Web of Science")</f>
        <v>View Full Record in Web of Science</v>
      </c>
    </row>
    <row r="856" spans="1:72" x14ac:dyDescent="0.15">
      <c r="A856" t="s">
        <v>72</v>
      </c>
      <c r="B856" t="s">
        <v>15464</v>
      </c>
      <c r="C856" t="s">
        <v>74</v>
      </c>
      <c r="D856" t="s">
        <v>74</v>
      </c>
      <c r="E856" t="s">
        <v>74</v>
      </c>
      <c r="F856" t="s">
        <v>15465</v>
      </c>
      <c r="G856" t="s">
        <v>74</v>
      </c>
      <c r="H856" t="s">
        <v>74</v>
      </c>
      <c r="I856" t="s">
        <v>15466</v>
      </c>
      <c r="J856" t="s">
        <v>4215</v>
      </c>
      <c r="K856" t="s">
        <v>74</v>
      </c>
      <c r="L856" t="s">
        <v>74</v>
      </c>
      <c r="M856" t="s">
        <v>78</v>
      </c>
      <c r="N856" t="s">
        <v>79</v>
      </c>
      <c r="O856" t="s">
        <v>74</v>
      </c>
      <c r="P856" t="s">
        <v>74</v>
      </c>
      <c r="Q856" t="s">
        <v>74</v>
      </c>
      <c r="R856" t="s">
        <v>74</v>
      </c>
      <c r="S856" t="s">
        <v>74</v>
      </c>
      <c r="T856" t="s">
        <v>74</v>
      </c>
      <c r="U856" t="s">
        <v>74</v>
      </c>
      <c r="V856" t="s">
        <v>15467</v>
      </c>
      <c r="W856" t="s">
        <v>15468</v>
      </c>
      <c r="X856" t="s">
        <v>621</v>
      </c>
      <c r="Y856" t="s">
        <v>15469</v>
      </c>
      <c r="Z856" t="s">
        <v>74</v>
      </c>
      <c r="AA856" t="s">
        <v>74</v>
      </c>
      <c r="AB856" t="s">
        <v>74</v>
      </c>
      <c r="AC856" t="s">
        <v>74</v>
      </c>
      <c r="AD856" t="s">
        <v>74</v>
      </c>
      <c r="AE856" t="s">
        <v>74</v>
      </c>
      <c r="AF856" t="s">
        <v>74</v>
      </c>
      <c r="AG856">
        <v>7</v>
      </c>
      <c r="AH856">
        <v>1</v>
      </c>
      <c r="AI856">
        <v>1</v>
      </c>
      <c r="AJ856">
        <v>1</v>
      </c>
      <c r="AK856">
        <v>6</v>
      </c>
      <c r="AL856" t="s">
        <v>7082</v>
      </c>
      <c r="AM856" t="s">
        <v>91</v>
      </c>
      <c r="AN856" t="s">
        <v>7083</v>
      </c>
      <c r="AO856" t="s">
        <v>4223</v>
      </c>
      <c r="AP856" t="s">
        <v>74</v>
      </c>
      <c r="AQ856" t="s">
        <v>74</v>
      </c>
      <c r="AR856" t="s">
        <v>4225</v>
      </c>
      <c r="AS856" t="s">
        <v>4226</v>
      </c>
      <c r="AT856" t="s">
        <v>15286</v>
      </c>
      <c r="AU856">
        <v>2011</v>
      </c>
      <c r="AV856">
        <v>36</v>
      </c>
      <c r="AW856">
        <v>3</v>
      </c>
      <c r="AX856" t="s">
        <v>74</v>
      </c>
      <c r="AY856" t="s">
        <v>74</v>
      </c>
      <c r="AZ856" t="s">
        <v>74</v>
      </c>
      <c r="BA856" t="s">
        <v>74</v>
      </c>
      <c r="BB856">
        <v>200</v>
      </c>
      <c r="BC856">
        <v>206</v>
      </c>
      <c r="BD856" t="s">
        <v>74</v>
      </c>
      <c r="BE856" t="s">
        <v>15470</v>
      </c>
      <c r="BF856" t="str">
        <f>HYPERLINK("http://dx.doi.org/10.3103/S1068373911030071","http://dx.doi.org/10.3103/S1068373911030071")</f>
        <v>http://dx.doi.org/10.3103/S1068373911030071</v>
      </c>
      <c r="BG856" t="s">
        <v>74</v>
      </c>
      <c r="BH856" t="s">
        <v>74</v>
      </c>
      <c r="BI856">
        <v>7</v>
      </c>
      <c r="BJ856" t="s">
        <v>248</v>
      </c>
      <c r="BK856" t="s">
        <v>100</v>
      </c>
      <c r="BL856" t="s">
        <v>248</v>
      </c>
      <c r="BM856" t="s">
        <v>15462</v>
      </c>
      <c r="BN856" t="s">
        <v>74</v>
      </c>
      <c r="BO856" t="s">
        <v>74</v>
      </c>
      <c r="BP856" t="s">
        <v>74</v>
      </c>
      <c r="BQ856" t="s">
        <v>74</v>
      </c>
      <c r="BR856" t="s">
        <v>103</v>
      </c>
      <c r="BS856" t="s">
        <v>15471</v>
      </c>
      <c r="BT856" t="str">
        <f>HYPERLINK("https%3A%2F%2Fwww.webofscience.com%2Fwos%2Fwoscc%2Ffull-record%2FWOS:000289574700007","View Full Record in Web of Science")</f>
        <v>View Full Record in Web of Science</v>
      </c>
    </row>
    <row r="857" spans="1:72" x14ac:dyDescent="0.15">
      <c r="A857" t="s">
        <v>72</v>
      </c>
      <c r="B857" t="s">
        <v>15472</v>
      </c>
      <c r="C857" t="s">
        <v>74</v>
      </c>
      <c r="D857" t="s">
        <v>74</v>
      </c>
      <c r="E857" t="s">
        <v>74</v>
      </c>
      <c r="F857" t="s">
        <v>15473</v>
      </c>
      <c r="G857" t="s">
        <v>74</v>
      </c>
      <c r="H857" t="s">
        <v>74</v>
      </c>
      <c r="I857" t="s">
        <v>15474</v>
      </c>
      <c r="J857" t="s">
        <v>4215</v>
      </c>
      <c r="K857" t="s">
        <v>74</v>
      </c>
      <c r="L857" t="s">
        <v>74</v>
      </c>
      <c r="M857" t="s">
        <v>78</v>
      </c>
      <c r="N857" t="s">
        <v>79</v>
      </c>
      <c r="O857" t="s">
        <v>74</v>
      </c>
      <c r="P857" t="s">
        <v>74</v>
      </c>
      <c r="Q857" t="s">
        <v>74</v>
      </c>
      <c r="R857" t="s">
        <v>74</v>
      </c>
      <c r="S857" t="s">
        <v>74</v>
      </c>
      <c r="T857" t="s">
        <v>74</v>
      </c>
      <c r="U857" t="s">
        <v>74</v>
      </c>
      <c r="V857" t="s">
        <v>15475</v>
      </c>
      <c r="W857" t="s">
        <v>15459</v>
      </c>
      <c r="X857" t="s">
        <v>621</v>
      </c>
      <c r="Y857" t="s">
        <v>15476</v>
      </c>
      <c r="Z857" t="s">
        <v>74</v>
      </c>
      <c r="AA857" t="s">
        <v>15477</v>
      </c>
      <c r="AB857" t="s">
        <v>15478</v>
      </c>
      <c r="AC857" t="s">
        <v>74</v>
      </c>
      <c r="AD857" t="s">
        <v>74</v>
      </c>
      <c r="AE857" t="s">
        <v>74</v>
      </c>
      <c r="AF857" t="s">
        <v>74</v>
      </c>
      <c r="AG857">
        <v>50</v>
      </c>
      <c r="AH857">
        <v>5</v>
      </c>
      <c r="AI857">
        <v>6</v>
      </c>
      <c r="AJ857">
        <v>1</v>
      </c>
      <c r="AK857">
        <v>3</v>
      </c>
      <c r="AL857" t="s">
        <v>4220</v>
      </c>
      <c r="AM857" t="s">
        <v>4221</v>
      </c>
      <c r="AN857" t="s">
        <v>4222</v>
      </c>
      <c r="AO857" t="s">
        <v>4223</v>
      </c>
      <c r="AP857" t="s">
        <v>4224</v>
      </c>
      <c r="AQ857" t="s">
        <v>74</v>
      </c>
      <c r="AR857" t="s">
        <v>4225</v>
      </c>
      <c r="AS857" t="s">
        <v>4226</v>
      </c>
      <c r="AT857" t="s">
        <v>15286</v>
      </c>
      <c r="AU857">
        <v>2011</v>
      </c>
      <c r="AV857">
        <v>36</v>
      </c>
      <c r="AW857">
        <v>3</v>
      </c>
      <c r="AX857" t="s">
        <v>74</v>
      </c>
      <c r="AY857" t="s">
        <v>74</v>
      </c>
      <c r="AZ857" t="s">
        <v>74</v>
      </c>
      <c r="BA857" t="s">
        <v>74</v>
      </c>
      <c r="BB857">
        <v>207</v>
      </c>
      <c r="BC857">
        <v>215</v>
      </c>
      <c r="BD857" t="s">
        <v>74</v>
      </c>
      <c r="BE857" t="s">
        <v>15479</v>
      </c>
      <c r="BF857" t="str">
        <f>HYPERLINK("http://dx.doi.org/10.3103/S1068373911030083","http://dx.doi.org/10.3103/S1068373911030083")</f>
        <v>http://dx.doi.org/10.3103/S1068373911030083</v>
      </c>
      <c r="BG857" t="s">
        <v>74</v>
      </c>
      <c r="BH857" t="s">
        <v>74</v>
      </c>
      <c r="BI857">
        <v>9</v>
      </c>
      <c r="BJ857" t="s">
        <v>248</v>
      </c>
      <c r="BK857" t="s">
        <v>100</v>
      </c>
      <c r="BL857" t="s">
        <v>248</v>
      </c>
      <c r="BM857" t="s">
        <v>15462</v>
      </c>
      <c r="BN857" t="s">
        <v>74</v>
      </c>
      <c r="BO857" t="s">
        <v>74</v>
      </c>
      <c r="BP857" t="s">
        <v>74</v>
      </c>
      <c r="BQ857" t="s">
        <v>74</v>
      </c>
      <c r="BR857" t="s">
        <v>103</v>
      </c>
      <c r="BS857" t="s">
        <v>15480</v>
      </c>
      <c r="BT857" t="str">
        <f>HYPERLINK("https%3A%2F%2Fwww.webofscience.com%2Fwos%2Fwoscc%2Ffull-record%2FWOS:000289574700008","View Full Record in Web of Science")</f>
        <v>View Full Record in Web of Science</v>
      </c>
    </row>
    <row r="858" spans="1:72" x14ac:dyDescent="0.15">
      <c r="A858" t="s">
        <v>72</v>
      </c>
      <c r="B858" t="s">
        <v>15481</v>
      </c>
      <c r="C858" t="s">
        <v>74</v>
      </c>
      <c r="D858" t="s">
        <v>74</v>
      </c>
      <c r="E858" t="s">
        <v>74</v>
      </c>
      <c r="F858" t="s">
        <v>15482</v>
      </c>
      <c r="G858" t="s">
        <v>74</v>
      </c>
      <c r="H858" t="s">
        <v>74</v>
      </c>
      <c r="I858" t="s">
        <v>15483</v>
      </c>
      <c r="J858" t="s">
        <v>15484</v>
      </c>
      <c r="K858" t="s">
        <v>74</v>
      </c>
      <c r="L858" t="s">
        <v>74</v>
      </c>
      <c r="M858" t="s">
        <v>78</v>
      </c>
      <c r="N858" t="s">
        <v>79</v>
      </c>
      <c r="O858" t="s">
        <v>74</v>
      </c>
      <c r="P858" t="s">
        <v>74</v>
      </c>
      <c r="Q858" t="s">
        <v>74</v>
      </c>
      <c r="R858" t="s">
        <v>74</v>
      </c>
      <c r="S858" t="s">
        <v>74</v>
      </c>
      <c r="T858" t="s">
        <v>15485</v>
      </c>
      <c r="U858" t="s">
        <v>15486</v>
      </c>
      <c r="V858" t="s">
        <v>15487</v>
      </c>
      <c r="W858" t="s">
        <v>15488</v>
      </c>
      <c r="X858" t="s">
        <v>15489</v>
      </c>
      <c r="Y858" t="s">
        <v>15490</v>
      </c>
      <c r="Z858" t="s">
        <v>15491</v>
      </c>
      <c r="AA858" t="s">
        <v>15492</v>
      </c>
      <c r="AB858" t="s">
        <v>15493</v>
      </c>
      <c r="AC858" t="s">
        <v>74</v>
      </c>
      <c r="AD858" t="s">
        <v>74</v>
      </c>
      <c r="AE858" t="s">
        <v>74</v>
      </c>
      <c r="AF858" t="s">
        <v>74</v>
      </c>
      <c r="AG858">
        <v>23</v>
      </c>
      <c r="AH858">
        <v>3</v>
      </c>
      <c r="AI858">
        <v>9</v>
      </c>
      <c r="AJ858">
        <v>1</v>
      </c>
      <c r="AK858">
        <v>12</v>
      </c>
      <c r="AL858" t="s">
        <v>308</v>
      </c>
      <c r="AM858" t="s">
        <v>309</v>
      </c>
      <c r="AN858" t="s">
        <v>310</v>
      </c>
      <c r="AO858" t="s">
        <v>15494</v>
      </c>
      <c r="AP858" t="s">
        <v>15495</v>
      </c>
      <c r="AQ858" t="s">
        <v>74</v>
      </c>
      <c r="AR858" t="s">
        <v>15496</v>
      </c>
      <c r="AS858" t="s">
        <v>15497</v>
      </c>
      <c r="AT858" t="s">
        <v>15286</v>
      </c>
      <c r="AU858">
        <v>2011</v>
      </c>
      <c r="AV858">
        <v>964</v>
      </c>
      <c r="AW858" t="s">
        <v>8120</v>
      </c>
      <c r="AX858" t="s">
        <v>74</v>
      </c>
      <c r="AY858" t="s">
        <v>74</v>
      </c>
      <c r="AZ858" t="s">
        <v>74</v>
      </c>
      <c r="BA858" t="s">
        <v>74</v>
      </c>
      <c r="BB858">
        <v>283</v>
      </c>
      <c r="BC858">
        <v>290</v>
      </c>
      <c r="BD858" t="s">
        <v>74</v>
      </c>
      <c r="BE858" t="s">
        <v>15498</v>
      </c>
      <c r="BF858" t="str">
        <f>HYPERLINK("http://dx.doi.org/10.1016/j.comptc.2011.01.013","http://dx.doi.org/10.1016/j.comptc.2011.01.013")</f>
        <v>http://dx.doi.org/10.1016/j.comptc.2011.01.013</v>
      </c>
      <c r="BG858" t="s">
        <v>74</v>
      </c>
      <c r="BH858" t="s">
        <v>74</v>
      </c>
      <c r="BI858">
        <v>8</v>
      </c>
      <c r="BJ858" t="s">
        <v>9104</v>
      </c>
      <c r="BK858" t="s">
        <v>100</v>
      </c>
      <c r="BL858" t="s">
        <v>6691</v>
      </c>
      <c r="BM858" t="s">
        <v>15499</v>
      </c>
      <c r="BN858" t="s">
        <v>74</v>
      </c>
      <c r="BO858" t="s">
        <v>74</v>
      </c>
      <c r="BP858" t="s">
        <v>74</v>
      </c>
      <c r="BQ858" t="s">
        <v>74</v>
      </c>
      <c r="BR858" t="s">
        <v>103</v>
      </c>
      <c r="BS858" t="s">
        <v>15500</v>
      </c>
      <c r="BT858" t="str">
        <f>HYPERLINK("https%3A%2F%2Fwww.webofscience.com%2Fwos%2Fwoscc%2Ffull-record%2FWOS:000288916400041","View Full Record in Web of Science")</f>
        <v>View Full Record in Web of Science</v>
      </c>
    </row>
    <row r="859" spans="1:72" x14ac:dyDescent="0.15">
      <c r="A859" t="s">
        <v>72</v>
      </c>
      <c r="B859" t="s">
        <v>15501</v>
      </c>
      <c r="C859" t="s">
        <v>74</v>
      </c>
      <c r="D859" t="s">
        <v>74</v>
      </c>
      <c r="E859" t="s">
        <v>74</v>
      </c>
      <c r="F859" t="s">
        <v>15502</v>
      </c>
      <c r="G859" t="s">
        <v>74</v>
      </c>
      <c r="H859" t="s">
        <v>74</v>
      </c>
      <c r="I859" t="s">
        <v>15503</v>
      </c>
      <c r="J859" t="s">
        <v>4274</v>
      </c>
      <c r="K859" t="s">
        <v>74</v>
      </c>
      <c r="L859" t="s">
        <v>74</v>
      </c>
      <c r="M859" t="s">
        <v>78</v>
      </c>
      <c r="N859" t="s">
        <v>79</v>
      </c>
      <c r="O859" t="s">
        <v>74</v>
      </c>
      <c r="P859" t="s">
        <v>74</v>
      </c>
      <c r="Q859" t="s">
        <v>74</v>
      </c>
      <c r="R859" t="s">
        <v>74</v>
      </c>
      <c r="S859" t="s">
        <v>74</v>
      </c>
      <c r="T859" t="s">
        <v>15504</v>
      </c>
      <c r="U859" t="s">
        <v>15505</v>
      </c>
      <c r="V859" t="s">
        <v>15506</v>
      </c>
      <c r="W859" t="s">
        <v>15507</v>
      </c>
      <c r="X859" t="s">
        <v>15508</v>
      </c>
      <c r="Y859" t="s">
        <v>15509</v>
      </c>
      <c r="Z859" t="s">
        <v>15510</v>
      </c>
      <c r="AA859" t="s">
        <v>15511</v>
      </c>
      <c r="AB859" t="s">
        <v>15512</v>
      </c>
      <c r="AC859" t="s">
        <v>15513</v>
      </c>
      <c r="AD859" t="s">
        <v>15514</v>
      </c>
      <c r="AE859" t="s">
        <v>15515</v>
      </c>
      <c r="AF859" t="s">
        <v>74</v>
      </c>
      <c r="AG859">
        <v>52</v>
      </c>
      <c r="AH859">
        <v>4</v>
      </c>
      <c r="AI859">
        <v>8</v>
      </c>
      <c r="AJ859">
        <v>0</v>
      </c>
      <c r="AK859">
        <v>8</v>
      </c>
      <c r="AL859" t="s">
        <v>308</v>
      </c>
      <c r="AM859" t="s">
        <v>309</v>
      </c>
      <c r="AN859" t="s">
        <v>310</v>
      </c>
      <c r="AO859" t="s">
        <v>4283</v>
      </c>
      <c r="AP859" t="s">
        <v>4284</v>
      </c>
      <c r="AQ859" t="s">
        <v>74</v>
      </c>
      <c r="AR859" t="s">
        <v>4285</v>
      </c>
      <c r="AS859" t="s">
        <v>4286</v>
      </c>
      <c r="AT859" t="s">
        <v>15286</v>
      </c>
      <c r="AU859">
        <v>2011</v>
      </c>
      <c r="AV859">
        <v>76</v>
      </c>
      <c r="AW859" t="s">
        <v>2154</v>
      </c>
      <c r="AX859" t="s">
        <v>74</v>
      </c>
      <c r="AY859" t="s">
        <v>74</v>
      </c>
      <c r="AZ859" t="s">
        <v>74</v>
      </c>
      <c r="BA859" t="s">
        <v>74</v>
      </c>
      <c r="BB859">
        <v>22</v>
      </c>
      <c r="BC859">
        <v>32</v>
      </c>
      <c r="BD859" t="s">
        <v>74</v>
      </c>
      <c r="BE859" t="s">
        <v>15516</v>
      </c>
      <c r="BF859" t="str">
        <f>HYPERLINK("http://dx.doi.org/10.1016/j.gloplacha.2010.11.006","http://dx.doi.org/10.1016/j.gloplacha.2010.11.006")</f>
        <v>http://dx.doi.org/10.1016/j.gloplacha.2010.11.006</v>
      </c>
      <c r="BG859" t="s">
        <v>74</v>
      </c>
      <c r="BH859" t="s">
        <v>74</v>
      </c>
      <c r="BI859">
        <v>11</v>
      </c>
      <c r="BJ859" t="s">
        <v>1496</v>
      </c>
      <c r="BK859" t="s">
        <v>100</v>
      </c>
      <c r="BL859" t="s">
        <v>1497</v>
      </c>
      <c r="BM859" t="s">
        <v>15517</v>
      </c>
      <c r="BN859" t="s">
        <v>74</v>
      </c>
      <c r="BO859" t="s">
        <v>74</v>
      </c>
      <c r="BP859" t="s">
        <v>74</v>
      </c>
      <c r="BQ859" t="s">
        <v>74</v>
      </c>
      <c r="BR859" t="s">
        <v>103</v>
      </c>
      <c r="BS859" t="s">
        <v>15518</v>
      </c>
      <c r="BT859" t="str">
        <f>HYPERLINK("https%3A%2F%2Fwww.webofscience.com%2Fwos%2Fwoscc%2Ffull-record%2FWOS:000288934400003","View Full Record in Web of Science")</f>
        <v>View Full Record in Web of Science</v>
      </c>
    </row>
    <row r="860" spans="1:72" x14ac:dyDescent="0.15">
      <c r="A860" t="s">
        <v>72</v>
      </c>
      <c r="B860" t="s">
        <v>15519</v>
      </c>
      <c r="C860" t="s">
        <v>74</v>
      </c>
      <c r="D860" t="s">
        <v>74</v>
      </c>
      <c r="E860" t="s">
        <v>74</v>
      </c>
      <c r="F860" t="s">
        <v>15520</v>
      </c>
      <c r="G860" t="s">
        <v>74</v>
      </c>
      <c r="H860" t="s">
        <v>74</v>
      </c>
      <c r="I860" t="s">
        <v>15521</v>
      </c>
      <c r="J860" t="s">
        <v>15522</v>
      </c>
      <c r="K860" t="s">
        <v>74</v>
      </c>
      <c r="L860" t="s">
        <v>74</v>
      </c>
      <c r="M860" t="s">
        <v>4879</v>
      </c>
      <c r="N860" t="s">
        <v>79</v>
      </c>
      <c r="O860" t="s">
        <v>74</v>
      </c>
      <c r="P860" t="s">
        <v>74</v>
      </c>
      <c r="Q860" t="s">
        <v>74</v>
      </c>
      <c r="R860" t="s">
        <v>74</v>
      </c>
      <c r="S860" t="s">
        <v>74</v>
      </c>
      <c r="T860" t="s">
        <v>74</v>
      </c>
      <c r="U860" t="s">
        <v>15523</v>
      </c>
      <c r="V860" t="s">
        <v>15524</v>
      </c>
      <c r="W860" t="s">
        <v>15525</v>
      </c>
      <c r="X860" t="s">
        <v>15526</v>
      </c>
      <c r="Y860" t="s">
        <v>15527</v>
      </c>
      <c r="Z860" t="s">
        <v>15528</v>
      </c>
      <c r="AA860" t="s">
        <v>74</v>
      </c>
      <c r="AB860" t="s">
        <v>74</v>
      </c>
      <c r="AC860" t="s">
        <v>74</v>
      </c>
      <c r="AD860" t="s">
        <v>74</v>
      </c>
      <c r="AE860" t="s">
        <v>74</v>
      </c>
      <c r="AF860" t="s">
        <v>74</v>
      </c>
      <c r="AG860">
        <v>42</v>
      </c>
      <c r="AH860">
        <v>2</v>
      </c>
      <c r="AI860">
        <v>2</v>
      </c>
      <c r="AJ860">
        <v>0</v>
      </c>
      <c r="AK860">
        <v>4</v>
      </c>
      <c r="AL860" t="s">
        <v>15529</v>
      </c>
      <c r="AM860" t="s">
        <v>4221</v>
      </c>
      <c r="AN860" t="s">
        <v>15530</v>
      </c>
      <c r="AO860" t="s">
        <v>15531</v>
      </c>
      <c r="AP860" t="s">
        <v>74</v>
      </c>
      <c r="AQ860" t="s">
        <v>74</v>
      </c>
      <c r="AR860" t="s">
        <v>15532</v>
      </c>
      <c r="AS860" t="s">
        <v>15533</v>
      </c>
      <c r="AT860" t="s">
        <v>15286</v>
      </c>
      <c r="AU860">
        <v>2011</v>
      </c>
      <c r="AV860">
        <v>90</v>
      </c>
      <c r="AW860">
        <v>3</v>
      </c>
      <c r="AX860" t="s">
        <v>74</v>
      </c>
      <c r="AY860" t="s">
        <v>74</v>
      </c>
      <c r="AZ860" t="s">
        <v>74</v>
      </c>
      <c r="BA860" t="s">
        <v>74</v>
      </c>
      <c r="BB860">
        <v>293</v>
      </c>
      <c r="BC860">
        <v>301</v>
      </c>
      <c r="BD860" t="s">
        <v>74</v>
      </c>
      <c r="BE860" t="s">
        <v>74</v>
      </c>
      <c r="BF860" t="s">
        <v>74</v>
      </c>
      <c r="BG860" t="s">
        <v>74</v>
      </c>
      <c r="BH860" t="s">
        <v>74</v>
      </c>
      <c r="BI860">
        <v>9</v>
      </c>
      <c r="BJ860" t="s">
        <v>3232</v>
      </c>
      <c r="BK860" t="s">
        <v>100</v>
      </c>
      <c r="BL860" t="s">
        <v>3232</v>
      </c>
      <c r="BM860" t="s">
        <v>15534</v>
      </c>
      <c r="BN860" t="s">
        <v>74</v>
      </c>
      <c r="BO860" t="s">
        <v>74</v>
      </c>
      <c r="BP860" t="s">
        <v>74</v>
      </c>
      <c r="BQ860" t="s">
        <v>74</v>
      </c>
      <c r="BR860" t="s">
        <v>103</v>
      </c>
      <c r="BS860" t="s">
        <v>15535</v>
      </c>
      <c r="BT860" t="str">
        <f>HYPERLINK("https%3A%2F%2Fwww.webofscience.com%2Fwos%2Fwoscc%2Ffull-record%2FWOS:000289032300004","View Full Record in Web of Science")</f>
        <v>View Full Record in Web of Science</v>
      </c>
    </row>
    <row r="861" spans="1:72" x14ac:dyDescent="0.15">
      <c r="A861" t="s">
        <v>72</v>
      </c>
      <c r="B861" t="s">
        <v>15536</v>
      </c>
      <c r="C861" t="s">
        <v>74</v>
      </c>
      <c r="D861" t="s">
        <v>74</v>
      </c>
      <c r="E861" t="s">
        <v>74</v>
      </c>
      <c r="F861" t="s">
        <v>15537</v>
      </c>
      <c r="G861" t="s">
        <v>74</v>
      </c>
      <c r="H861" t="s">
        <v>74</v>
      </c>
      <c r="I861" t="s">
        <v>15538</v>
      </c>
      <c r="J861" t="s">
        <v>15539</v>
      </c>
      <c r="K861" t="s">
        <v>74</v>
      </c>
      <c r="L861" t="s">
        <v>74</v>
      </c>
      <c r="M861" t="s">
        <v>78</v>
      </c>
      <c r="N861" t="s">
        <v>278</v>
      </c>
      <c r="O861" t="s">
        <v>74</v>
      </c>
      <c r="P861" t="s">
        <v>74</v>
      </c>
      <c r="Q861" t="s">
        <v>74</v>
      </c>
      <c r="R861" t="s">
        <v>74</v>
      </c>
      <c r="S861" t="s">
        <v>74</v>
      </c>
      <c r="T861" t="s">
        <v>15540</v>
      </c>
      <c r="U861" t="s">
        <v>15541</v>
      </c>
      <c r="V861" t="s">
        <v>15542</v>
      </c>
      <c r="W861" t="s">
        <v>15543</v>
      </c>
      <c r="X861" t="s">
        <v>15544</v>
      </c>
      <c r="Y861" t="s">
        <v>15545</v>
      </c>
      <c r="Z861" t="s">
        <v>15546</v>
      </c>
      <c r="AA861" t="s">
        <v>15547</v>
      </c>
      <c r="AB861" t="s">
        <v>15548</v>
      </c>
      <c r="AC861" t="s">
        <v>15549</v>
      </c>
      <c r="AD861" t="s">
        <v>15550</v>
      </c>
      <c r="AE861" t="s">
        <v>15551</v>
      </c>
      <c r="AF861" t="s">
        <v>74</v>
      </c>
      <c r="AG861">
        <v>69</v>
      </c>
      <c r="AH861">
        <v>36</v>
      </c>
      <c r="AI861">
        <v>41</v>
      </c>
      <c r="AJ861">
        <v>2</v>
      </c>
      <c r="AK861">
        <v>70</v>
      </c>
      <c r="AL861" t="s">
        <v>1441</v>
      </c>
      <c r="AM861" t="s">
        <v>91</v>
      </c>
      <c r="AN861" t="s">
        <v>1595</v>
      </c>
      <c r="AO861" t="s">
        <v>15552</v>
      </c>
      <c r="AP861" t="s">
        <v>15553</v>
      </c>
      <c r="AQ861" t="s">
        <v>74</v>
      </c>
      <c r="AR861" t="s">
        <v>15554</v>
      </c>
      <c r="AS861" t="s">
        <v>15555</v>
      </c>
      <c r="AT861" t="s">
        <v>15286</v>
      </c>
      <c r="AU861">
        <v>2011</v>
      </c>
      <c r="AV861">
        <v>47</v>
      </c>
      <c r="AW861">
        <v>3</v>
      </c>
      <c r="AX861" t="s">
        <v>74</v>
      </c>
      <c r="AY861" t="s">
        <v>74</v>
      </c>
      <c r="AZ861" t="s">
        <v>74</v>
      </c>
      <c r="BA861" t="s">
        <v>74</v>
      </c>
      <c r="BB861">
        <v>210</v>
      </c>
      <c r="BC861">
        <v>217</v>
      </c>
      <c r="BD861" t="s">
        <v>74</v>
      </c>
      <c r="BE861" t="s">
        <v>15556</v>
      </c>
      <c r="BF861" t="str">
        <f>HYPERLINK("http://dx.doi.org/10.1007/s11626-010-9383-2","http://dx.doi.org/10.1007/s11626-010-9383-2")</f>
        <v>http://dx.doi.org/10.1007/s11626-010-9383-2</v>
      </c>
      <c r="BG861" t="s">
        <v>74</v>
      </c>
      <c r="BH861" t="s">
        <v>74</v>
      </c>
      <c r="BI861">
        <v>8</v>
      </c>
      <c r="BJ861" t="s">
        <v>15557</v>
      </c>
      <c r="BK861" t="s">
        <v>100</v>
      </c>
      <c r="BL861" t="s">
        <v>15557</v>
      </c>
      <c r="BM861" t="s">
        <v>15558</v>
      </c>
      <c r="BN861">
        <v>21191664</v>
      </c>
      <c r="BO861" t="s">
        <v>273</v>
      </c>
      <c r="BP861" t="s">
        <v>74</v>
      </c>
      <c r="BQ861" t="s">
        <v>74</v>
      </c>
      <c r="BR861" t="s">
        <v>103</v>
      </c>
      <c r="BS861" t="s">
        <v>15559</v>
      </c>
      <c r="BT861" t="str">
        <f>HYPERLINK("https%3A%2F%2Fwww.webofscience.com%2Fwos%2Fwoscc%2Ffull-record%2FWOS:000288804100006","View Full Record in Web of Science")</f>
        <v>View Full Record in Web of Science</v>
      </c>
    </row>
    <row r="862" spans="1:72" x14ac:dyDescent="0.15">
      <c r="A862" t="s">
        <v>72</v>
      </c>
      <c r="B862" t="s">
        <v>15560</v>
      </c>
      <c r="C862" t="s">
        <v>74</v>
      </c>
      <c r="D862" t="s">
        <v>74</v>
      </c>
      <c r="E862" t="s">
        <v>74</v>
      </c>
      <c r="F862" t="s">
        <v>15561</v>
      </c>
      <c r="G862" t="s">
        <v>74</v>
      </c>
      <c r="H862" t="s">
        <v>74</v>
      </c>
      <c r="I862" t="s">
        <v>15562</v>
      </c>
      <c r="J862" t="s">
        <v>5350</v>
      </c>
      <c r="K862" t="s">
        <v>74</v>
      </c>
      <c r="L862" t="s">
        <v>74</v>
      </c>
      <c r="M862" t="s">
        <v>78</v>
      </c>
      <c r="N862" t="s">
        <v>52</v>
      </c>
      <c r="O862" t="s">
        <v>15563</v>
      </c>
      <c r="P862" t="s">
        <v>15564</v>
      </c>
      <c r="Q862" t="s">
        <v>15565</v>
      </c>
      <c r="R862" t="s">
        <v>74</v>
      </c>
      <c r="S862" t="s">
        <v>74</v>
      </c>
      <c r="T862" t="s">
        <v>74</v>
      </c>
      <c r="U862" t="s">
        <v>74</v>
      </c>
      <c r="V862" t="s">
        <v>74</v>
      </c>
      <c r="W862" t="s">
        <v>15566</v>
      </c>
      <c r="X862" t="s">
        <v>15567</v>
      </c>
      <c r="Y862" t="s">
        <v>74</v>
      </c>
      <c r="Z862" t="s">
        <v>15568</v>
      </c>
      <c r="AA862" t="s">
        <v>15569</v>
      </c>
      <c r="AB862" t="s">
        <v>15570</v>
      </c>
      <c r="AC862" t="s">
        <v>74</v>
      </c>
      <c r="AD862" t="s">
        <v>74</v>
      </c>
      <c r="AE862" t="s">
        <v>74</v>
      </c>
      <c r="AF862" t="s">
        <v>74</v>
      </c>
      <c r="AG862">
        <v>0</v>
      </c>
      <c r="AH862">
        <v>0</v>
      </c>
      <c r="AI862">
        <v>0</v>
      </c>
      <c r="AJ862">
        <v>0</v>
      </c>
      <c r="AK862">
        <v>3</v>
      </c>
      <c r="AL862" t="s">
        <v>4849</v>
      </c>
      <c r="AM862" t="s">
        <v>4850</v>
      </c>
      <c r="AN862" t="s">
        <v>4851</v>
      </c>
      <c r="AO862" t="s">
        <v>5360</v>
      </c>
      <c r="AP862" t="s">
        <v>74</v>
      </c>
      <c r="AQ862" t="s">
        <v>74</v>
      </c>
      <c r="AR862" t="s">
        <v>5362</v>
      </c>
      <c r="AS862" t="s">
        <v>5363</v>
      </c>
      <c r="AT862" t="s">
        <v>15286</v>
      </c>
      <c r="AU862">
        <v>2011</v>
      </c>
      <c r="AV862">
        <v>51</v>
      </c>
      <c r="AW862" t="s">
        <v>74</v>
      </c>
      <c r="AX862" t="s">
        <v>74</v>
      </c>
      <c r="AY862">
        <v>1</v>
      </c>
      <c r="AZ862" t="s">
        <v>74</v>
      </c>
      <c r="BA862" t="s">
        <v>74</v>
      </c>
      <c r="BB862" t="s">
        <v>15571</v>
      </c>
      <c r="BC862" t="s">
        <v>15571</v>
      </c>
      <c r="BD862" t="s">
        <v>74</v>
      </c>
      <c r="BE862" t="s">
        <v>74</v>
      </c>
      <c r="BF862" t="s">
        <v>74</v>
      </c>
      <c r="BG862" t="s">
        <v>74</v>
      </c>
      <c r="BH862" t="s">
        <v>74</v>
      </c>
      <c r="BI862">
        <v>1</v>
      </c>
      <c r="BJ862" t="s">
        <v>3232</v>
      </c>
      <c r="BK862" t="s">
        <v>4181</v>
      </c>
      <c r="BL862" t="s">
        <v>3232</v>
      </c>
      <c r="BM862" t="s">
        <v>15572</v>
      </c>
      <c r="BN862" t="s">
        <v>74</v>
      </c>
      <c r="BO862" t="s">
        <v>74</v>
      </c>
      <c r="BP862" t="s">
        <v>74</v>
      </c>
      <c r="BQ862" t="s">
        <v>74</v>
      </c>
      <c r="BR862" t="s">
        <v>103</v>
      </c>
      <c r="BS862" t="s">
        <v>15573</v>
      </c>
      <c r="BT862" t="str">
        <f>HYPERLINK("https%3A%2F%2Fwww.webofscience.com%2Fwos%2Fwoscc%2Ffull-record%2FWOS:000288278100576","View Full Record in Web of Science")</f>
        <v>View Full Record in Web of Science</v>
      </c>
    </row>
    <row r="863" spans="1:72" x14ac:dyDescent="0.15">
      <c r="A863" t="s">
        <v>72</v>
      </c>
      <c r="B863" t="s">
        <v>15574</v>
      </c>
      <c r="C863" t="s">
        <v>74</v>
      </c>
      <c r="D863" t="s">
        <v>74</v>
      </c>
      <c r="E863" t="s">
        <v>74</v>
      </c>
      <c r="F863" t="s">
        <v>15575</v>
      </c>
      <c r="G863" t="s">
        <v>74</v>
      </c>
      <c r="H863" t="s">
        <v>74</v>
      </c>
      <c r="I863" t="s">
        <v>15576</v>
      </c>
      <c r="J863" t="s">
        <v>5350</v>
      </c>
      <c r="K863" t="s">
        <v>74</v>
      </c>
      <c r="L863" t="s">
        <v>74</v>
      </c>
      <c r="M863" t="s">
        <v>78</v>
      </c>
      <c r="N863" t="s">
        <v>52</v>
      </c>
      <c r="O863" t="s">
        <v>15563</v>
      </c>
      <c r="P863" t="s">
        <v>15564</v>
      </c>
      <c r="Q863" t="s">
        <v>15565</v>
      </c>
      <c r="R863" t="s">
        <v>74</v>
      </c>
      <c r="S863" t="s">
        <v>74</v>
      </c>
      <c r="T863" t="s">
        <v>74</v>
      </c>
      <c r="U863" t="s">
        <v>74</v>
      </c>
      <c r="V863" t="s">
        <v>74</v>
      </c>
      <c r="W863" t="s">
        <v>15577</v>
      </c>
      <c r="X863" t="s">
        <v>15578</v>
      </c>
      <c r="Y863" t="s">
        <v>74</v>
      </c>
      <c r="Z863" t="s">
        <v>15579</v>
      </c>
      <c r="AA863" t="s">
        <v>74</v>
      </c>
      <c r="AB863" t="s">
        <v>74</v>
      </c>
      <c r="AC863" t="s">
        <v>74</v>
      </c>
      <c r="AD863" t="s">
        <v>74</v>
      </c>
      <c r="AE863" t="s">
        <v>74</v>
      </c>
      <c r="AF863" t="s">
        <v>74</v>
      </c>
      <c r="AG863">
        <v>0</v>
      </c>
      <c r="AH863">
        <v>0</v>
      </c>
      <c r="AI863">
        <v>0</v>
      </c>
      <c r="AJ863">
        <v>0</v>
      </c>
      <c r="AK863">
        <v>2</v>
      </c>
      <c r="AL863" t="s">
        <v>4849</v>
      </c>
      <c r="AM863" t="s">
        <v>4850</v>
      </c>
      <c r="AN863" t="s">
        <v>4851</v>
      </c>
      <c r="AO863" t="s">
        <v>5360</v>
      </c>
      <c r="AP863" t="s">
        <v>74</v>
      </c>
      <c r="AQ863" t="s">
        <v>74</v>
      </c>
      <c r="AR863" t="s">
        <v>5362</v>
      </c>
      <c r="AS863" t="s">
        <v>5363</v>
      </c>
      <c r="AT863" t="s">
        <v>15286</v>
      </c>
      <c r="AU863">
        <v>2011</v>
      </c>
      <c r="AV863">
        <v>51</v>
      </c>
      <c r="AW863" t="s">
        <v>74</v>
      </c>
      <c r="AX863" t="s">
        <v>74</v>
      </c>
      <c r="AY863">
        <v>1</v>
      </c>
      <c r="AZ863" t="s">
        <v>74</v>
      </c>
      <c r="BA863" t="s">
        <v>74</v>
      </c>
      <c r="BB863" t="s">
        <v>15580</v>
      </c>
      <c r="BC863" t="s">
        <v>15580</v>
      </c>
      <c r="BD863" t="s">
        <v>74</v>
      </c>
      <c r="BE863" t="s">
        <v>74</v>
      </c>
      <c r="BF863" t="s">
        <v>74</v>
      </c>
      <c r="BG863" t="s">
        <v>74</v>
      </c>
      <c r="BH863" t="s">
        <v>74</v>
      </c>
      <c r="BI863">
        <v>1</v>
      </c>
      <c r="BJ863" t="s">
        <v>3232</v>
      </c>
      <c r="BK863" t="s">
        <v>4181</v>
      </c>
      <c r="BL863" t="s">
        <v>3232</v>
      </c>
      <c r="BM863" t="s">
        <v>15572</v>
      </c>
      <c r="BN863" t="s">
        <v>74</v>
      </c>
      <c r="BO863" t="s">
        <v>74</v>
      </c>
      <c r="BP863" t="s">
        <v>74</v>
      </c>
      <c r="BQ863" t="s">
        <v>74</v>
      </c>
      <c r="BR863" t="s">
        <v>103</v>
      </c>
      <c r="BS863" t="s">
        <v>15581</v>
      </c>
      <c r="BT863" t="str">
        <f>HYPERLINK("https%3A%2F%2Fwww.webofscience.com%2Fwos%2Fwoscc%2Ffull-record%2FWOS:000288278100102","View Full Record in Web of Science")</f>
        <v>View Full Record in Web of Science</v>
      </c>
    </row>
    <row r="864" spans="1:72" x14ac:dyDescent="0.15">
      <c r="A864" t="s">
        <v>72</v>
      </c>
      <c r="B864" t="s">
        <v>15582</v>
      </c>
      <c r="C864" t="s">
        <v>74</v>
      </c>
      <c r="D864" t="s">
        <v>74</v>
      </c>
      <c r="E864" t="s">
        <v>74</v>
      </c>
      <c r="F864" t="s">
        <v>15583</v>
      </c>
      <c r="G864" t="s">
        <v>74</v>
      </c>
      <c r="H864" t="s">
        <v>74</v>
      </c>
      <c r="I864" t="s">
        <v>15584</v>
      </c>
      <c r="J864" t="s">
        <v>5350</v>
      </c>
      <c r="K864" t="s">
        <v>74</v>
      </c>
      <c r="L864" t="s">
        <v>74</v>
      </c>
      <c r="M864" t="s">
        <v>78</v>
      </c>
      <c r="N864" t="s">
        <v>52</v>
      </c>
      <c r="O864" t="s">
        <v>15563</v>
      </c>
      <c r="P864" t="s">
        <v>15564</v>
      </c>
      <c r="Q864" t="s">
        <v>15565</v>
      </c>
      <c r="R864" t="s">
        <v>74</v>
      </c>
      <c r="S864" t="s">
        <v>74</v>
      </c>
      <c r="T864" t="s">
        <v>74</v>
      </c>
      <c r="U864" t="s">
        <v>74</v>
      </c>
      <c r="V864" t="s">
        <v>74</v>
      </c>
      <c r="W864" t="s">
        <v>15585</v>
      </c>
      <c r="X864" t="s">
        <v>15586</v>
      </c>
      <c r="Y864" t="s">
        <v>74</v>
      </c>
      <c r="Z864" t="s">
        <v>15587</v>
      </c>
      <c r="AA864" t="s">
        <v>74</v>
      </c>
      <c r="AB864" t="s">
        <v>74</v>
      </c>
      <c r="AC864" t="s">
        <v>74</v>
      </c>
      <c r="AD864" t="s">
        <v>74</v>
      </c>
      <c r="AE864" t="s">
        <v>74</v>
      </c>
      <c r="AF864" t="s">
        <v>74</v>
      </c>
      <c r="AG864">
        <v>0</v>
      </c>
      <c r="AH864">
        <v>0</v>
      </c>
      <c r="AI864">
        <v>0</v>
      </c>
      <c r="AJ864">
        <v>0</v>
      </c>
      <c r="AK864">
        <v>1</v>
      </c>
      <c r="AL864" t="s">
        <v>4849</v>
      </c>
      <c r="AM864" t="s">
        <v>4850</v>
      </c>
      <c r="AN864" t="s">
        <v>4851</v>
      </c>
      <c r="AO864" t="s">
        <v>5360</v>
      </c>
      <c r="AP864" t="s">
        <v>74</v>
      </c>
      <c r="AQ864" t="s">
        <v>74</v>
      </c>
      <c r="AR864" t="s">
        <v>5362</v>
      </c>
      <c r="AS864" t="s">
        <v>5363</v>
      </c>
      <c r="AT864" t="s">
        <v>15286</v>
      </c>
      <c r="AU864">
        <v>2011</v>
      </c>
      <c r="AV864">
        <v>51</v>
      </c>
      <c r="AW864" t="s">
        <v>74</v>
      </c>
      <c r="AX864" t="s">
        <v>74</v>
      </c>
      <c r="AY864">
        <v>1</v>
      </c>
      <c r="AZ864" t="s">
        <v>74</v>
      </c>
      <c r="BA864" t="s">
        <v>74</v>
      </c>
      <c r="BB864" t="s">
        <v>15588</v>
      </c>
      <c r="BC864" t="s">
        <v>15588</v>
      </c>
      <c r="BD864" t="s">
        <v>74</v>
      </c>
      <c r="BE864" t="s">
        <v>74</v>
      </c>
      <c r="BF864" t="s">
        <v>74</v>
      </c>
      <c r="BG864" t="s">
        <v>74</v>
      </c>
      <c r="BH864" t="s">
        <v>74</v>
      </c>
      <c r="BI864">
        <v>1</v>
      </c>
      <c r="BJ864" t="s">
        <v>3232</v>
      </c>
      <c r="BK864" t="s">
        <v>4181</v>
      </c>
      <c r="BL864" t="s">
        <v>3232</v>
      </c>
      <c r="BM864" t="s">
        <v>15572</v>
      </c>
      <c r="BN864" t="s">
        <v>74</v>
      </c>
      <c r="BO864" t="s">
        <v>74</v>
      </c>
      <c r="BP864" t="s">
        <v>74</v>
      </c>
      <c r="BQ864" t="s">
        <v>74</v>
      </c>
      <c r="BR864" t="s">
        <v>103</v>
      </c>
      <c r="BS864" t="s">
        <v>15589</v>
      </c>
      <c r="BT864" t="str">
        <f>HYPERLINK("https%3A%2F%2Fwww.webofscience.com%2Fwos%2Fwoscc%2Ffull-record%2FWOS:000288278101076","View Full Record in Web of Science")</f>
        <v>View Full Record in Web of Science</v>
      </c>
    </row>
    <row r="865" spans="1:72" x14ac:dyDescent="0.15">
      <c r="A865" t="s">
        <v>72</v>
      </c>
      <c r="B865" t="s">
        <v>15590</v>
      </c>
      <c r="C865" t="s">
        <v>74</v>
      </c>
      <c r="D865" t="s">
        <v>74</v>
      </c>
      <c r="E865" t="s">
        <v>74</v>
      </c>
      <c r="F865" t="s">
        <v>15591</v>
      </c>
      <c r="G865" t="s">
        <v>74</v>
      </c>
      <c r="H865" t="s">
        <v>74</v>
      </c>
      <c r="I865" t="s">
        <v>15592</v>
      </c>
      <c r="J865" t="s">
        <v>3994</v>
      </c>
      <c r="K865" t="s">
        <v>74</v>
      </c>
      <c r="L865" t="s">
        <v>74</v>
      </c>
      <c r="M865" t="s">
        <v>78</v>
      </c>
      <c r="N865" t="s">
        <v>79</v>
      </c>
      <c r="O865" t="s">
        <v>74</v>
      </c>
      <c r="P865" t="s">
        <v>74</v>
      </c>
      <c r="Q865" t="s">
        <v>74</v>
      </c>
      <c r="R865" t="s">
        <v>74</v>
      </c>
      <c r="S865" t="s">
        <v>74</v>
      </c>
      <c r="T865" t="s">
        <v>15593</v>
      </c>
      <c r="U865" t="s">
        <v>15594</v>
      </c>
      <c r="V865" t="s">
        <v>15595</v>
      </c>
      <c r="W865" t="s">
        <v>15596</v>
      </c>
      <c r="X865" t="s">
        <v>15597</v>
      </c>
      <c r="Y865" t="s">
        <v>15598</v>
      </c>
      <c r="Z865" t="s">
        <v>15599</v>
      </c>
      <c r="AA865" t="s">
        <v>74</v>
      </c>
      <c r="AB865" t="s">
        <v>74</v>
      </c>
      <c r="AC865" t="s">
        <v>15600</v>
      </c>
      <c r="AD865" t="s">
        <v>15601</v>
      </c>
      <c r="AE865" t="s">
        <v>15602</v>
      </c>
      <c r="AF865" t="s">
        <v>74</v>
      </c>
      <c r="AG865">
        <v>72</v>
      </c>
      <c r="AH865">
        <v>48</v>
      </c>
      <c r="AI865">
        <v>50</v>
      </c>
      <c r="AJ865">
        <v>2</v>
      </c>
      <c r="AK865">
        <v>19</v>
      </c>
      <c r="AL865" t="s">
        <v>926</v>
      </c>
      <c r="AM865" t="s">
        <v>508</v>
      </c>
      <c r="AN865" t="s">
        <v>927</v>
      </c>
      <c r="AO865" t="s">
        <v>4005</v>
      </c>
      <c r="AP865" t="s">
        <v>74</v>
      </c>
      <c r="AQ865" t="s">
        <v>74</v>
      </c>
      <c r="AR865" t="s">
        <v>4006</v>
      </c>
      <c r="AS865" t="s">
        <v>4007</v>
      </c>
      <c r="AT865" t="s">
        <v>15286</v>
      </c>
      <c r="AU865">
        <v>2011</v>
      </c>
      <c r="AV865">
        <v>30</v>
      </c>
      <c r="AW865" t="s">
        <v>10386</v>
      </c>
      <c r="AX865" t="s">
        <v>74</v>
      </c>
      <c r="AY865" t="s">
        <v>74</v>
      </c>
      <c r="AZ865" t="s">
        <v>74</v>
      </c>
      <c r="BA865" t="s">
        <v>74</v>
      </c>
      <c r="BB865">
        <v>723</v>
      </c>
      <c r="BC865">
        <v>736</v>
      </c>
      <c r="BD865" t="s">
        <v>74</v>
      </c>
      <c r="BE865" t="s">
        <v>15603</v>
      </c>
      <c r="BF865" t="str">
        <f>HYPERLINK("http://dx.doi.org/10.1016/j.quascirev.2010.12.015","http://dx.doi.org/10.1016/j.quascirev.2010.12.015")</f>
        <v>http://dx.doi.org/10.1016/j.quascirev.2010.12.015</v>
      </c>
      <c r="BG865" t="s">
        <v>74</v>
      </c>
      <c r="BH865" t="s">
        <v>74</v>
      </c>
      <c r="BI865">
        <v>14</v>
      </c>
      <c r="BJ865" t="s">
        <v>1496</v>
      </c>
      <c r="BK865" t="s">
        <v>100</v>
      </c>
      <c r="BL865" t="s">
        <v>1497</v>
      </c>
      <c r="BM865" t="s">
        <v>15604</v>
      </c>
      <c r="BN865" t="s">
        <v>74</v>
      </c>
      <c r="BO865" t="s">
        <v>74</v>
      </c>
      <c r="BP865" t="s">
        <v>74</v>
      </c>
      <c r="BQ865" t="s">
        <v>74</v>
      </c>
      <c r="BR865" t="s">
        <v>103</v>
      </c>
      <c r="BS865" t="s">
        <v>15605</v>
      </c>
      <c r="BT865" t="str">
        <f>HYPERLINK("https%3A%2F%2Fwww.webofscience.com%2Fwos%2Fwoscc%2Ffull-record%2FWOS:000288840000015","View Full Record in Web of Science")</f>
        <v>View Full Record in Web of Science</v>
      </c>
    </row>
    <row r="866" spans="1:72" x14ac:dyDescent="0.15">
      <c r="A866" t="s">
        <v>72</v>
      </c>
      <c r="B866" t="s">
        <v>15606</v>
      </c>
      <c r="C866" t="s">
        <v>74</v>
      </c>
      <c r="D866" t="s">
        <v>74</v>
      </c>
      <c r="E866" t="s">
        <v>74</v>
      </c>
      <c r="F866" t="s">
        <v>15607</v>
      </c>
      <c r="G866" t="s">
        <v>74</v>
      </c>
      <c r="H866" t="s">
        <v>74</v>
      </c>
      <c r="I866" t="s">
        <v>15608</v>
      </c>
      <c r="J866" t="s">
        <v>4460</v>
      </c>
      <c r="K866" t="s">
        <v>74</v>
      </c>
      <c r="L866" t="s">
        <v>74</v>
      </c>
      <c r="M866" t="s">
        <v>78</v>
      </c>
      <c r="N866" t="s">
        <v>79</v>
      </c>
      <c r="O866" t="s">
        <v>74</v>
      </c>
      <c r="P866" t="s">
        <v>74</v>
      </c>
      <c r="Q866" t="s">
        <v>74</v>
      </c>
      <c r="R866" t="s">
        <v>74</v>
      </c>
      <c r="S866" t="s">
        <v>74</v>
      </c>
      <c r="T866" t="s">
        <v>15609</v>
      </c>
      <c r="U866" t="s">
        <v>15610</v>
      </c>
      <c r="V866" t="s">
        <v>15611</v>
      </c>
      <c r="W866" t="s">
        <v>15612</v>
      </c>
      <c r="X866" t="s">
        <v>15613</v>
      </c>
      <c r="Y866" t="s">
        <v>15614</v>
      </c>
      <c r="Z866" t="s">
        <v>15615</v>
      </c>
      <c r="AA866" t="s">
        <v>15616</v>
      </c>
      <c r="AB866" t="s">
        <v>15617</v>
      </c>
      <c r="AC866" t="s">
        <v>74</v>
      </c>
      <c r="AD866" t="s">
        <v>74</v>
      </c>
      <c r="AE866" t="s">
        <v>74</v>
      </c>
      <c r="AF866" t="s">
        <v>74</v>
      </c>
      <c r="AG866">
        <v>51</v>
      </c>
      <c r="AH866">
        <v>78</v>
      </c>
      <c r="AI866">
        <v>78</v>
      </c>
      <c r="AJ866">
        <v>0</v>
      </c>
      <c r="AK866">
        <v>40</v>
      </c>
      <c r="AL866" t="s">
        <v>926</v>
      </c>
      <c r="AM866" t="s">
        <v>508</v>
      </c>
      <c r="AN866" t="s">
        <v>927</v>
      </c>
      <c r="AO866" t="s">
        <v>4472</v>
      </c>
      <c r="AP866" t="s">
        <v>4473</v>
      </c>
      <c r="AQ866" t="s">
        <v>74</v>
      </c>
      <c r="AR866" t="s">
        <v>4474</v>
      </c>
      <c r="AS866" t="s">
        <v>4475</v>
      </c>
      <c r="AT866" t="s">
        <v>15618</v>
      </c>
      <c r="AU866">
        <v>2011</v>
      </c>
      <c r="AV866">
        <v>58</v>
      </c>
      <c r="AW866">
        <v>5</v>
      </c>
      <c r="AX866" t="s">
        <v>74</v>
      </c>
      <c r="AY866" t="s">
        <v>74</v>
      </c>
      <c r="AZ866" t="s">
        <v>74</v>
      </c>
      <c r="BA866" t="s">
        <v>74</v>
      </c>
      <c r="BB866">
        <v>547</v>
      </c>
      <c r="BC866">
        <v>558</v>
      </c>
      <c r="BD866" t="s">
        <v>74</v>
      </c>
      <c r="BE866" t="s">
        <v>15619</v>
      </c>
      <c r="BF866" t="str">
        <f>HYPERLINK("http://dx.doi.org/10.1016/j.dsr2.2010.06.007","http://dx.doi.org/10.1016/j.dsr2.2010.06.007")</f>
        <v>http://dx.doi.org/10.1016/j.dsr2.2010.06.007</v>
      </c>
      <c r="BG866" t="s">
        <v>74</v>
      </c>
      <c r="BH866" t="s">
        <v>74</v>
      </c>
      <c r="BI866">
        <v>12</v>
      </c>
      <c r="BJ866" t="s">
        <v>271</v>
      </c>
      <c r="BK866" t="s">
        <v>100</v>
      </c>
      <c r="BL866" t="s">
        <v>271</v>
      </c>
      <c r="BM866" t="s">
        <v>15620</v>
      </c>
      <c r="BN866" t="s">
        <v>74</v>
      </c>
      <c r="BO866" t="s">
        <v>74</v>
      </c>
      <c r="BP866" t="s">
        <v>74</v>
      </c>
      <c r="BQ866" t="s">
        <v>74</v>
      </c>
      <c r="BR866" t="s">
        <v>103</v>
      </c>
      <c r="BS866" t="s">
        <v>15621</v>
      </c>
      <c r="BT866" t="str">
        <f>HYPERLINK("https%3A%2F%2Fwww.webofscience.com%2Fwos%2Fwoscc%2Ffull-record%2FWOS:000288728700002","View Full Record in Web of Science")</f>
        <v>View Full Record in Web of Science</v>
      </c>
    </row>
    <row r="867" spans="1:72" x14ac:dyDescent="0.15">
      <c r="A867" t="s">
        <v>72</v>
      </c>
      <c r="B867" t="s">
        <v>15622</v>
      </c>
      <c r="C867" t="s">
        <v>74</v>
      </c>
      <c r="D867" t="s">
        <v>74</v>
      </c>
      <c r="E867" t="s">
        <v>74</v>
      </c>
      <c r="F867" t="s">
        <v>15623</v>
      </c>
      <c r="G867" t="s">
        <v>74</v>
      </c>
      <c r="H867" t="s">
        <v>74</v>
      </c>
      <c r="I867" t="s">
        <v>15624</v>
      </c>
      <c r="J867" t="s">
        <v>4368</v>
      </c>
      <c r="K867" t="s">
        <v>74</v>
      </c>
      <c r="L867" t="s">
        <v>74</v>
      </c>
      <c r="M867" t="s">
        <v>78</v>
      </c>
      <c r="N867" t="s">
        <v>6164</v>
      </c>
      <c r="O867" t="s">
        <v>15625</v>
      </c>
      <c r="P867" t="s">
        <v>15626</v>
      </c>
      <c r="Q867" t="s">
        <v>15627</v>
      </c>
      <c r="R867" t="s">
        <v>74</v>
      </c>
      <c r="S867" t="s">
        <v>15628</v>
      </c>
      <c r="T867" t="s">
        <v>15629</v>
      </c>
      <c r="U867" t="s">
        <v>15630</v>
      </c>
      <c r="V867" t="s">
        <v>15631</v>
      </c>
      <c r="W867" t="s">
        <v>15632</v>
      </c>
      <c r="X867" t="s">
        <v>15633</v>
      </c>
      <c r="Y867" t="s">
        <v>15634</v>
      </c>
      <c r="Z867" t="s">
        <v>15635</v>
      </c>
      <c r="AA867" t="s">
        <v>15636</v>
      </c>
      <c r="AB867" t="s">
        <v>15637</v>
      </c>
      <c r="AC867" t="s">
        <v>74</v>
      </c>
      <c r="AD867" t="s">
        <v>74</v>
      </c>
      <c r="AE867" t="s">
        <v>74</v>
      </c>
      <c r="AF867" t="s">
        <v>74</v>
      </c>
      <c r="AG867">
        <v>43</v>
      </c>
      <c r="AH867">
        <v>13</v>
      </c>
      <c r="AI867">
        <v>13</v>
      </c>
      <c r="AJ867">
        <v>0</v>
      </c>
      <c r="AK867">
        <v>7</v>
      </c>
      <c r="AL867" t="s">
        <v>1323</v>
      </c>
      <c r="AM867" t="s">
        <v>1324</v>
      </c>
      <c r="AN867" t="s">
        <v>1325</v>
      </c>
      <c r="AO867" t="s">
        <v>4381</v>
      </c>
      <c r="AP867" t="s">
        <v>10115</v>
      </c>
      <c r="AQ867" t="s">
        <v>74</v>
      </c>
      <c r="AR867" t="s">
        <v>4368</v>
      </c>
      <c r="AS867" t="s">
        <v>4382</v>
      </c>
      <c r="AT867" t="s">
        <v>15286</v>
      </c>
      <c r="AU867">
        <v>2011</v>
      </c>
      <c r="AV867">
        <v>63</v>
      </c>
      <c r="AW867">
        <v>3</v>
      </c>
      <c r="AX867" t="s">
        <v>74</v>
      </c>
      <c r="AY867" t="s">
        <v>74</v>
      </c>
      <c r="AZ867" t="s">
        <v>864</v>
      </c>
      <c r="BA867" t="s">
        <v>74</v>
      </c>
      <c r="BB867">
        <v>175</v>
      </c>
      <c r="BC867">
        <v>182</v>
      </c>
      <c r="BD867" t="s">
        <v>74</v>
      </c>
      <c r="BE867" t="s">
        <v>15638</v>
      </c>
      <c r="BF867" t="str">
        <f>HYPERLINK("http://dx.doi.org/10.1002/iub.436","http://dx.doi.org/10.1002/iub.436")</f>
        <v>http://dx.doi.org/10.1002/iub.436</v>
      </c>
      <c r="BG867" t="s">
        <v>74</v>
      </c>
      <c r="BH867" t="s">
        <v>74</v>
      </c>
      <c r="BI867">
        <v>8</v>
      </c>
      <c r="BJ867" t="s">
        <v>4384</v>
      </c>
      <c r="BK867" t="s">
        <v>4181</v>
      </c>
      <c r="BL867" t="s">
        <v>4384</v>
      </c>
      <c r="BM867" t="s">
        <v>15639</v>
      </c>
      <c r="BN867">
        <v>21445848</v>
      </c>
      <c r="BO867" t="s">
        <v>74</v>
      </c>
      <c r="BP867" t="s">
        <v>74</v>
      </c>
      <c r="BQ867" t="s">
        <v>74</v>
      </c>
      <c r="BR867" t="s">
        <v>103</v>
      </c>
      <c r="BS867" t="s">
        <v>15640</v>
      </c>
      <c r="BT867" t="str">
        <f>HYPERLINK("https%3A%2F%2Fwww.webofscience.com%2Fwos%2Fwoscc%2Ffull-record%2FWOS:000288860900007","View Full Record in Web of Science")</f>
        <v>View Full Record in Web of Science</v>
      </c>
    </row>
    <row r="868" spans="1:72" x14ac:dyDescent="0.15">
      <c r="A868" t="s">
        <v>72</v>
      </c>
      <c r="B868" t="s">
        <v>15641</v>
      </c>
      <c r="C868" t="s">
        <v>74</v>
      </c>
      <c r="D868" t="s">
        <v>74</v>
      </c>
      <c r="E868" t="s">
        <v>74</v>
      </c>
      <c r="F868" t="s">
        <v>15642</v>
      </c>
      <c r="G868" t="s">
        <v>74</v>
      </c>
      <c r="H868" t="s">
        <v>74</v>
      </c>
      <c r="I868" t="s">
        <v>15643</v>
      </c>
      <c r="J868" t="s">
        <v>4368</v>
      </c>
      <c r="K868" t="s">
        <v>74</v>
      </c>
      <c r="L868" t="s">
        <v>74</v>
      </c>
      <c r="M868" t="s">
        <v>78</v>
      </c>
      <c r="N868" t="s">
        <v>6164</v>
      </c>
      <c r="O868" t="s">
        <v>15625</v>
      </c>
      <c r="P868" t="s">
        <v>15626</v>
      </c>
      <c r="Q868" t="s">
        <v>15627</v>
      </c>
      <c r="R868" t="s">
        <v>74</v>
      </c>
      <c r="S868" t="s">
        <v>15628</v>
      </c>
      <c r="T868" t="s">
        <v>15644</v>
      </c>
      <c r="U868" t="s">
        <v>15645</v>
      </c>
      <c r="V868" t="s">
        <v>15646</v>
      </c>
      <c r="W868" t="s">
        <v>15647</v>
      </c>
      <c r="X868" t="s">
        <v>15648</v>
      </c>
      <c r="Y868" t="s">
        <v>15649</v>
      </c>
      <c r="Z868" t="s">
        <v>15650</v>
      </c>
      <c r="AA868" t="s">
        <v>15651</v>
      </c>
      <c r="AB868" t="s">
        <v>15652</v>
      </c>
      <c r="AC868" t="s">
        <v>74</v>
      </c>
      <c r="AD868" t="s">
        <v>74</v>
      </c>
      <c r="AE868" t="s">
        <v>74</v>
      </c>
      <c r="AF868" t="s">
        <v>74</v>
      </c>
      <c r="AG868">
        <v>44</v>
      </c>
      <c r="AH868">
        <v>12</v>
      </c>
      <c r="AI868">
        <v>16</v>
      </c>
      <c r="AJ868">
        <v>0</v>
      </c>
      <c r="AK868">
        <v>9</v>
      </c>
      <c r="AL868" t="s">
        <v>1323</v>
      </c>
      <c r="AM868" t="s">
        <v>1324</v>
      </c>
      <c r="AN868" t="s">
        <v>1325</v>
      </c>
      <c r="AO868" t="s">
        <v>4381</v>
      </c>
      <c r="AP868" t="s">
        <v>10115</v>
      </c>
      <c r="AQ868" t="s">
        <v>74</v>
      </c>
      <c r="AR868" t="s">
        <v>4368</v>
      </c>
      <c r="AS868" t="s">
        <v>4382</v>
      </c>
      <c r="AT868" t="s">
        <v>15286</v>
      </c>
      <c r="AU868">
        <v>2011</v>
      </c>
      <c r="AV868">
        <v>63</v>
      </c>
      <c r="AW868">
        <v>3</v>
      </c>
      <c r="AX868" t="s">
        <v>74</v>
      </c>
      <c r="AY868" t="s">
        <v>74</v>
      </c>
      <c r="AZ868" t="s">
        <v>864</v>
      </c>
      <c r="BA868" t="s">
        <v>74</v>
      </c>
      <c r="BB868">
        <v>206</v>
      </c>
      <c r="BC868">
        <v>213</v>
      </c>
      <c r="BD868" t="s">
        <v>74</v>
      </c>
      <c r="BE868" t="s">
        <v>15653</v>
      </c>
      <c r="BF868" t="str">
        <f>HYPERLINK("http://dx.doi.org/10.1002/iub.444","http://dx.doi.org/10.1002/iub.444")</f>
        <v>http://dx.doi.org/10.1002/iub.444</v>
      </c>
      <c r="BG868" t="s">
        <v>74</v>
      </c>
      <c r="BH868" t="s">
        <v>74</v>
      </c>
      <c r="BI868">
        <v>8</v>
      </c>
      <c r="BJ868" t="s">
        <v>4384</v>
      </c>
      <c r="BK868" t="s">
        <v>4181</v>
      </c>
      <c r="BL868" t="s">
        <v>4384</v>
      </c>
      <c r="BM868" t="s">
        <v>15639</v>
      </c>
      <c r="BN868">
        <v>21445852</v>
      </c>
      <c r="BO868" t="s">
        <v>152</v>
      </c>
      <c r="BP868" t="s">
        <v>74</v>
      </c>
      <c r="BQ868" t="s">
        <v>74</v>
      </c>
      <c r="BR868" t="s">
        <v>103</v>
      </c>
      <c r="BS868" t="s">
        <v>15654</v>
      </c>
      <c r="BT868" t="str">
        <f>HYPERLINK("https%3A%2F%2Fwww.webofscience.com%2Fwos%2Fwoscc%2Ffull-record%2FWOS:000288860900011","View Full Record in Web of Science")</f>
        <v>View Full Record in Web of Science</v>
      </c>
    </row>
    <row r="869" spans="1:72" x14ac:dyDescent="0.15">
      <c r="A869" t="s">
        <v>72</v>
      </c>
      <c r="B869" t="s">
        <v>15655</v>
      </c>
      <c r="C869" t="s">
        <v>74</v>
      </c>
      <c r="D869" t="s">
        <v>74</v>
      </c>
      <c r="E869" t="s">
        <v>74</v>
      </c>
      <c r="F869" t="s">
        <v>15656</v>
      </c>
      <c r="G869" t="s">
        <v>74</v>
      </c>
      <c r="H869" t="s">
        <v>74</v>
      </c>
      <c r="I869" t="s">
        <v>15657</v>
      </c>
      <c r="J869" t="s">
        <v>1454</v>
      </c>
      <c r="K869" t="s">
        <v>74</v>
      </c>
      <c r="L869" t="s">
        <v>74</v>
      </c>
      <c r="M869" t="s">
        <v>78</v>
      </c>
      <c r="N869" t="s">
        <v>79</v>
      </c>
      <c r="O869" t="s">
        <v>74</v>
      </c>
      <c r="P869" t="s">
        <v>74</v>
      </c>
      <c r="Q869" t="s">
        <v>74</v>
      </c>
      <c r="R869" t="s">
        <v>74</v>
      </c>
      <c r="S869" t="s">
        <v>74</v>
      </c>
      <c r="T869" t="s">
        <v>74</v>
      </c>
      <c r="U869" t="s">
        <v>15658</v>
      </c>
      <c r="V869" t="s">
        <v>15659</v>
      </c>
      <c r="W869" t="s">
        <v>15660</v>
      </c>
      <c r="X869" t="s">
        <v>15661</v>
      </c>
      <c r="Y869" t="s">
        <v>15662</v>
      </c>
      <c r="Z869" t="s">
        <v>15663</v>
      </c>
      <c r="AA869" t="s">
        <v>74</v>
      </c>
      <c r="AB869" t="s">
        <v>15664</v>
      </c>
      <c r="AC869" t="s">
        <v>74</v>
      </c>
      <c r="AD869" t="s">
        <v>74</v>
      </c>
      <c r="AE869" t="s">
        <v>74</v>
      </c>
      <c r="AF869" t="s">
        <v>74</v>
      </c>
      <c r="AG869">
        <v>43</v>
      </c>
      <c r="AH869">
        <v>29</v>
      </c>
      <c r="AI869">
        <v>31</v>
      </c>
      <c r="AJ869">
        <v>0</v>
      </c>
      <c r="AK869">
        <v>9</v>
      </c>
      <c r="AL869" t="s">
        <v>1323</v>
      </c>
      <c r="AM869" t="s">
        <v>1324</v>
      </c>
      <c r="AN869" t="s">
        <v>1325</v>
      </c>
      <c r="AO869" t="s">
        <v>1466</v>
      </c>
      <c r="AP869" t="s">
        <v>1467</v>
      </c>
      <c r="AQ869" t="s">
        <v>74</v>
      </c>
      <c r="AR869" t="s">
        <v>1468</v>
      </c>
      <c r="AS869" t="s">
        <v>1469</v>
      </c>
      <c r="AT869" t="s">
        <v>15286</v>
      </c>
      <c r="AU869">
        <v>2011</v>
      </c>
      <c r="AV869">
        <v>46</v>
      </c>
      <c r="AW869">
        <v>3</v>
      </c>
      <c r="AX869" t="s">
        <v>74</v>
      </c>
      <c r="AY869" t="s">
        <v>74</v>
      </c>
      <c r="AZ869" t="s">
        <v>74</v>
      </c>
      <c r="BA869" t="s">
        <v>74</v>
      </c>
      <c r="BB869">
        <v>443</v>
      </c>
      <c r="BC869">
        <v>458</v>
      </c>
      <c r="BD869" t="s">
        <v>74</v>
      </c>
      <c r="BE869" t="s">
        <v>15665</v>
      </c>
      <c r="BF869" t="str">
        <f>HYPERLINK("http://dx.doi.org/10.1111/j.1945-5100.2010.01166.x","http://dx.doi.org/10.1111/j.1945-5100.2010.01166.x")</f>
        <v>http://dx.doi.org/10.1111/j.1945-5100.2010.01166.x</v>
      </c>
      <c r="BG869" t="s">
        <v>74</v>
      </c>
      <c r="BH869" t="s">
        <v>74</v>
      </c>
      <c r="BI869">
        <v>16</v>
      </c>
      <c r="BJ869" t="s">
        <v>488</v>
      </c>
      <c r="BK869" t="s">
        <v>100</v>
      </c>
      <c r="BL869" t="s">
        <v>488</v>
      </c>
      <c r="BM869" t="s">
        <v>15666</v>
      </c>
      <c r="BN869" t="s">
        <v>74</v>
      </c>
      <c r="BO869" t="s">
        <v>152</v>
      </c>
      <c r="BP869" t="s">
        <v>74</v>
      </c>
      <c r="BQ869" t="s">
        <v>74</v>
      </c>
      <c r="BR869" t="s">
        <v>103</v>
      </c>
      <c r="BS869" t="s">
        <v>15667</v>
      </c>
      <c r="BT869" t="str">
        <f>HYPERLINK("https%3A%2F%2Fwww.webofscience.com%2Fwos%2Fwoscc%2Ffull-record%2FWOS:000288500900006","View Full Record in Web of Science")</f>
        <v>View Full Record in Web of Science</v>
      </c>
    </row>
    <row r="870" spans="1:72" x14ac:dyDescent="0.15">
      <c r="A870" t="s">
        <v>72</v>
      </c>
      <c r="B870" t="s">
        <v>15668</v>
      </c>
      <c r="C870" t="s">
        <v>74</v>
      </c>
      <c r="D870" t="s">
        <v>74</v>
      </c>
      <c r="E870" t="s">
        <v>74</v>
      </c>
      <c r="F870" t="s">
        <v>15669</v>
      </c>
      <c r="G870" t="s">
        <v>74</v>
      </c>
      <c r="H870" t="s">
        <v>74</v>
      </c>
      <c r="I870" t="s">
        <v>15670</v>
      </c>
      <c r="J870" t="s">
        <v>15671</v>
      </c>
      <c r="K870" t="s">
        <v>74</v>
      </c>
      <c r="L870" t="s">
        <v>74</v>
      </c>
      <c r="M870" t="s">
        <v>78</v>
      </c>
      <c r="N870" t="s">
        <v>79</v>
      </c>
      <c r="O870" t="s">
        <v>74</v>
      </c>
      <c r="P870" t="s">
        <v>74</v>
      </c>
      <c r="Q870" t="s">
        <v>74</v>
      </c>
      <c r="R870" t="s">
        <v>74</v>
      </c>
      <c r="S870" t="s">
        <v>74</v>
      </c>
      <c r="T870" t="s">
        <v>15672</v>
      </c>
      <c r="U870" t="s">
        <v>15673</v>
      </c>
      <c r="V870" t="s">
        <v>15674</v>
      </c>
      <c r="W870" t="s">
        <v>15675</v>
      </c>
      <c r="X870" t="s">
        <v>15676</v>
      </c>
      <c r="Y870" t="s">
        <v>15677</v>
      </c>
      <c r="Z870" t="s">
        <v>15678</v>
      </c>
      <c r="AA870" t="s">
        <v>74</v>
      </c>
      <c r="AB870" t="s">
        <v>74</v>
      </c>
      <c r="AC870" t="s">
        <v>74</v>
      </c>
      <c r="AD870" t="s">
        <v>74</v>
      </c>
      <c r="AE870" t="s">
        <v>74</v>
      </c>
      <c r="AF870" t="s">
        <v>74</v>
      </c>
      <c r="AG870">
        <v>23</v>
      </c>
      <c r="AH870">
        <v>5</v>
      </c>
      <c r="AI870">
        <v>6</v>
      </c>
      <c r="AJ870">
        <v>0</v>
      </c>
      <c r="AK870">
        <v>5</v>
      </c>
      <c r="AL870" t="s">
        <v>1014</v>
      </c>
      <c r="AM870" t="s">
        <v>1015</v>
      </c>
      <c r="AN870" t="s">
        <v>15679</v>
      </c>
      <c r="AO870" t="s">
        <v>15680</v>
      </c>
      <c r="AP870" t="s">
        <v>15681</v>
      </c>
      <c r="AQ870" t="s">
        <v>74</v>
      </c>
      <c r="AR870" t="s">
        <v>15682</v>
      </c>
      <c r="AS870" t="s">
        <v>15683</v>
      </c>
      <c r="AT870" t="s">
        <v>15286</v>
      </c>
      <c r="AU870">
        <v>2011</v>
      </c>
      <c r="AV870">
        <v>38</v>
      </c>
      <c r="AW870">
        <v>1</v>
      </c>
      <c r="AX870" t="s">
        <v>74</v>
      </c>
      <c r="AY870" t="s">
        <v>74</v>
      </c>
      <c r="AZ870" t="s">
        <v>74</v>
      </c>
      <c r="BA870" t="s">
        <v>74</v>
      </c>
      <c r="BB870">
        <v>43</v>
      </c>
      <c r="BC870">
        <v>54</v>
      </c>
      <c r="BD870" t="s">
        <v>74</v>
      </c>
      <c r="BE870" t="s">
        <v>15684</v>
      </c>
      <c r="BF870" t="str">
        <f>HYPERLINK("http://dx.doi.org/10.1080/03014223.2010.525746","http://dx.doi.org/10.1080/03014223.2010.525746")</f>
        <v>http://dx.doi.org/10.1080/03014223.2010.525746</v>
      </c>
      <c r="BG870" t="s">
        <v>74</v>
      </c>
      <c r="BH870" t="s">
        <v>74</v>
      </c>
      <c r="BI870">
        <v>12</v>
      </c>
      <c r="BJ870" t="s">
        <v>3232</v>
      </c>
      <c r="BK870" t="s">
        <v>100</v>
      </c>
      <c r="BL870" t="s">
        <v>3232</v>
      </c>
      <c r="BM870" t="s">
        <v>15685</v>
      </c>
      <c r="BN870" t="s">
        <v>74</v>
      </c>
      <c r="BO870" t="s">
        <v>74</v>
      </c>
      <c r="BP870" t="s">
        <v>74</v>
      </c>
      <c r="BQ870" t="s">
        <v>74</v>
      </c>
      <c r="BR870" t="s">
        <v>103</v>
      </c>
      <c r="BS870" t="s">
        <v>15686</v>
      </c>
      <c r="BT870" t="str">
        <f>HYPERLINK("https%3A%2F%2Fwww.webofscience.com%2Fwos%2Fwoscc%2Ffull-record%2FWOS:000288670100004","View Full Record in Web of Science")</f>
        <v>View Full Record in Web of Science</v>
      </c>
    </row>
    <row r="871" spans="1:72" x14ac:dyDescent="0.15">
      <c r="A871" t="s">
        <v>72</v>
      </c>
      <c r="B871" t="s">
        <v>15687</v>
      </c>
      <c r="C871" t="s">
        <v>74</v>
      </c>
      <c r="D871" t="s">
        <v>74</v>
      </c>
      <c r="E871" t="s">
        <v>74</v>
      </c>
      <c r="F871" t="s">
        <v>15688</v>
      </c>
      <c r="G871" t="s">
        <v>74</v>
      </c>
      <c r="H871" t="s">
        <v>74</v>
      </c>
      <c r="I871" t="s">
        <v>15689</v>
      </c>
      <c r="J871" t="s">
        <v>11466</v>
      </c>
      <c r="K871" t="s">
        <v>74</v>
      </c>
      <c r="L871" t="s">
        <v>74</v>
      </c>
      <c r="M871" t="s">
        <v>78</v>
      </c>
      <c r="N871" t="s">
        <v>79</v>
      </c>
      <c r="O871" t="s">
        <v>74</v>
      </c>
      <c r="P871" t="s">
        <v>74</v>
      </c>
      <c r="Q871" t="s">
        <v>74</v>
      </c>
      <c r="R871" t="s">
        <v>74</v>
      </c>
      <c r="S871" t="s">
        <v>74</v>
      </c>
      <c r="T871" t="s">
        <v>15690</v>
      </c>
      <c r="U871" t="s">
        <v>15691</v>
      </c>
      <c r="V871" t="s">
        <v>15692</v>
      </c>
      <c r="W871" t="s">
        <v>15693</v>
      </c>
      <c r="X871" t="s">
        <v>15694</v>
      </c>
      <c r="Y871" t="s">
        <v>15695</v>
      </c>
      <c r="Z871" t="s">
        <v>15696</v>
      </c>
      <c r="AA871" t="s">
        <v>74</v>
      </c>
      <c r="AB871" t="s">
        <v>74</v>
      </c>
      <c r="AC871" t="s">
        <v>74</v>
      </c>
      <c r="AD871" t="s">
        <v>74</v>
      </c>
      <c r="AE871" t="s">
        <v>74</v>
      </c>
      <c r="AF871" t="s">
        <v>74</v>
      </c>
      <c r="AG871">
        <v>45</v>
      </c>
      <c r="AH871">
        <v>23</v>
      </c>
      <c r="AI871">
        <v>26</v>
      </c>
      <c r="AJ871">
        <v>0</v>
      </c>
      <c r="AK871">
        <v>34</v>
      </c>
      <c r="AL871" t="s">
        <v>1851</v>
      </c>
      <c r="AM871" t="s">
        <v>1852</v>
      </c>
      <c r="AN871" t="s">
        <v>1853</v>
      </c>
      <c r="AO871" t="s">
        <v>11476</v>
      </c>
      <c r="AP871" t="s">
        <v>74</v>
      </c>
      <c r="AQ871" t="s">
        <v>74</v>
      </c>
      <c r="AR871" t="s">
        <v>11478</v>
      </c>
      <c r="AS871" t="s">
        <v>11479</v>
      </c>
      <c r="AT871" t="s">
        <v>15286</v>
      </c>
      <c r="AU871">
        <v>2011</v>
      </c>
      <c r="AV871">
        <v>75</v>
      </c>
      <c r="AW871">
        <v>2</v>
      </c>
      <c r="AX871" t="s">
        <v>74</v>
      </c>
      <c r="AY871" t="s">
        <v>74</v>
      </c>
      <c r="AZ871" t="s">
        <v>864</v>
      </c>
      <c r="BA871" t="s">
        <v>74</v>
      </c>
      <c r="BB871">
        <v>347</v>
      </c>
      <c r="BC871">
        <v>355</v>
      </c>
      <c r="BD871" t="s">
        <v>74</v>
      </c>
      <c r="BE871" t="s">
        <v>15697</v>
      </c>
      <c r="BF871" t="str">
        <f>HYPERLINK("http://dx.doi.org/10.1016/j.yqres.2010.12.009","http://dx.doi.org/10.1016/j.yqres.2010.12.009")</f>
        <v>http://dx.doi.org/10.1016/j.yqres.2010.12.009</v>
      </c>
      <c r="BG871" t="s">
        <v>74</v>
      </c>
      <c r="BH871" t="s">
        <v>74</v>
      </c>
      <c r="BI871">
        <v>9</v>
      </c>
      <c r="BJ871" t="s">
        <v>1496</v>
      </c>
      <c r="BK871" t="s">
        <v>100</v>
      </c>
      <c r="BL871" t="s">
        <v>1497</v>
      </c>
      <c r="BM871" t="s">
        <v>15698</v>
      </c>
      <c r="BN871" t="s">
        <v>74</v>
      </c>
      <c r="BO871" t="s">
        <v>74</v>
      </c>
      <c r="BP871" t="s">
        <v>74</v>
      </c>
      <c r="BQ871" t="s">
        <v>74</v>
      </c>
      <c r="BR871" t="s">
        <v>103</v>
      </c>
      <c r="BS871" t="s">
        <v>15699</v>
      </c>
      <c r="BT871" t="str">
        <f>HYPERLINK("https%3A%2F%2Fwww.webofscience.com%2Fwos%2Fwoscc%2Ffull-record%2FWOS:000288617700005","View Full Record in Web of Science")</f>
        <v>View Full Record in Web of Science</v>
      </c>
    </row>
    <row r="872" spans="1:72" x14ac:dyDescent="0.15">
      <c r="A872" t="s">
        <v>72</v>
      </c>
      <c r="B872" t="s">
        <v>15700</v>
      </c>
      <c r="C872" t="s">
        <v>74</v>
      </c>
      <c r="D872" t="s">
        <v>74</v>
      </c>
      <c r="E872" t="s">
        <v>74</v>
      </c>
      <c r="F872" t="s">
        <v>15701</v>
      </c>
      <c r="G872" t="s">
        <v>74</v>
      </c>
      <c r="H872" t="s">
        <v>74</v>
      </c>
      <c r="I872" t="s">
        <v>15702</v>
      </c>
      <c r="J872" t="s">
        <v>15703</v>
      </c>
      <c r="K872" t="s">
        <v>74</v>
      </c>
      <c r="L872" t="s">
        <v>74</v>
      </c>
      <c r="M872" t="s">
        <v>78</v>
      </c>
      <c r="N872" t="s">
        <v>79</v>
      </c>
      <c r="O872" t="s">
        <v>74</v>
      </c>
      <c r="P872" t="s">
        <v>74</v>
      </c>
      <c r="Q872" t="s">
        <v>74</v>
      </c>
      <c r="R872" t="s">
        <v>74</v>
      </c>
      <c r="S872" t="s">
        <v>74</v>
      </c>
      <c r="T872" t="s">
        <v>15704</v>
      </c>
      <c r="U872" t="s">
        <v>15705</v>
      </c>
      <c r="V872" t="s">
        <v>15706</v>
      </c>
      <c r="W872" t="s">
        <v>15707</v>
      </c>
      <c r="X872" t="s">
        <v>15708</v>
      </c>
      <c r="Y872" t="s">
        <v>15709</v>
      </c>
      <c r="Z872" t="s">
        <v>15710</v>
      </c>
      <c r="AA872" t="s">
        <v>74</v>
      </c>
      <c r="AB872" t="s">
        <v>15711</v>
      </c>
      <c r="AC872" t="s">
        <v>15712</v>
      </c>
      <c r="AD872" t="s">
        <v>15712</v>
      </c>
      <c r="AE872" t="s">
        <v>15713</v>
      </c>
      <c r="AF872" t="s">
        <v>74</v>
      </c>
      <c r="AG872">
        <v>27</v>
      </c>
      <c r="AH872">
        <v>11</v>
      </c>
      <c r="AI872">
        <v>11</v>
      </c>
      <c r="AJ872">
        <v>0</v>
      </c>
      <c r="AK872">
        <v>18</v>
      </c>
      <c r="AL872" t="s">
        <v>15714</v>
      </c>
      <c r="AM872" t="s">
        <v>121</v>
      </c>
      <c r="AN872" t="s">
        <v>15715</v>
      </c>
      <c r="AO872" t="s">
        <v>15716</v>
      </c>
      <c r="AP872" t="s">
        <v>15717</v>
      </c>
      <c r="AQ872" t="s">
        <v>74</v>
      </c>
      <c r="AR872" t="s">
        <v>15703</v>
      </c>
      <c r="AS872" t="s">
        <v>15718</v>
      </c>
      <c r="AT872" t="s">
        <v>15286</v>
      </c>
      <c r="AU872">
        <v>2011</v>
      </c>
      <c r="AV872">
        <v>34</v>
      </c>
      <c r="AW872">
        <v>1</v>
      </c>
      <c r="AX872" t="s">
        <v>74</v>
      </c>
      <c r="AY872" t="s">
        <v>74</v>
      </c>
      <c r="AZ872" t="s">
        <v>74</v>
      </c>
      <c r="BA872" t="s">
        <v>74</v>
      </c>
      <c r="BB872">
        <v>121</v>
      </c>
      <c r="BC872">
        <v>125</v>
      </c>
      <c r="BD872" t="s">
        <v>74</v>
      </c>
      <c r="BE872" t="s">
        <v>15719</v>
      </c>
      <c r="BF872" t="str">
        <f>HYPERLINK("http://dx.doi.org/10.1675/063.034.0117","http://dx.doi.org/10.1675/063.034.0117")</f>
        <v>http://dx.doi.org/10.1675/063.034.0117</v>
      </c>
      <c r="BG872" t="s">
        <v>74</v>
      </c>
      <c r="BH872" t="s">
        <v>74</v>
      </c>
      <c r="BI872">
        <v>5</v>
      </c>
      <c r="BJ872" t="s">
        <v>4855</v>
      </c>
      <c r="BK872" t="s">
        <v>100</v>
      </c>
      <c r="BL872" t="s">
        <v>3232</v>
      </c>
      <c r="BM872" t="s">
        <v>15720</v>
      </c>
      <c r="BN872" t="s">
        <v>74</v>
      </c>
      <c r="BO872" t="s">
        <v>74</v>
      </c>
      <c r="BP872" t="s">
        <v>74</v>
      </c>
      <c r="BQ872" t="s">
        <v>74</v>
      </c>
      <c r="BR872" t="s">
        <v>103</v>
      </c>
      <c r="BS872" t="s">
        <v>15721</v>
      </c>
      <c r="BT872" t="str">
        <f>HYPERLINK("https%3A%2F%2Fwww.webofscience.com%2Fwos%2Fwoscc%2Ffull-record%2FWOS:000288524800017","View Full Record in Web of Science")</f>
        <v>View Full Record in Web of Science</v>
      </c>
    </row>
    <row r="873" spans="1:72" x14ac:dyDescent="0.15">
      <c r="A873" t="s">
        <v>72</v>
      </c>
      <c r="B873" t="s">
        <v>15722</v>
      </c>
      <c r="C873" t="s">
        <v>74</v>
      </c>
      <c r="D873" t="s">
        <v>74</v>
      </c>
      <c r="E873" t="s">
        <v>74</v>
      </c>
      <c r="F873" t="s">
        <v>15723</v>
      </c>
      <c r="G873" t="s">
        <v>74</v>
      </c>
      <c r="H873" t="s">
        <v>74</v>
      </c>
      <c r="I873" t="s">
        <v>15724</v>
      </c>
      <c r="J873" t="s">
        <v>1889</v>
      </c>
      <c r="K873" t="s">
        <v>74</v>
      </c>
      <c r="L873" t="s">
        <v>74</v>
      </c>
      <c r="M873" t="s">
        <v>78</v>
      </c>
      <c r="N873" t="s">
        <v>79</v>
      </c>
      <c r="O873" t="s">
        <v>74</v>
      </c>
      <c r="P873" t="s">
        <v>74</v>
      </c>
      <c r="Q873" t="s">
        <v>74</v>
      </c>
      <c r="R873" t="s">
        <v>74</v>
      </c>
      <c r="S873" t="s">
        <v>74</v>
      </c>
      <c r="T873" t="s">
        <v>15725</v>
      </c>
      <c r="U873" t="s">
        <v>15726</v>
      </c>
      <c r="V873" t="s">
        <v>15727</v>
      </c>
      <c r="W873" t="s">
        <v>15728</v>
      </c>
      <c r="X873" t="s">
        <v>15729</v>
      </c>
      <c r="Y873" t="s">
        <v>15730</v>
      </c>
      <c r="Z873" t="s">
        <v>15731</v>
      </c>
      <c r="AA873" t="s">
        <v>15732</v>
      </c>
      <c r="AB873" t="s">
        <v>15733</v>
      </c>
      <c r="AC873" t="s">
        <v>15734</v>
      </c>
      <c r="AD873" t="s">
        <v>15735</v>
      </c>
      <c r="AE873" t="s">
        <v>15736</v>
      </c>
      <c r="AF873" t="s">
        <v>74</v>
      </c>
      <c r="AG873">
        <v>44</v>
      </c>
      <c r="AH873">
        <v>27</v>
      </c>
      <c r="AI873">
        <v>30</v>
      </c>
      <c r="AJ873">
        <v>1</v>
      </c>
      <c r="AK873">
        <v>23</v>
      </c>
      <c r="AL873" t="s">
        <v>1441</v>
      </c>
      <c r="AM873" t="s">
        <v>91</v>
      </c>
      <c r="AN873" t="s">
        <v>1902</v>
      </c>
      <c r="AO873" t="s">
        <v>1903</v>
      </c>
      <c r="AP873" t="s">
        <v>1904</v>
      </c>
      <c r="AQ873" t="s">
        <v>74</v>
      </c>
      <c r="AR873" t="s">
        <v>1905</v>
      </c>
      <c r="AS873" t="s">
        <v>1906</v>
      </c>
      <c r="AT873" t="s">
        <v>15286</v>
      </c>
      <c r="AU873">
        <v>2011</v>
      </c>
      <c r="AV873">
        <v>34</v>
      </c>
      <c r="AW873">
        <v>3</v>
      </c>
      <c r="AX873" t="s">
        <v>74</v>
      </c>
      <c r="AY873" t="s">
        <v>74</v>
      </c>
      <c r="AZ873" t="s">
        <v>74</v>
      </c>
      <c r="BA873" t="s">
        <v>74</v>
      </c>
      <c r="BB873">
        <v>329</v>
      </c>
      <c r="BC873">
        <v>338</v>
      </c>
      <c r="BD873" t="s">
        <v>74</v>
      </c>
      <c r="BE873" t="s">
        <v>15737</v>
      </c>
      <c r="BF873" t="str">
        <f>HYPERLINK("http://dx.doi.org/10.1007/s00300-010-0883-z","http://dx.doi.org/10.1007/s00300-010-0883-z")</f>
        <v>http://dx.doi.org/10.1007/s00300-010-0883-z</v>
      </c>
      <c r="BG873" t="s">
        <v>74</v>
      </c>
      <c r="BH873" t="s">
        <v>74</v>
      </c>
      <c r="BI873">
        <v>10</v>
      </c>
      <c r="BJ873" t="s">
        <v>1908</v>
      </c>
      <c r="BK873" t="s">
        <v>100</v>
      </c>
      <c r="BL873" t="s">
        <v>1909</v>
      </c>
      <c r="BM873" t="s">
        <v>15738</v>
      </c>
      <c r="BN873" t="s">
        <v>74</v>
      </c>
      <c r="BO873" t="s">
        <v>74</v>
      </c>
      <c r="BP873" t="s">
        <v>74</v>
      </c>
      <c r="BQ873" t="s">
        <v>74</v>
      </c>
      <c r="BR873" t="s">
        <v>103</v>
      </c>
      <c r="BS873" t="s">
        <v>15739</v>
      </c>
      <c r="BT873" t="str">
        <f>HYPERLINK("https%3A%2F%2Fwww.webofscience.com%2Fwos%2Fwoscc%2Ffull-record%2FWOS:000288349800002","View Full Record in Web of Science")</f>
        <v>View Full Record in Web of Science</v>
      </c>
    </row>
    <row r="874" spans="1:72" x14ac:dyDescent="0.15">
      <c r="A874" t="s">
        <v>72</v>
      </c>
      <c r="B874" t="s">
        <v>15740</v>
      </c>
      <c r="C874" t="s">
        <v>74</v>
      </c>
      <c r="D874" t="s">
        <v>74</v>
      </c>
      <c r="E874" t="s">
        <v>74</v>
      </c>
      <c r="F874" t="s">
        <v>15741</v>
      </c>
      <c r="G874" t="s">
        <v>74</v>
      </c>
      <c r="H874" t="s">
        <v>74</v>
      </c>
      <c r="I874" t="s">
        <v>15742</v>
      </c>
      <c r="J874" t="s">
        <v>1889</v>
      </c>
      <c r="K874" t="s">
        <v>74</v>
      </c>
      <c r="L874" t="s">
        <v>74</v>
      </c>
      <c r="M874" t="s">
        <v>78</v>
      </c>
      <c r="N874" t="s">
        <v>79</v>
      </c>
      <c r="O874" t="s">
        <v>74</v>
      </c>
      <c r="P874" t="s">
        <v>74</v>
      </c>
      <c r="Q874" t="s">
        <v>74</v>
      </c>
      <c r="R874" t="s">
        <v>74</v>
      </c>
      <c r="S874" t="s">
        <v>74</v>
      </c>
      <c r="T874" t="s">
        <v>15743</v>
      </c>
      <c r="U874" t="s">
        <v>15744</v>
      </c>
      <c r="V874" t="s">
        <v>15745</v>
      </c>
      <c r="W874" t="s">
        <v>15746</v>
      </c>
      <c r="X874" t="s">
        <v>15747</v>
      </c>
      <c r="Y874" t="s">
        <v>15748</v>
      </c>
      <c r="Z874" t="s">
        <v>15749</v>
      </c>
      <c r="AA874" t="s">
        <v>74</v>
      </c>
      <c r="AB874" t="s">
        <v>15750</v>
      </c>
      <c r="AC874" t="s">
        <v>15751</v>
      </c>
      <c r="AD874" t="s">
        <v>15752</v>
      </c>
      <c r="AE874" t="s">
        <v>15753</v>
      </c>
      <c r="AF874" t="s">
        <v>74</v>
      </c>
      <c r="AG874">
        <v>46</v>
      </c>
      <c r="AH874">
        <v>19</v>
      </c>
      <c r="AI874">
        <v>23</v>
      </c>
      <c r="AJ874">
        <v>0</v>
      </c>
      <c r="AK874">
        <v>24</v>
      </c>
      <c r="AL874" t="s">
        <v>1441</v>
      </c>
      <c r="AM874" t="s">
        <v>91</v>
      </c>
      <c r="AN874" t="s">
        <v>1902</v>
      </c>
      <c r="AO874" t="s">
        <v>1903</v>
      </c>
      <c r="AP874" t="s">
        <v>1904</v>
      </c>
      <c r="AQ874" t="s">
        <v>74</v>
      </c>
      <c r="AR874" t="s">
        <v>1905</v>
      </c>
      <c r="AS874" t="s">
        <v>1906</v>
      </c>
      <c r="AT874" t="s">
        <v>15286</v>
      </c>
      <c r="AU874">
        <v>2011</v>
      </c>
      <c r="AV874">
        <v>34</v>
      </c>
      <c r="AW874">
        <v>3</v>
      </c>
      <c r="AX874" t="s">
        <v>74</v>
      </c>
      <c r="AY874" t="s">
        <v>74</v>
      </c>
      <c r="AZ874" t="s">
        <v>74</v>
      </c>
      <c r="BA874" t="s">
        <v>74</v>
      </c>
      <c r="BB874">
        <v>339</v>
      </c>
      <c r="BC874">
        <v>351</v>
      </c>
      <c r="BD874" t="s">
        <v>74</v>
      </c>
      <c r="BE874" t="s">
        <v>15754</v>
      </c>
      <c r="BF874" t="str">
        <f>HYPERLINK("http://dx.doi.org/10.1007/s00300-010-0887-8","http://dx.doi.org/10.1007/s00300-010-0887-8")</f>
        <v>http://dx.doi.org/10.1007/s00300-010-0887-8</v>
      </c>
      <c r="BG874" t="s">
        <v>74</v>
      </c>
      <c r="BH874" t="s">
        <v>74</v>
      </c>
      <c r="BI874">
        <v>13</v>
      </c>
      <c r="BJ874" t="s">
        <v>1908</v>
      </c>
      <c r="BK874" t="s">
        <v>100</v>
      </c>
      <c r="BL874" t="s">
        <v>1909</v>
      </c>
      <c r="BM874" t="s">
        <v>15738</v>
      </c>
      <c r="BN874" t="s">
        <v>74</v>
      </c>
      <c r="BO874" t="s">
        <v>74</v>
      </c>
      <c r="BP874" t="s">
        <v>74</v>
      </c>
      <c r="BQ874" t="s">
        <v>74</v>
      </c>
      <c r="BR874" t="s">
        <v>103</v>
      </c>
      <c r="BS874" t="s">
        <v>15755</v>
      </c>
      <c r="BT874" t="str">
        <f>HYPERLINK("https%3A%2F%2Fwww.webofscience.com%2Fwos%2Fwoscc%2Ffull-record%2FWOS:000288349800003","View Full Record in Web of Science")</f>
        <v>View Full Record in Web of Science</v>
      </c>
    </row>
    <row r="875" spans="1:72" x14ac:dyDescent="0.15">
      <c r="A875" t="s">
        <v>72</v>
      </c>
      <c r="B875" t="s">
        <v>15756</v>
      </c>
      <c r="C875" t="s">
        <v>74</v>
      </c>
      <c r="D875" t="s">
        <v>74</v>
      </c>
      <c r="E875" t="s">
        <v>74</v>
      </c>
      <c r="F875" t="s">
        <v>15757</v>
      </c>
      <c r="G875" t="s">
        <v>74</v>
      </c>
      <c r="H875" t="s">
        <v>74</v>
      </c>
      <c r="I875" t="s">
        <v>15758</v>
      </c>
      <c r="J875" t="s">
        <v>1889</v>
      </c>
      <c r="K875" t="s">
        <v>74</v>
      </c>
      <c r="L875" t="s">
        <v>74</v>
      </c>
      <c r="M875" t="s">
        <v>78</v>
      </c>
      <c r="N875" t="s">
        <v>79</v>
      </c>
      <c r="O875" t="s">
        <v>74</v>
      </c>
      <c r="P875" t="s">
        <v>74</v>
      </c>
      <c r="Q875" t="s">
        <v>74</v>
      </c>
      <c r="R875" t="s">
        <v>74</v>
      </c>
      <c r="S875" t="s">
        <v>74</v>
      </c>
      <c r="T875" t="s">
        <v>15759</v>
      </c>
      <c r="U875" t="s">
        <v>15760</v>
      </c>
      <c r="V875" t="s">
        <v>15761</v>
      </c>
      <c r="W875" t="s">
        <v>15762</v>
      </c>
      <c r="X875" t="s">
        <v>15763</v>
      </c>
      <c r="Y875" t="s">
        <v>15764</v>
      </c>
      <c r="Z875" t="s">
        <v>15765</v>
      </c>
      <c r="AA875" t="s">
        <v>15766</v>
      </c>
      <c r="AB875" t="s">
        <v>15767</v>
      </c>
      <c r="AC875" t="s">
        <v>15768</v>
      </c>
      <c r="AD875" t="s">
        <v>15768</v>
      </c>
      <c r="AE875" t="s">
        <v>15769</v>
      </c>
      <c r="AF875" t="s">
        <v>74</v>
      </c>
      <c r="AG875">
        <v>49</v>
      </c>
      <c r="AH875">
        <v>8</v>
      </c>
      <c r="AI875">
        <v>9</v>
      </c>
      <c r="AJ875">
        <v>0</v>
      </c>
      <c r="AK875">
        <v>22</v>
      </c>
      <c r="AL875" t="s">
        <v>1441</v>
      </c>
      <c r="AM875" t="s">
        <v>91</v>
      </c>
      <c r="AN875" t="s">
        <v>1902</v>
      </c>
      <c r="AO875" t="s">
        <v>1903</v>
      </c>
      <c r="AP875" t="s">
        <v>1904</v>
      </c>
      <c r="AQ875" t="s">
        <v>74</v>
      </c>
      <c r="AR875" t="s">
        <v>1905</v>
      </c>
      <c r="AS875" t="s">
        <v>1906</v>
      </c>
      <c r="AT875" t="s">
        <v>15286</v>
      </c>
      <c r="AU875">
        <v>2011</v>
      </c>
      <c r="AV875">
        <v>34</v>
      </c>
      <c r="AW875">
        <v>3</v>
      </c>
      <c r="AX875" t="s">
        <v>74</v>
      </c>
      <c r="AY875" t="s">
        <v>74</v>
      </c>
      <c r="AZ875" t="s">
        <v>74</v>
      </c>
      <c r="BA875" t="s">
        <v>74</v>
      </c>
      <c r="BB875">
        <v>371</v>
      </c>
      <c r="BC875">
        <v>379</v>
      </c>
      <c r="BD875" t="s">
        <v>74</v>
      </c>
      <c r="BE875" t="s">
        <v>15770</v>
      </c>
      <c r="BF875" t="str">
        <f>HYPERLINK("http://dx.doi.org/10.1007/s00300-010-0891-z","http://dx.doi.org/10.1007/s00300-010-0891-z")</f>
        <v>http://dx.doi.org/10.1007/s00300-010-0891-z</v>
      </c>
      <c r="BG875" t="s">
        <v>74</v>
      </c>
      <c r="BH875" t="s">
        <v>74</v>
      </c>
      <c r="BI875">
        <v>9</v>
      </c>
      <c r="BJ875" t="s">
        <v>1908</v>
      </c>
      <c r="BK875" t="s">
        <v>100</v>
      </c>
      <c r="BL875" t="s">
        <v>1909</v>
      </c>
      <c r="BM875" t="s">
        <v>15738</v>
      </c>
      <c r="BN875" t="s">
        <v>74</v>
      </c>
      <c r="BO875" t="s">
        <v>74</v>
      </c>
      <c r="BP875" t="s">
        <v>74</v>
      </c>
      <c r="BQ875" t="s">
        <v>74</v>
      </c>
      <c r="BR875" t="s">
        <v>103</v>
      </c>
      <c r="BS875" t="s">
        <v>15771</v>
      </c>
      <c r="BT875" t="str">
        <f>HYPERLINK("https%3A%2F%2Fwww.webofscience.com%2Fwos%2Fwoscc%2Ffull-record%2FWOS:000288349800006","View Full Record in Web of Science")</f>
        <v>View Full Record in Web of Science</v>
      </c>
    </row>
    <row r="876" spans="1:72" x14ac:dyDescent="0.15">
      <c r="A876" t="s">
        <v>72</v>
      </c>
      <c r="B876" t="s">
        <v>15772</v>
      </c>
      <c r="C876" t="s">
        <v>74</v>
      </c>
      <c r="D876" t="s">
        <v>74</v>
      </c>
      <c r="E876" t="s">
        <v>74</v>
      </c>
      <c r="F876" t="s">
        <v>15773</v>
      </c>
      <c r="G876" t="s">
        <v>74</v>
      </c>
      <c r="H876" t="s">
        <v>74</v>
      </c>
      <c r="I876" t="s">
        <v>15774</v>
      </c>
      <c r="J876" t="s">
        <v>1889</v>
      </c>
      <c r="K876" t="s">
        <v>74</v>
      </c>
      <c r="L876" t="s">
        <v>74</v>
      </c>
      <c r="M876" t="s">
        <v>78</v>
      </c>
      <c r="N876" t="s">
        <v>79</v>
      </c>
      <c r="O876" t="s">
        <v>74</v>
      </c>
      <c r="P876" t="s">
        <v>74</v>
      </c>
      <c r="Q876" t="s">
        <v>74</v>
      </c>
      <c r="R876" t="s">
        <v>74</v>
      </c>
      <c r="S876" t="s">
        <v>74</v>
      </c>
      <c r="T876" t="s">
        <v>15775</v>
      </c>
      <c r="U876" t="s">
        <v>15776</v>
      </c>
      <c r="V876" t="s">
        <v>15777</v>
      </c>
      <c r="W876" t="s">
        <v>15778</v>
      </c>
      <c r="X876" t="s">
        <v>2015</v>
      </c>
      <c r="Y876" t="s">
        <v>15779</v>
      </c>
      <c r="Z876" t="s">
        <v>15780</v>
      </c>
      <c r="AA876" t="s">
        <v>15781</v>
      </c>
      <c r="AB876" t="s">
        <v>15782</v>
      </c>
      <c r="AC876" t="s">
        <v>74</v>
      </c>
      <c r="AD876" t="s">
        <v>74</v>
      </c>
      <c r="AE876" t="s">
        <v>74</v>
      </c>
      <c r="AF876" t="s">
        <v>74</v>
      </c>
      <c r="AG876">
        <v>45</v>
      </c>
      <c r="AH876">
        <v>14</v>
      </c>
      <c r="AI876">
        <v>15</v>
      </c>
      <c r="AJ876">
        <v>0</v>
      </c>
      <c r="AK876">
        <v>15</v>
      </c>
      <c r="AL876" t="s">
        <v>1441</v>
      </c>
      <c r="AM876" t="s">
        <v>91</v>
      </c>
      <c r="AN876" t="s">
        <v>1595</v>
      </c>
      <c r="AO876" t="s">
        <v>1903</v>
      </c>
      <c r="AP876" t="s">
        <v>1904</v>
      </c>
      <c r="AQ876" t="s">
        <v>74</v>
      </c>
      <c r="AR876" t="s">
        <v>1905</v>
      </c>
      <c r="AS876" t="s">
        <v>1906</v>
      </c>
      <c r="AT876" t="s">
        <v>15286</v>
      </c>
      <c r="AU876">
        <v>2011</v>
      </c>
      <c r="AV876">
        <v>34</v>
      </c>
      <c r="AW876">
        <v>3</v>
      </c>
      <c r="AX876" t="s">
        <v>74</v>
      </c>
      <c r="AY876" t="s">
        <v>74</v>
      </c>
      <c r="AZ876" t="s">
        <v>74</v>
      </c>
      <c r="BA876" t="s">
        <v>74</v>
      </c>
      <c r="BB876">
        <v>389</v>
      </c>
      <c r="BC876">
        <v>396</v>
      </c>
      <c r="BD876" t="s">
        <v>74</v>
      </c>
      <c r="BE876" t="s">
        <v>15783</v>
      </c>
      <c r="BF876" t="str">
        <f>HYPERLINK("http://dx.doi.org/10.1007/s00300-010-0894-9","http://dx.doi.org/10.1007/s00300-010-0894-9")</f>
        <v>http://dx.doi.org/10.1007/s00300-010-0894-9</v>
      </c>
      <c r="BG876" t="s">
        <v>74</v>
      </c>
      <c r="BH876" t="s">
        <v>74</v>
      </c>
      <c r="BI876">
        <v>8</v>
      </c>
      <c r="BJ876" t="s">
        <v>1908</v>
      </c>
      <c r="BK876" t="s">
        <v>100</v>
      </c>
      <c r="BL876" t="s">
        <v>1909</v>
      </c>
      <c r="BM876" t="s">
        <v>15738</v>
      </c>
      <c r="BN876" t="s">
        <v>74</v>
      </c>
      <c r="BO876" t="s">
        <v>74</v>
      </c>
      <c r="BP876" t="s">
        <v>74</v>
      </c>
      <c r="BQ876" t="s">
        <v>74</v>
      </c>
      <c r="BR876" t="s">
        <v>103</v>
      </c>
      <c r="BS876" t="s">
        <v>15784</v>
      </c>
      <c r="BT876" t="str">
        <f>HYPERLINK("https%3A%2F%2Fwww.webofscience.com%2Fwos%2Fwoscc%2Ffull-record%2FWOS:000288349800008","View Full Record in Web of Science")</f>
        <v>View Full Record in Web of Science</v>
      </c>
    </row>
    <row r="877" spans="1:72" x14ac:dyDescent="0.15">
      <c r="A877" t="s">
        <v>72</v>
      </c>
      <c r="B877" t="s">
        <v>15785</v>
      </c>
      <c r="C877" t="s">
        <v>74</v>
      </c>
      <c r="D877" t="s">
        <v>74</v>
      </c>
      <c r="E877" t="s">
        <v>74</v>
      </c>
      <c r="F877" t="s">
        <v>15786</v>
      </c>
      <c r="G877" t="s">
        <v>74</v>
      </c>
      <c r="H877" t="s">
        <v>74</v>
      </c>
      <c r="I877" t="s">
        <v>15787</v>
      </c>
      <c r="J877" t="s">
        <v>1889</v>
      </c>
      <c r="K877" t="s">
        <v>74</v>
      </c>
      <c r="L877" t="s">
        <v>74</v>
      </c>
      <c r="M877" t="s">
        <v>78</v>
      </c>
      <c r="N877" t="s">
        <v>79</v>
      </c>
      <c r="O877" t="s">
        <v>74</v>
      </c>
      <c r="P877" t="s">
        <v>74</v>
      </c>
      <c r="Q877" t="s">
        <v>74</v>
      </c>
      <c r="R877" t="s">
        <v>74</v>
      </c>
      <c r="S877" t="s">
        <v>74</v>
      </c>
      <c r="T877" t="s">
        <v>15788</v>
      </c>
      <c r="U877" t="s">
        <v>15789</v>
      </c>
      <c r="V877" t="s">
        <v>15790</v>
      </c>
      <c r="W877" t="s">
        <v>15791</v>
      </c>
      <c r="X877" t="s">
        <v>15792</v>
      </c>
      <c r="Y877" t="s">
        <v>15793</v>
      </c>
      <c r="Z877" t="s">
        <v>15794</v>
      </c>
      <c r="AA877" t="s">
        <v>10515</v>
      </c>
      <c r="AB877" t="s">
        <v>74</v>
      </c>
      <c r="AC877" t="s">
        <v>15795</v>
      </c>
      <c r="AD877" t="s">
        <v>15796</v>
      </c>
      <c r="AE877" t="s">
        <v>15797</v>
      </c>
      <c r="AF877" t="s">
        <v>74</v>
      </c>
      <c r="AG877">
        <v>67</v>
      </c>
      <c r="AH877">
        <v>5</v>
      </c>
      <c r="AI877">
        <v>6</v>
      </c>
      <c r="AJ877">
        <v>0</v>
      </c>
      <c r="AK877">
        <v>10</v>
      </c>
      <c r="AL877" t="s">
        <v>1441</v>
      </c>
      <c r="AM877" t="s">
        <v>91</v>
      </c>
      <c r="AN877" t="s">
        <v>1902</v>
      </c>
      <c r="AO877" t="s">
        <v>1903</v>
      </c>
      <c r="AP877" t="s">
        <v>1904</v>
      </c>
      <c r="AQ877" t="s">
        <v>74</v>
      </c>
      <c r="AR877" t="s">
        <v>1905</v>
      </c>
      <c r="AS877" t="s">
        <v>1906</v>
      </c>
      <c r="AT877" t="s">
        <v>15286</v>
      </c>
      <c r="AU877">
        <v>2011</v>
      </c>
      <c r="AV877">
        <v>34</v>
      </c>
      <c r="AW877">
        <v>3</v>
      </c>
      <c r="AX877" t="s">
        <v>74</v>
      </c>
      <c r="AY877" t="s">
        <v>74</v>
      </c>
      <c r="AZ877" t="s">
        <v>74</v>
      </c>
      <c r="BA877" t="s">
        <v>74</v>
      </c>
      <c r="BB877">
        <v>397</v>
      </c>
      <c r="BC877">
        <v>409</v>
      </c>
      <c r="BD877" t="s">
        <v>74</v>
      </c>
      <c r="BE877" t="s">
        <v>15798</v>
      </c>
      <c r="BF877" t="str">
        <f>HYPERLINK("http://dx.doi.org/10.1007/s00300-010-0895-8","http://dx.doi.org/10.1007/s00300-010-0895-8")</f>
        <v>http://dx.doi.org/10.1007/s00300-010-0895-8</v>
      </c>
      <c r="BG877" t="s">
        <v>74</v>
      </c>
      <c r="BH877" t="s">
        <v>74</v>
      </c>
      <c r="BI877">
        <v>13</v>
      </c>
      <c r="BJ877" t="s">
        <v>1908</v>
      </c>
      <c r="BK877" t="s">
        <v>100</v>
      </c>
      <c r="BL877" t="s">
        <v>1909</v>
      </c>
      <c r="BM877" t="s">
        <v>15738</v>
      </c>
      <c r="BN877" t="s">
        <v>74</v>
      </c>
      <c r="BO877" t="s">
        <v>74</v>
      </c>
      <c r="BP877" t="s">
        <v>74</v>
      </c>
      <c r="BQ877" t="s">
        <v>74</v>
      </c>
      <c r="BR877" t="s">
        <v>103</v>
      </c>
      <c r="BS877" t="s">
        <v>15799</v>
      </c>
      <c r="BT877" t="str">
        <f>HYPERLINK("https%3A%2F%2Fwww.webofscience.com%2Fwos%2Fwoscc%2Ffull-record%2FWOS:000288349800009","View Full Record in Web of Science")</f>
        <v>View Full Record in Web of Science</v>
      </c>
    </row>
    <row r="878" spans="1:72" x14ac:dyDescent="0.15">
      <c r="A878" t="s">
        <v>72</v>
      </c>
      <c r="B878" t="s">
        <v>15800</v>
      </c>
      <c r="C878" t="s">
        <v>74</v>
      </c>
      <c r="D878" t="s">
        <v>74</v>
      </c>
      <c r="E878" t="s">
        <v>74</v>
      </c>
      <c r="F878" t="s">
        <v>15801</v>
      </c>
      <c r="G878" t="s">
        <v>74</v>
      </c>
      <c r="H878" t="s">
        <v>74</v>
      </c>
      <c r="I878" t="s">
        <v>15802</v>
      </c>
      <c r="J878" t="s">
        <v>1889</v>
      </c>
      <c r="K878" t="s">
        <v>74</v>
      </c>
      <c r="L878" t="s">
        <v>74</v>
      </c>
      <c r="M878" t="s">
        <v>78</v>
      </c>
      <c r="N878" t="s">
        <v>79</v>
      </c>
      <c r="O878" t="s">
        <v>74</v>
      </c>
      <c r="P878" t="s">
        <v>74</v>
      </c>
      <c r="Q878" t="s">
        <v>74</v>
      </c>
      <c r="R878" t="s">
        <v>74</v>
      </c>
      <c r="S878" t="s">
        <v>74</v>
      </c>
      <c r="T878" t="s">
        <v>15803</v>
      </c>
      <c r="U878" t="s">
        <v>74</v>
      </c>
      <c r="V878" t="s">
        <v>15804</v>
      </c>
      <c r="W878" t="s">
        <v>15805</v>
      </c>
      <c r="X878" t="s">
        <v>15806</v>
      </c>
      <c r="Y878" t="s">
        <v>15807</v>
      </c>
      <c r="Z878" t="s">
        <v>15808</v>
      </c>
      <c r="AA878" t="s">
        <v>15809</v>
      </c>
      <c r="AB878" t="s">
        <v>15810</v>
      </c>
      <c r="AC878" t="s">
        <v>15811</v>
      </c>
      <c r="AD878" t="s">
        <v>4493</v>
      </c>
      <c r="AE878" t="s">
        <v>15812</v>
      </c>
      <c r="AF878" t="s">
        <v>74</v>
      </c>
      <c r="AG878">
        <v>5</v>
      </c>
      <c r="AH878">
        <v>1</v>
      </c>
      <c r="AI878">
        <v>1</v>
      </c>
      <c r="AJ878">
        <v>0</v>
      </c>
      <c r="AK878">
        <v>4</v>
      </c>
      <c r="AL878" t="s">
        <v>1441</v>
      </c>
      <c r="AM878" t="s">
        <v>91</v>
      </c>
      <c r="AN878" t="s">
        <v>1902</v>
      </c>
      <c r="AO878" t="s">
        <v>1903</v>
      </c>
      <c r="AP878" t="s">
        <v>1904</v>
      </c>
      <c r="AQ878" t="s">
        <v>74</v>
      </c>
      <c r="AR878" t="s">
        <v>1905</v>
      </c>
      <c r="AS878" t="s">
        <v>1906</v>
      </c>
      <c r="AT878" t="s">
        <v>15286</v>
      </c>
      <c r="AU878">
        <v>2011</v>
      </c>
      <c r="AV878">
        <v>34</v>
      </c>
      <c r="AW878">
        <v>3</v>
      </c>
      <c r="AX878" t="s">
        <v>74</v>
      </c>
      <c r="AY878" t="s">
        <v>74</v>
      </c>
      <c r="AZ878" t="s">
        <v>74</v>
      </c>
      <c r="BA878" t="s">
        <v>74</v>
      </c>
      <c r="BB878">
        <v>459</v>
      </c>
      <c r="BC878">
        <v>463</v>
      </c>
      <c r="BD878" t="s">
        <v>74</v>
      </c>
      <c r="BE878" t="s">
        <v>15813</v>
      </c>
      <c r="BF878" t="str">
        <f>HYPERLINK("http://dx.doi.org/10.1007/s00300-010-0889-6","http://dx.doi.org/10.1007/s00300-010-0889-6")</f>
        <v>http://dx.doi.org/10.1007/s00300-010-0889-6</v>
      </c>
      <c r="BG878" t="s">
        <v>74</v>
      </c>
      <c r="BH878" t="s">
        <v>74</v>
      </c>
      <c r="BI878">
        <v>5</v>
      </c>
      <c r="BJ878" t="s">
        <v>1908</v>
      </c>
      <c r="BK878" t="s">
        <v>100</v>
      </c>
      <c r="BL878" t="s">
        <v>1909</v>
      </c>
      <c r="BM878" t="s">
        <v>15738</v>
      </c>
      <c r="BN878" t="s">
        <v>74</v>
      </c>
      <c r="BO878" t="s">
        <v>74</v>
      </c>
      <c r="BP878" t="s">
        <v>74</v>
      </c>
      <c r="BQ878" t="s">
        <v>74</v>
      </c>
      <c r="BR878" t="s">
        <v>103</v>
      </c>
      <c r="BS878" t="s">
        <v>15814</v>
      </c>
      <c r="BT878" t="str">
        <f>HYPERLINK("https%3A%2F%2Fwww.webofscience.com%2Fwos%2Fwoscc%2Ffull-record%2FWOS:000288349800015","View Full Record in Web of Science")</f>
        <v>View Full Record in Web of Science</v>
      </c>
    </row>
    <row r="879" spans="1:72" x14ac:dyDescent="0.15">
      <c r="A879" t="s">
        <v>72</v>
      </c>
      <c r="B879" t="s">
        <v>15815</v>
      </c>
      <c r="C879" t="s">
        <v>74</v>
      </c>
      <c r="D879" t="s">
        <v>74</v>
      </c>
      <c r="E879" t="s">
        <v>74</v>
      </c>
      <c r="F879" t="s">
        <v>15816</v>
      </c>
      <c r="G879" t="s">
        <v>74</v>
      </c>
      <c r="H879" t="s">
        <v>74</v>
      </c>
      <c r="I879" t="s">
        <v>15817</v>
      </c>
      <c r="J879" t="s">
        <v>15818</v>
      </c>
      <c r="K879" t="s">
        <v>74</v>
      </c>
      <c r="L879" t="s">
        <v>74</v>
      </c>
      <c r="M879" t="s">
        <v>78</v>
      </c>
      <c r="N879" t="s">
        <v>79</v>
      </c>
      <c r="O879" t="s">
        <v>74</v>
      </c>
      <c r="P879" t="s">
        <v>74</v>
      </c>
      <c r="Q879" t="s">
        <v>74</v>
      </c>
      <c r="R879" t="s">
        <v>74</v>
      </c>
      <c r="S879" t="s">
        <v>74</v>
      </c>
      <c r="T879" t="s">
        <v>15819</v>
      </c>
      <c r="U879" t="s">
        <v>74</v>
      </c>
      <c r="V879" t="s">
        <v>15820</v>
      </c>
      <c r="W879" t="s">
        <v>15821</v>
      </c>
      <c r="X879" t="s">
        <v>15822</v>
      </c>
      <c r="Y879" t="s">
        <v>74</v>
      </c>
      <c r="Z879" t="s">
        <v>74</v>
      </c>
      <c r="AA879" t="s">
        <v>74</v>
      </c>
      <c r="AB879" t="s">
        <v>74</v>
      </c>
      <c r="AC879" t="s">
        <v>74</v>
      </c>
      <c r="AD879" t="s">
        <v>74</v>
      </c>
      <c r="AE879" t="s">
        <v>74</v>
      </c>
      <c r="AF879" t="s">
        <v>74</v>
      </c>
      <c r="AG879">
        <v>6</v>
      </c>
      <c r="AH879">
        <v>1</v>
      </c>
      <c r="AI879">
        <v>1</v>
      </c>
      <c r="AJ879">
        <v>0</v>
      </c>
      <c r="AK879">
        <v>3</v>
      </c>
      <c r="AL879" t="s">
        <v>15823</v>
      </c>
      <c r="AM879" t="s">
        <v>4873</v>
      </c>
      <c r="AN879" t="s">
        <v>12278</v>
      </c>
      <c r="AO879" t="s">
        <v>15824</v>
      </c>
      <c r="AP879" t="s">
        <v>74</v>
      </c>
      <c r="AQ879" t="s">
        <v>74</v>
      </c>
      <c r="AR879" t="s">
        <v>15825</v>
      </c>
      <c r="AS879" t="s">
        <v>15826</v>
      </c>
      <c r="AT879" t="s">
        <v>15286</v>
      </c>
      <c r="AU879">
        <v>2011</v>
      </c>
      <c r="AV879">
        <v>27</v>
      </c>
      <c r="AW879">
        <v>2</v>
      </c>
      <c r="AX879" t="s">
        <v>74</v>
      </c>
      <c r="AY879" t="s">
        <v>74</v>
      </c>
      <c r="AZ879" t="s">
        <v>74</v>
      </c>
      <c r="BA879" t="s">
        <v>74</v>
      </c>
      <c r="BB879">
        <v>364</v>
      </c>
      <c r="BC879">
        <v>367</v>
      </c>
      <c r="BD879" t="s">
        <v>74</v>
      </c>
      <c r="BE879" t="s">
        <v>15827</v>
      </c>
      <c r="BF879" t="str">
        <f>HYPERLINK("http://dx.doi.org/10.2112/JCOASTRES-D-10A-00013.1","http://dx.doi.org/10.2112/JCOASTRES-D-10A-00013.1")</f>
        <v>http://dx.doi.org/10.2112/JCOASTRES-D-10A-00013.1</v>
      </c>
      <c r="BG879" t="s">
        <v>74</v>
      </c>
      <c r="BH879" t="s">
        <v>74</v>
      </c>
      <c r="BI879">
        <v>4</v>
      </c>
      <c r="BJ879" t="s">
        <v>722</v>
      </c>
      <c r="BK879" t="s">
        <v>100</v>
      </c>
      <c r="BL879" t="s">
        <v>723</v>
      </c>
      <c r="BM879" t="s">
        <v>15828</v>
      </c>
      <c r="BN879" t="s">
        <v>74</v>
      </c>
      <c r="BO879" t="s">
        <v>702</v>
      </c>
      <c r="BP879" t="s">
        <v>74</v>
      </c>
      <c r="BQ879" t="s">
        <v>74</v>
      </c>
      <c r="BR879" t="s">
        <v>103</v>
      </c>
      <c r="BS879" t="s">
        <v>15829</v>
      </c>
      <c r="BT879" t="str">
        <f>HYPERLINK("https%3A%2F%2Fwww.webofscience.com%2Fwos%2Fwoscc%2Ffull-record%2FWOS:000288306500014","View Full Record in Web of Science")</f>
        <v>View Full Record in Web of Science</v>
      </c>
    </row>
    <row r="880" spans="1:72" x14ac:dyDescent="0.15">
      <c r="A880" t="s">
        <v>72</v>
      </c>
      <c r="B880" t="s">
        <v>15830</v>
      </c>
      <c r="C880" t="s">
        <v>74</v>
      </c>
      <c r="D880" t="s">
        <v>74</v>
      </c>
      <c r="E880" t="s">
        <v>74</v>
      </c>
      <c r="F880" t="s">
        <v>15831</v>
      </c>
      <c r="G880" t="s">
        <v>74</v>
      </c>
      <c r="H880" t="s">
        <v>74</v>
      </c>
      <c r="I880" t="s">
        <v>15832</v>
      </c>
      <c r="J880" t="s">
        <v>15833</v>
      </c>
      <c r="K880" t="s">
        <v>74</v>
      </c>
      <c r="L880" t="s">
        <v>74</v>
      </c>
      <c r="M880" t="s">
        <v>78</v>
      </c>
      <c r="N880" t="s">
        <v>79</v>
      </c>
      <c r="O880" t="s">
        <v>74</v>
      </c>
      <c r="P880" t="s">
        <v>74</v>
      </c>
      <c r="Q880" t="s">
        <v>74</v>
      </c>
      <c r="R880" t="s">
        <v>74</v>
      </c>
      <c r="S880" t="s">
        <v>74</v>
      </c>
      <c r="T880" t="s">
        <v>74</v>
      </c>
      <c r="U880" t="s">
        <v>15834</v>
      </c>
      <c r="V880" t="s">
        <v>15835</v>
      </c>
      <c r="W880" t="s">
        <v>15836</v>
      </c>
      <c r="X880" t="s">
        <v>15837</v>
      </c>
      <c r="Y880" t="s">
        <v>15838</v>
      </c>
      <c r="Z880" t="s">
        <v>15839</v>
      </c>
      <c r="AA880" t="s">
        <v>74</v>
      </c>
      <c r="AB880" t="s">
        <v>15840</v>
      </c>
      <c r="AC880" t="s">
        <v>74</v>
      </c>
      <c r="AD880" t="s">
        <v>74</v>
      </c>
      <c r="AE880" t="s">
        <v>74</v>
      </c>
      <c r="AF880" t="s">
        <v>74</v>
      </c>
      <c r="AG880">
        <v>63</v>
      </c>
      <c r="AH880">
        <v>8</v>
      </c>
      <c r="AI880">
        <v>8</v>
      </c>
      <c r="AJ880">
        <v>0</v>
      </c>
      <c r="AK880">
        <v>3</v>
      </c>
      <c r="AL880" t="s">
        <v>4220</v>
      </c>
      <c r="AM880" t="s">
        <v>4221</v>
      </c>
      <c r="AN880" t="s">
        <v>4222</v>
      </c>
      <c r="AO880" t="s">
        <v>15841</v>
      </c>
      <c r="AP880" t="s">
        <v>15842</v>
      </c>
      <c r="AQ880" t="s">
        <v>74</v>
      </c>
      <c r="AR880" t="s">
        <v>15843</v>
      </c>
      <c r="AS880" t="s">
        <v>15844</v>
      </c>
      <c r="AT880" t="s">
        <v>15286</v>
      </c>
      <c r="AU880">
        <v>2011</v>
      </c>
      <c r="AV880">
        <v>46</v>
      </c>
      <c r="AW880">
        <v>2</v>
      </c>
      <c r="AX880" t="s">
        <v>74</v>
      </c>
      <c r="AY880" t="s">
        <v>74</v>
      </c>
      <c r="AZ880" t="s">
        <v>74</v>
      </c>
      <c r="BA880" t="s">
        <v>74</v>
      </c>
      <c r="BB880">
        <v>115</v>
      </c>
      <c r="BC880">
        <v>134</v>
      </c>
      <c r="BD880" t="s">
        <v>74</v>
      </c>
      <c r="BE880" t="s">
        <v>15845</v>
      </c>
      <c r="BF880" t="str">
        <f>HYPERLINK("http://dx.doi.org/10.1134/S0024490211020027","http://dx.doi.org/10.1134/S0024490211020027")</f>
        <v>http://dx.doi.org/10.1134/S0024490211020027</v>
      </c>
      <c r="BG880" t="s">
        <v>74</v>
      </c>
      <c r="BH880" t="s">
        <v>74</v>
      </c>
      <c r="BI880">
        <v>20</v>
      </c>
      <c r="BJ880" t="s">
        <v>15846</v>
      </c>
      <c r="BK880" t="s">
        <v>100</v>
      </c>
      <c r="BL880" t="s">
        <v>15846</v>
      </c>
      <c r="BM880" t="s">
        <v>15847</v>
      </c>
      <c r="BN880" t="s">
        <v>74</v>
      </c>
      <c r="BO880" t="s">
        <v>74</v>
      </c>
      <c r="BP880" t="s">
        <v>74</v>
      </c>
      <c r="BQ880" t="s">
        <v>74</v>
      </c>
      <c r="BR880" t="s">
        <v>103</v>
      </c>
      <c r="BS880" t="s">
        <v>15848</v>
      </c>
      <c r="BT880" t="str">
        <f>HYPERLINK("https%3A%2F%2Fwww.webofscience.com%2Fwos%2Fwoscc%2Ffull-record%2FWOS:000288081000002","View Full Record in Web of Science")</f>
        <v>View Full Record in Web of Science</v>
      </c>
    </row>
    <row r="881" spans="1:72" x14ac:dyDescent="0.15">
      <c r="A881" t="s">
        <v>72</v>
      </c>
      <c r="B881" t="s">
        <v>15849</v>
      </c>
      <c r="C881" t="s">
        <v>74</v>
      </c>
      <c r="D881" t="s">
        <v>74</v>
      </c>
      <c r="E881" t="s">
        <v>74</v>
      </c>
      <c r="F881" t="s">
        <v>15850</v>
      </c>
      <c r="G881" t="s">
        <v>74</v>
      </c>
      <c r="H881" t="s">
        <v>74</v>
      </c>
      <c r="I881" t="s">
        <v>15851</v>
      </c>
      <c r="J881" t="s">
        <v>15852</v>
      </c>
      <c r="K881" t="s">
        <v>74</v>
      </c>
      <c r="L881" t="s">
        <v>74</v>
      </c>
      <c r="M881" t="s">
        <v>78</v>
      </c>
      <c r="N881" t="s">
        <v>79</v>
      </c>
      <c r="O881" t="s">
        <v>74</v>
      </c>
      <c r="P881" t="s">
        <v>74</v>
      </c>
      <c r="Q881" t="s">
        <v>74</v>
      </c>
      <c r="R881" t="s">
        <v>74</v>
      </c>
      <c r="S881" t="s">
        <v>74</v>
      </c>
      <c r="T881" t="s">
        <v>15853</v>
      </c>
      <c r="U881" t="s">
        <v>15854</v>
      </c>
      <c r="V881" t="s">
        <v>15855</v>
      </c>
      <c r="W881" t="s">
        <v>15856</v>
      </c>
      <c r="X881" t="s">
        <v>15857</v>
      </c>
      <c r="Y881" t="s">
        <v>15858</v>
      </c>
      <c r="Z881" t="s">
        <v>15859</v>
      </c>
      <c r="AA881" t="s">
        <v>15860</v>
      </c>
      <c r="AB881" t="s">
        <v>15861</v>
      </c>
      <c r="AC881" t="s">
        <v>15862</v>
      </c>
      <c r="AD881" t="s">
        <v>4493</v>
      </c>
      <c r="AE881" t="s">
        <v>15863</v>
      </c>
      <c r="AF881" t="s">
        <v>74</v>
      </c>
      <c r="AG881">
        <v>49</v>
      </c>
      <c r="AH881">
        <v>15</v>
      </c>
      <c r="AI881">
        <v>15</v>
      </c>
      <c r="AJ881">
        <v>0</v>
      </c>
      <c r="AK881">
        <v>12</v>
      </c>
      <c r="AL881" t="s">
        <v>1851</v>
      </c>
      <c r="AM881" t="s">
        <v>1852</v>
      </c>
      <c r="AN881" t="s">
        <v>1853</v>
      </c>
      <c r="AO881" t="s">
        <v>15864</v>
      </c>
      <c r="AP881" t="s">
        <v>15865</v>
      </c>
      <c r="AQ881" t="s">
        <v>74</v>
      </c>
      <c r="AR881" t="s">
        <v>15866</v>
      </c>
      <c r="AS881" t="s">
        <v>15867</v>
      </c>
      <c r="AT881" t="s">
        <v>15286</v>
      </c>
      <c r="AU881">
        <v>2011</v>
      </c>
      <c r="AV881">
        <v>58</v>
      </c>
      <c r="AW881">
        <v>3</v>
      </c>
      <c r="AX881" t="s">
        <v>74</v>
      </c>
      <c r="AY881" t="s">
        <v>74</v>
      </c>
      <c r="AZ881" t="s">
        <v>74</v>
      </c>
      <c r="BA881" t="s">
        <v>74</v>
      </c>
      <c r="BB881">
        <v>439</v>
      </c>
      <c r="BC881">
        <v>446</v>
      </c>
      <c r="BD881" t="s">
        <v>74</v>
      </c>
      <c r="BE881" t="s">
        <v>15868</v>
      </c>
      <c r="BF881" t="str">
        <f>HYPERLINK("http://dx.doi.org/10.1016/j.ympev.2010.12.020","http://dx.doi.org/10.1016/j.ympev.2010.12.020")</f>
        <v>http://dx.doi.org/10.1016/j.ympev.2010.12.020</v>
      </c>
      <c r="BG881" t="s">
        <v>74</v>
      </c>
      <c r="BH881" t="s">
        <v>74</v>
      </c>
      <c r="BI881">
        <v>8</v>
      </c>
      <c r="BJ881" t="s">
        <v>15869</v>
      </c>
      <c r="BK881" t="s">
        <v>100</v>
      </c>
      <c r="BL881" t="s">
        <v>15869</v>
      </c>
      <c r="BM881" t="s">
        <v>15870</v>
      </c>
      <c r="BN881">
        <v>21241813</v>
      </c>
      <c r="BO881" t="s">
        <v>74</v>
      </c>
      <c r="BP881" t="s">
        <v>74</v>
      </c>
      <c r="BQ881" t="s">
        <v>74</v>
      </c>
      <c r="BR881" t="s">
        <v>103</v>
      </c>
      <c r="BS881" t="s">
        <v>15871</v>
      </c>
      <c r="BT881" t="str">
        <f>HYPERLINK("https%3A%2F%2Fwww.webofscience.com%2Fwos%2Fwoscc%2Ffull-record%2FWOS:000288151000003","View Full Record in Web of Science")</f>
        <v>View Full Record in Web of Science</v>
      </c>
    </row>
    <row r="882" spans="1:72" x14ac:dyDescent="0.15">
      <c r="A882" t="s">
        <v>72</v>
      </c>
      <c r="B882" t="s">
        <v>15872</v>
      </c>
      <c r="C882" t="s">
        <v>74</v>
      </c>
      <c r="D882" t="s">
        <v>74</v>
      </c>
      <c r="E882" t="s">
        <v>74</v>
      </c>
      <c r="F882" t="s">
        <v>15873</v>
      </c>
      <c r="G882" t="s">
        <v>74</v>
      </c>
      <c r="H882" t="s">
        <v>74</v>
      </c>
      <c r="I882" t="s">
        <v>15874</v>
      </c>
      <c r="J882" t="s">
        <v>15852</v>
      </c>
      <c r="K882" t="s">
        <v>74</v>
      </c>
      <c r="L882" t="s">
        <v>74</v>
      </c>
      <c r="M882" t="s">
        <v>78</v>
      </c>
      <c r="N882" t="s">
        <v>79</v>
      </c>
      <c r="O882" t="s">
        <v>74</v>
      </c>
      <c r="P882" t="s">
        <v>74</v>
      </c>
      <c r="Q882" t="s">
        <v>74</v>
      </c>
      <c r="R882" t="s">
        <v>74</v>
      </c>
      <c r="S882" t="s">
        <v>74</v>
      </c>
      <c r="T882" t="s">
        <v>15875</v>
      </c>
      <c r="U882" t="s">
        <v>15876</v>
      </c>
      <c r="V882" t="s">
        <v>15877</v>
      </c>
      <c r="W882" t="s">
        <v>15878</v>
      </c>
      <c r="X882" t="s">
        <v>15879</v>
      </c>
      <c r="Y882" t="s">
        <v>15880</v>
      </c>
      <c r="Z882" t="s">
        <v>15881</v>
      </c>
      <c r="AA882" t="s">
        <v>15882</v>
      </c>
      <c r="AB882" t="s">
        <v>15883</v>
      </c>
      <c r="AC882" t="s">
        <v>15884</v>
      </c>
      <c r="AD882" t="s">
        <v>15885</v>
      </c>
      <c r="AE882" t="s">
        <v>15886</v>
      </c>
      <c r="AF882" t="s">
        <v>74</v>
      </c>
      <c r="AG882">
        <v>21</v>
      </c>
      <c r="AH882">
        <v>20</v>
      </c>
      <c r="AI882">
        <v>20</v>
      </c>
      <c r="AJ882">
        <v>0</v>
      </c>
      <c r="AK882">
        <v>13</v>
      </c>
      <c r="AL882" t="s">
        <v>1851</v>
      </c>
      <c r="AM882" t="s">
        <v>1852</v>
      </c>
      <c r="AN882" t="s">
        <v>1853</v>
      </c>
      <c r="AO882" t="s">
        <v>15864</v>
      </c>
      <c r="AP882" t="s">
        <v>74</v>
      </c>
      <c r="AQ882" t="s">
        <v>74</v>
      </c>
      <c r="AR882" t="s">
        <v>15866</v>
      </c>
      <c r="AS882" t="s">
        <v>15867</v>
      </c>
      <c r="AT882" t="s">
        <v>15286</v>
      </c>
      <c r="AU882">
        <v>2011</v>
      </c>
      <c r="AV882">
        <v>58</v>
      </c>
      <c r="AW882">
        <v>3</v>
      </c>
      <c r="AX882" t="s">
        <v>74</v>
      </c>
      <c r="AY882" t="s">
        <v>74</v>
      </c>
      <c r="AZ882" t="s">
        <v>74</v>
      </c>
      <c r="BA882" t="s">
        <v>74</v>
      </c>
      <c r="BB882">
        <v>553</v>
      </c>
      <c r="BC882">
        <v>558</v>
      </c>
      <c r="BD882" t="s">
        <v>74</v>
      </c>
      <c r="BE882" t="s">
        <v>15887</v>
      </c>
      <c r="BF882" t="str">
        <f>HYPERLINK("http://dx.doi.org/10.1016/j.ympev.2010.12.016","http://dx.doi.org/10.1016/j.ympev.2010.12.016")</f>
        <v>http://dx.doi.org/10.1016/j.ympev.2010.12.016</v>
      </c>
      <c r="BG882" t="s">
        <v>74</v>
      </c>
      <c r="BH882" t="s">
        <v>74</v>
      </c>
      <c r="BI882">
        <v>6</v>
      </c>
      <c r="BJ882" t="s">
        <v>15869</v>
      </c>
      <c r="BK882" t="s">
        <v>100</v>
      </c>
      <c r="BL882" t="s">
        <v>15869</v>
      </c>
      <c r="BM882" t="s">
        <v>15870</v>
      </c>
      <c r="BN882">
        <v>21195785</v>
      </c>
      <c r="BO882" t="s">
        <v>74</v>
      </c>
      <c r="BP882" t="s">
        <v>74</v>
      </c>
      <c r="BQ882" t="s">
        <v>74</v>
      </c>
      <c r="BR882" t="s">
        <v>103</v>
      </c>
      <c r="BS882" t="s">
        <v>15888</v>
      </c>
      <c r="BT882" t="str">
        <f>HYPERLINK("https%3A%2F%2Fwww.webofscience.com%2Fwos%2Fwoscc%2Ffull-record%2FWOS:000288151000014","View Full Record in Web of Science")</f>
        <v>View Full Record in Web of Science</v>
      </c>
    </row>
    <row r="883" spans="1:72" x14ac:dyDescent="0.15">
      <c r="A883" t="s">
        <v>72</v>
      </c>
      <c r="B883" t="s">
        <v>15889</v>
      </c>
      <c r="C883" t="s">
        <v>74</v>
      </c>
      <c r="D883" t="s">
        <v>74</v>
      </c>
      <c r="E883" t="s">
        <v>74</v>
      </c>
      <c r="F883" t="s">
        <v>15890</v>
      </c>
      <c r="G883" t="s">
        <v>74</v>
      </c>
      <c r="H883" t="s">
        <v>74</v>
      </c>
      <c r="I883" t="s">
        <v>15891</v>
      </c>
      <c r="J883" t="s">
        <v>15892</v>
      </c>
      <c r="K883" t="s">
        <v>74</v>
      </c>
      <c r="L883" t="s">
        <v>74</v>
      </c>
      <c r="M883" t="s">
        <v>78</v>
      </c>
      <c r="N883" t="s">
        <v>278</v>
      </c>
      <c r="O883" t="s">
        <v>74</v>
      </c>
      <c r="P883" t="s">
        <v>74</v>
      </c>
      <c r="Q883" t="s">
        <v>74</v>
      </c>
      <c r="R883" t="s">
        <v>74</v>
      </c>
      <c r="S883" t="s">
        <v>74</v>
      </c>
      <c r="T883" t="s">
        <v>15893</v>
      </c>
      <c r="U883" t="s">
        <v>15894</v>
      </c>
      <c r="V883" t="s">
        <v>15895</v>
      </c>
      <c r="W883" t="s">
        <v>15896</v>
      </c>
      <c r="X883" t="s">
        <v>74</v>
      </c>
      <c r="Y883" t="s">
        <v>15897</v>
      </c>
      <c r="Z883" t="s">
        <v>15898</v>
      </c>
      <c r="AA883" t="s">
        <v>15899</v>
      </c>
      <c r="AB883" t="s">
        <v>74</v>
      </c>
      <c r="AC883" t="s">
        <v>15900</v>
      </c>
      <c r="AD883" t="s">
        <v>15900</v>
      </c>
      <c r="AE883" t="s">
        <v>15901</v>
      </c>
      <c r="AF883" t="s">
        <v>74</v>
      </c>
      <c r="AG883">
        <v>100</v>
      </c>
      <c r="AH883">
        <v>28</v>
      </c>
      <c r="AI883">
        <v>38</v>
      </c>
      <c r="AJ883">
        <v>1</v>
      </c>
      <c r="AK883">
        <v>51</v>
      </c>
      <c r="AL883" t="s">
        <v>1441</v>
      </c>
      <c r="AM883" t="s">
        <v>1442</v>
      </c>
      <c r="AN883" t="s">
        <v>1443</v>
      </c>
      <c r="AO883" t="s">
        <v>15902</v>
      </c>
      <c r="AP883" t="s">
        <v>15903</v>
      </c>
      <c r="AQ883" t="s">
        <v>74</v>
      </c>
      <c r="AR883" t="s">
        <v>15904</v>
      </c>
      <c r="AS883" t="s">
        <v>15905</v>
      </c>
      <c r="AT883" t="s">
        <v>15286</v>
      </c>
      <c r="AU883">
        <v>2011</v>
      </c>
      <c r="AV883">
        <v>10</v>
      </c>
      <c r="AW883">
        <v>1</v>
      </c>
      <c r="AX883" t="s">
        <v>74</v>
      </c>
      <c r="AY883" t="s">
        <v>74</v>
      </c>
      <c r="AZ883" t="s">
        <v>74</v>
      </c>
      <c r="BA883" t="s">
        <v>74</v>
      </c>
      <c r="BB883">
        <v>63</v>
      </c>
      <c r="BC883">
        <v>77</v>
      </c>
      <c r="BD883" t="s">
        <v>74</v>
      </c>
      <c r="BE883" t="s">
        <v>15906</v>
      </c>
      <c r="BF883" t="str">
        <f>HYPERLINK("http://dx.doi.org/10.1007/s11157-010-9226-3","http://dx.doi.org/10.1007/s11157-010-9226-3")</f>
        <v>http://dx.doi.org/10.1007/s11157-010-9226-3</v>
      </c>
      <c r="BG883" t="s">
        <v>74</v>
      </c>
      <c r="BH883" t="s">
        <v>74</v>
      </c>
      <c r="BI883">
        <v>15</v>
      </c>
      <c r="BJ883" t="s">
        <v>15907</v>
      </c>
      <c r="BK883" t="s">
        <v>100</v>
      </c>
      <c r="BL883" t="s">
        <v>15908</v>
      </c>
      <c r="BM883" t="s">
        <v>15909</v>
      </c>
      <c r="BN883" t="s">
        <v>74</v>
      </c>
      <c r="BO883" t="s">
        <v>74</v>
      </c>
      <c r="BP883" t="s">
        <v>74</v>
      </c>
      <c r="BQ883" t="s">
        <v>74</v>
      </c>
      <c r="BR883" t="s">
        <v>103</v>
      </c>
      <c r="BS883" t="s">
        <v>15910</v>
      </c>
      <c r="BT883" t="str">
        <f>HYPERLINK("https%3A%2F%2Fwww.webofscience.com%2Fwos%2Fwoscc%2Ffull-record%2FWOS:000288252800007","View Full Record in Web of Science")</f>
        <v>View Full Record in Web of Science</v>
      </c>
    </row>
    <row r="884" spans="1:72" x14ac:dyDescent="0.15">
      <c r="A884" t="s">
        <v>72</v>
      </c>
      <c r="B884" t="s">
        <v>15911</v>
      </c>
      <c r="C884" t="s">
        <v>74</v>
      </c>
      <c r="D884" t="s">
        <v>74</v>
      </c>
      <c r="E884" t="s">
        <v>74</v>
      </c>
      <c r="F884" t="s">
        <v>15912</v>
      </c>
      <c r="G884" t="s">
        <v>74</v>
      </c>
      <c r="H884" t="s">
        <v>74</v>
      </c>
      <c r="I884" t="s">
        <v>15913</v>
      </c>
      <c r="J884" t="s">
        <v>11678</v>
      </c>
      <c r="K884" t="s">
        <v>74</v>
      </c>
      <c r="L884" t="s">
        <v>74</v>
      </c>
      <c r="M884" t="s">
        <v>78</v>
      </c>
      <c r="N884" t="s">
        <v>79</v>
      </c>
      <c r="O884" t="s">
        <v>74</v>
      </c>
      <c r="P884" t="s">
        <v>74</v>
      </c>
      <c r="Q884" t="s">
        <v>74</v>
      </c>
      <c r="R884" t="s">
        <v>74</v>
      </c>
      <c r="S884" t="s">
        <v>74</v>
      </c>
      <c r="T884" t="s">
        <v>15914</v>
      </c>
      <c r="U884" t="s">
        <v>15915</v>
      </c>
      <c r="V884" t="s">
        <v>15916</v>
      </c>
      <c r="W884" t="s">
        <v>15917</v>
      </c>
      <c r="X884" t="s">
        <v>15918</v>
      </c>
      <c r="Y884" t="s">
        <v>15919</v>
      </c>
      <c r="Z884" t="s">
        <v>15920</v>
      </c>
      <c r="AA884" t="s">
        <v>15921</v>
      </c>
      <c r="AB884" t="s">
        <v>15922</v>
      </c>
      <c r="AC884" t="s">
        <v>15923</v>
      </c>
      <c r="AD884" t="s">
        <v>15924</v>
      </c>
      <c r="AE884" t="s">
        <v>15925</v>
      </c>
      <c r="AF884" t="s">
        <v>74</v>
      </c>
      <c r="AG884">
        <v>22</v>
      </c>
      <c r="AH884">
        <v>7</v>
      </c>
      <c r="AI884">
        <v>10</v>
      </c>
      <c r="AJ884">
        <v>1</v>
      </c>
      <c r="AK884">
        <v>16</v>
      </c>
      <c r="AL884" t="s">
        <v>1237</v>
      </c>
      <c r="AM884" t="s">
        <v>1238</v>
      </c>
      <c r="AN884" t="s">
        <v>1239</v>
      </c>
      <c r="AO884" t="s">
        <v>11689</v>
      </c>
      <c r="AP884" t="s">
        <v>11690</v>
      </c>
      <c r="AQ884" t="s">
        <v>74</v>
      </c>
      <c r="AR884" t="s">
        <v>11691</v>
      </c>
      <c r="AS884" t="s">
        <v>11692</v>
      </c>
      <c r="AT884" t="s">
        <v>15286</v>
      </c>
      <c r="AU884">
        <v>2011</v>
      </c>
      <c r="AV884">
        <v>54</v>
      </c>
      <c r="AW884">
        <v>3</v>
      </c>
      <c r="AX884" t="s">
        <v>74</v>
      </c>
      <c r="AY884" t="s">
        <v>74</v>
      </c>
      <c r="AZ884" t="s">
        <v>74</v>
      </c>
      <c r="BA884" t="s">
        <v>74</v>
      </c>
      <c r="BB884">
        <v>445</v>
      </c>
      <c r="BC884">
        <v>450</v>
      </c>
      <c r="BD884" t="s">
        <v>74</v>
      </c>
      <c r="BE884" t="s">
        <v>15926</v>
      </c>
      <c r="BF884" t="str">
        <f>HYPERLINK("http://dx.doi.org/10.1007/s11430-010-4065-1","http://dx.doi.org/10.1007/s11430-010-4065-1")</f>
        <v>http://dx.doi.org/10.1007/s11430-010-4065-1</v>
      </c>
      <c r="BG884" t="s">
        <v>74</v>
      </c>
      <c r="BH884" t="s">
        <v>74</v>
      </c>
      <c r="BI884">
        <v>6</v>
      </c>
      <c r="BJ884" t="s">
        <v>130</v>
      </c>
      <c r="BK884" t="s">
        <v>100</v>
      </c>
      <c r="BL884" t="s">
        <v>131</v>
      </c>
      <c r="BM884" t="s">
        <v>15927</v>
      </c>
      <c r="BN884" t="s">
        <v>74</v>
      </c>
      <c r="BO884" t="s">
        <v>74</v>
      </c>
      <c r="BP884" t="s">
        <v>74</v>
      </c>
      <c r="BQ884" t="s">
        <v>74</v>
      </c>
      <c r="BR884" t="s">
        <v>103</v>
      </c>
      <c r="BS884" t="s">
        <v>15928</v>
      </c>
      <c r="BT884" t="str">
        <f>HYPERLINK("https%3A%2F%2Fwww.webofscience.com%2Fwos%2Fwoscc%2Ffull-record%2FWOS:000288121700013","View Full Record in Web of Science")</f>
        <v>View Full Record in Web of Science</v>
      </c>
    </row>
    <row r="885" spans="1:72" x14ac:dyDescent="0.15">
      <c r="A885" t="s">
        <v>72</v>
      </c>
      <c r="B885" t="s">
        <v>15929</v>
      </c>
      <c r="C885" t="s">
        <v>74</v>
      </c>
      <c r="D885" t="s">
        <v>74</v>
      </c>
      <c r="E885" t="s">
        <v>74</v>
      </c>
      <c r="F885" t="s">
        <v>15930</v>
      </c>
      <c r="G885" t="s">
        <v>74</v>
      </c>
      <c r="H885" t="s">
        <v>74</v>
      </c>
      <c r="I885" t="s">
        <v>15931</v>
      </c>
      <c r="J885" t="s">
        <v>5011</v>
      </c>
      <c r="K885" t="s">
        <v>74</v>
      </c>
      <c r="L885" t="s">
        <v>74</v>
      </c>
      <c r="M885" t="s">
        <v>78</v>
      </c>
      <c r="N885" t="s">
        <v>79</v>
      </c>
      <c r="O885" t="s">
        <v>74</v>
      </c>
      <c r="P885" t="s">
        <v>74</v>
      </c>
      <c r="Q885" t="s">
        <v>74</v>
      </c>
      <c r="R885" t="s">
        <v>74</v>
      </c>
      <c r="S885" t="s">
        <v>74</v>
      </c>
      <c r="T885" t="s">
        <v>74</v>
      </c>
      <c r="U885" t="s">
        <v>15932</v>
      </c>
      <c r="V885" t="s">
        <v>15933</v>
      </c>
      <c r="W885" t="s">
        <v>15934</v>
      </c>
      <c r="X885" t="s">
        <v>74</v>
      </c>
      <c r="Y885" t="s">
        <v>15935</v>
      </c>
      <c r="Z885" t="s">
        <v>15936</v>
      </c>
      <c r="AA885" t="s">
        <v>15937</v>
      </c>
      <c r="AB885" t="s">
        <v>15938</v>
      </c>
      <c r="AC885" t="s">
        <v>74</v>
      </c>
      <c r="AD885" t="s">
        <v>74</v>
      </c>
      <c r="AE885" t="s">
        <v>74</v>
      </c>
      <c r="AF885" t="s">
        <v>74</v>
      </c>
      <c r="AG885">
        <v>68</v>
      </c>
      <c r="AH885">
        <v>12</v>
      </c>
      <c r="AI885">
        <v>12</v>
      </c>
      <c r="AJ885">
        <v>1</v>
      </c>
      <c r="AK885">
        <v>5</v>
      </c>
      <c r="AL885" t="s">
        <v>1441</v>
      </c>
      <c r="AM885" t="s">
        <v>91</v>
      </c>
      <c r="AN885" t="s">
        <v>1595</v>
      </c>
      <c r="AO885" t="s">
        <v>5024</v>
      </c>
      <c r="AP885" t="s">
        <v>5025</v>
      </c>
      <c r="AQ885" t="s">
        <v>74</v>
      </c>
      <c r="AR885" t="s">
        <v>5026</v>
      </c>
      <c r="AS885" t="s">
        <v>5027</v>
      </c>
      <c r="AT885" t="s">
        <v>15286</v>
      </c>
      <c r="AU885">
        <v>2011</v>
      </c>
      <c r="AV885">
        <v>36</v>
      </c>
      <c r="AW885" t="s">
        <v>10386</v>
      </c>
      <c r="AX885" t="s">
        <v>74</v>
      </c>
      <c r="AY885" t="s">
        <v>74</v>
      </c>
      <c r="AZ885" t="s">
        <v>74</v>
      </c>
      <c r="BA885" t="s">
        <v>74</v>
      </c>
      <c r="BB885">
        <v>1067</v>
      </c>
      <c r="BC885">
        <v>1081</v>
      </c>
      <c r="BD885" t="s">
        <v>74</v>
      </c>
      <c r="BE885" t="s">
        <v>15939</v>
      </c>
      <c r="BF885" t="str">
        <f>HYPERLINK("http://dx.doi.org/10.1007/s00382-010-0757-7","http://dx.doi.org/10.1007/s00382-010-0757-7")</f>
        <v>http://dx.doi.org/10.1007/s00382-010-0757-7</v>
      </c>
      <c r="BG885" t="s">
        <v>74</v>
      </c>
      <c r="BH885" t="s">
        <v>74</v>
      </c>
      <c r="BI885">
        <v>15</v>
      </c>
      <c r="BJ885" t="s">
        <v>248</v>
      </c>
      <c r="BK885" t="s">
        <v>100</v>
      </c>
      <c r="BL885" t="s">
        <v>248</v>
      </c>
      <c r="BM885" t="s">
        <v>15940</v>
      </c>
      <c r="BN885" t="s">
        <v>74</v>
      </c>
      <c r="BO885" t="s">
        <v>74</v>
      </c>
      <c r="BP885" t="s">
        <v>74</v>
      </c>
      <c r="BQ885" t="s">
        <v>74</v>
      </c>
      <c r="BR885" t="s">
        <v>103</v>
      </c>
      <c r="BS885" t="s">
        <v>15941</v>
      </c>
      <c r="BT885" t="str">
        <f>HYPERLINK("https%3A%2F%2Fwww.webofscience.com%2Fwos%2Fwoscc%2Ffull-record%2FWOS:000287924400016","View Full Record in Web of Science")</f>
        <v>View Full Record in Web of Science</v>
      </c>
    </row>
    <row r="886" spans="1:72" x14ac:dyDescent="0.15">
      <c r="A886" t="s">
        <v>72</v>
      </c>
      <c r="B886" t="s">
        <v>15942</v>
      </c>
      <c r="C886" t="s">
        <v>74</v>
      </c>
      <c r="D886" t="s">
        <v>74</v>
      </c>
      <c r="E886" t="s">
        <v>74</v>
      </c>
      <c r="F886" t="s">
        <v>15943</v>
      </c>
      <c r="G886" t="s">
        <v>74</v>
      </c>
      <c r="H886" t="s">
        <v>74</v>
      </c>
      <c r="I886" t="s">
        <v>15944</v>
      </c>
      <c r="J886" t="s">
        <v>13696</v>
      </c>
      <c r="K886" t="s">
        <v>74</v>
      </c>
      <c r="L886" t="s">
        <v>74</v>
      </c>
      <c r="M886" t="s">
        <v>78</v>
      </c>
      <c r="N886" t="s">
        <v>79</v>
      </c>
      <c r="O886" t="s">
        <v>74</v>
      </c>
      <c r="P886" t="s">
        <v>74</v>
      </c>
      <c r="Q886" t="s">
        <v>74</v>
      </c>
      <c r="R886" t="s">
        <v>74</v>
      </c>
      <c r="S886" t="s">
        <v>74</v>
      </c>
      <c r="T886" t="s">
        <v>15945</v>
      </c>
      <c r="U886" t="s">
        <v>15946</v>
      </c>
      <c r="V886" t="s">
        <v>15947</v>
      </c>
      <c r="W886" t="s">
        <v>15948</v>
      </c>
      <c r="X886" t="s">
        <v>15949</v>
      </c>
      <c r="Y886" t="s">
        <v>15950</v>
      </c>
      <c r="Z886" t="s">
        <v>15951</v>
      </c>
      <c r="AA886" t="s">
        <v>74</v>
      </c>
      <c r="AB886" t="s">
        <v>15952</v>
      </c>
      <c r="AC886" t="s">
        <v>15953</v>
      </c>
      <c r="AD886" t="s">
        <v>15954</v>
      </c>
      <c r="AE886" t="s">
        <v>15955</v>
      </c>
      <c r="AF886" t="s">
        <v>74</v>
      </c>
      <c r="AG886">
        <v>69</v>
      </c>
      <c r="AH886">
        <v>9</v>
      </c>
      <c r="AI886">
        <v>9</v>
      </c>
      <c r="AJ886">
        <v>0</v>
      </c>
      <c r="AK886">
        <v>22</v>
      </c>
      <c r="AL886" t="s">
        <v>90</v>
      </c>
      <c r="AM886" t="s">
        <v>91</v>
      </c>
      <c r="AN886" t="s">
        <v>13707</v>
      </c>
      <c r="AO886" t="s">
        <v>13708</v>
      </c>
      <c r="AP886" t="s">
        <v>15956</v>
      </c>
      <c r="AQ886" t="s">
        <v>74</v>
      </c>
      <c r="AR886" t="s">
        <v>13709</v>
      </c>
      <c r="AS886" t="s">
        <v>13710</v>
      </c>
      <c r="AT886" t="s">
        <v>15286</v>
      </c>
      <c r="AU886">
        <v>2011</v>
      </c>
      <c r="AV886">
        <v>158</v>
      </c>
      <c r="AW886">
        <v>3</v>
      </c>
      <c r="AX886" t="s">
        <v>74</v>
      </c>
      <c r="AY886" t="s">
        <v>74</v>
      </c>
      <c r="AZ886" t="s">
        <v>74</v>
      </c>
      <c r="BA886" t="s">
        <v>74</v>
      </c>
      <c r="BB886">
        <v>329</v>
      </c>
      <c r="BC886">
        <v>336</v>
      </c>
      <c r="BD886" t="s">
        <v>74</v>
      </c>
      <c r="BE886" t="s">
        <v>15957</v>
      </c>
      <c r="BF886" t="str">
        <f>HYPERLINK("http://dx.doi.org/10.1016/j.cbpa.2010.11.028","http://dx.doi.org/10.1016/j.cbpa.2010.11.028")</f>
        <v>http://dx.doi.org/10.1016/j.cbpa.2010.11.028</v>
      </c>
      <c r="BG886" t="s">
        <v>74</v>
      </c>
      <c r="BH886" t="s">
        <v>74</v>
      </c>
      <c r="BI886">
        <v>8</v>
      </c>
      <c r="BJ886" t="s">
        <v>13712</v>
      </c>
      <c r="BK886" t="s">
        <v>100</v>
      </c>
      <c r="BL886" t="s">
        <v>13712</v>
      </c>
      <c r="BM886" t="s">
        <v>15958</v>
      </c>
      <c r="BN886">
        <v>21144908</v>
      </c>
      <c r="BO886" t="s">
        <v>74</v>
      </c>
      <c r="BP886" t="s">
        <v>74</v>
      </c>
      <c r="BQ886" t="s">
        <v>74</v>
      </c>
      <c r="BR886" t="s">
        <v>103</v>
      </c>
      <c r="BS886" t="s">
        <v>15959</v>
      </c>
      <c r="BT886" t="str">
        <f>HYPERLINK("https%3A%2F%2Fwww.webofscience.com%2Fwos%2Fwoscc%2Ffull-record%2FWOS:000287989100009","View Full Record in Web of Science")</f>
        <v>View Full Record in Web of Science</v>
      </c>
    </row>
    <row r="887" spans="1:72" x14ac:dyDescent="0.15">
      <c r="A887" t="s">
        <v>72</v>
      </c>
      <c r="B887" t="s">
        <v>15960</v>
      </c>
      <c r="C887" t="s">
        <v>74</v>
      </c>
      <c r="D887" t="s">
        <v>74</v>
      </c>
      <c r="E887" t="s">
        <v>74</v>
      </c>
      <c r="F887" t="s">
        <v>15961</v>
      </c>
      <c r="G887" t="s">
        <v>74</v>
      </c>
      <c r="H887" t="s">
        <v>74</v>
      </c>
      <c r="I887" t="s">
        <v>15962</v>
      </c>
      <c r="J887" t="s">
        <v>2186</v>
      </c>
      <c r="K887" t="s">
        <v>74</v>
      </c>
      <c r="L887" t="s">
        <v>74</v>
      </c>
      <c r="M887" t="s">
        <v>78</v>
      </c>
      <c r="N887" t="s">
        <v>79</v>
      </c>
      <c r="O887" t="s">
        <v>74</v>
      </c>
      <c r="P887" t="s">
        <v>74</v>
      </c>
      <c r="Q887" t="s">
        <v>74</v>
      </c>
      <c r="R887" t="s">
        <v>74</v>
      </c>
      <c r="S887" t="s">
        <v>74</v>
      </c>
      <c r="T887" t="s">
        <v>74</v>
      </c>
      <c r="U887" t="s">
        <v>15963</v>
      </c>
      <c r="V887" t="s">
        <v>15964</v>
      </c>
      <c r="W887" t="s">
        <v>15965</v>
      </c>
      <c r="X887" t="s">
        <v>15966</v>
      </c>
      <c r="Y887" t="s">
        <v>15967</v>
      </c>
      <c r="Z887" t="s">
        <v>15968</v>
      </c>
      <c r="AA887" t="s">
        <v>15969</v>
      </c>
      <c r="AB887" t="s">
        <v>15970</v>
      </c>
      <c r="AC887" t="s">
        <v>15971</v>
      </c>
      <c r="AD887" t="s">
        <v>15972</v>
      </c>
      <c r="AE887" t="s">
        <v>15973</v>
      </c>
      <c r="AF887" t="s">
        <v>74</v>
      </c>
      <c r="AG887">
        <v>49</v>
      </c>
      <c r="AH887">
        <v>25</v>
      </c>
      <c r="AI887">
        <v>27</v>
      </c>
      <c r="AJ887">
        <v>0</v>
      </c>
      <c r="AK887">
        <v>21</v>
      </c>
      <c r="AL887" t="s">
        <v>1441</v>
      </c>
      <c r="AM887" t="s">
        <v>91</v>
      </c>
      <c r="AN887" t="s">
        <v>1902</v>
      </c>
      <c r="AO887" t="s">
        <v>2197</v>
      </c>
      <c r="AP887" t="s">
        <v>2198</v>
      </c>
      <c r="AQ887" t="s">
        <v>74</v>
      </c>
      <c r="AR887" t="s">
        <v>2199</v>
      </c>
      <c r="AS887" t="s">
        <v>2200</v>
      </c>
      <c r="AT887" t="s">
        <v>15286</v>
      </c>
      <c r="AU887">
        <v>2011</v>
      </c>
      <c r="AV887">
        <v>62</v>
      </c>
      <c r="AW887">
        <v>3</v>
      </c>
      <c r="AX887" t="s">
        <v>74</v>
      </c>
      <c r="AY887" t="s">
        <v>74</v>
      </c>
      <c r="AZ887" t="s">
        <v>74</v>
      </c>
      <c r="BA887" t="s">
        <v>74</v>
      </c>
      <c r="BB887">
        <v>840</v>
      </c>
      <c r="BC887">
        <v>849</v>
      </c>
      <c r="BD887" t="s">
        <v>74</v>
      </c>
      <c r="BE887" t="s">
        <v>15974</v>
      </c>
      <c r="BF887" t="str">
        <f>HYPERLINK("http://dx.doi.org/10.1007/s00284-010-9784-1","http://dx.doi.org/10.1007/s00284-010-9784-1")</f>
        <v>http://dx.doi.org/10.1007/s00284-010-9784-1</v>
      </c>
      <c r="BG887" t="s">
        <v>74</v>
      </c>
      <c r="BH887" t="s">
        <v>74</v>
      </c>
      <c r="BI887">
        <v>10</v>
      </c>
      <c r="BJ887" t="s">
        <v>892</v>
      </c>
      <c r="BK887" t="s">
        <v>100</v>
      </c>
      <c r="BL887" t="s">
        <v>892</v>
      </c>
      <c r="BM887" t="s">
        <v>15975</v>
      </c>
      <c r="BN887">
        <v>21046399</v>
      </c>
      <c r="BO887" t="s">
        <v>74</v>
      </c>
      <c r="BP887" t="s">
        <v>74</v>
      </c>
      <c r="BQ887" t="s">
        <v>74</v>
      </c>
      <c r="BR887" t="s">
        <v>103</v>
      </c>
      <c r="BS887" t="s">
        <v>15976</v>
      </c>
      <c r="BT887" t="str">
        <f>HYPERLINK("https%3A%2F%2Fwww.webofscience.com%2Fwos%2Fwoscc%2Ffull-record%2FWOS:000287754500023","View Full Record in Web of Science")</f>
        <v>View Full Record in Web of Science</v>
      </c>
    </row>
    <row r="888" spans="1:72" x14ac:dyDescent="0.15">
      <c r="A888" t="s">
        <v>72</v>
      </c>
      <c r="B888" t="s">
        <v>15977</v>
      </c>
      <c r="C888" t="s">
        <v>74</v>
      </c>
      <c r="D888" t="s">
        <v>74</v>
      </c>
      <c r="E888" t="s">
        <v>74</v>
      </c>
      <c r="F888" t="s">
        <v>15978</v>
      </c>
      <c r="G888" t="s">
        <v>74</v>
      </c>
      <c r="H888" t="s">
        <v>74</v>
      </c>
      <c r="I888" t="s">
        <v>15979</v>
      </c>
      <c r="J888" t="s">
        <v>11581</v>
      </c>
      <c r="K888" t="s">
        <v>74</v>
      </c>
      <c r="L888" t="s">
        <v>74</v>
      </c>
      <c r="M888" t="s">
        <v>78</v>
      </c>
      <c r="N888" t="s">
        <v>79</v>
      </c>
      <c r="O888" t="s">
        <v>74</v>
      </c>
      <c r="P888" t="s">
        <v>74</v>
      </c>
      <c r="Q888" t="s">
        <v>74</v>
      </c>
      <c r="R888" t="s">
        <v>74</v>
      </c>
      <c r="S888" t="s">
        <v>74</v>
      </c>
      <c r="T888" t="s">
        <v>15980</v>
      </c>
      <c r="U888" t="s">
        <v>15981</v>
      </c>
      <c r="V888" t="s">
        <v>15982</v>
      </c>
      <c r="W888" t="s">
        <v>15983</v>
      </c>
      <c r="X888" t="s">
        <v>15984</v>
      </c>
      <c r="Y888" t="s">
        <v>15985</v>
      </c>
      <c r="Z888" t="s">
        <v>15986</v>
      </c>
      <c r="AA888" t="s">
        <v>15987</v>
      </c>
      <c r="AB888" t="s">
        <v>15988</v>
      </c>
      <c r="AC888" t="s">
        <v>15989</v>
      </c>
      <c r="AD888" t="s">
        <v>15990</v>
      </c>
      <c r="AE888" t="s">
        <v>15991</v>
      </c>
      <c r="AF888" t="s">
        <v>74</v>
      </c>
      <c r="AG888">
        <v>100</v>
      </c>
      <c r="AH888">
        <v>144</v>
      </c>
      <c r="AI888">
        <v>157</v>
      </c>
      <c r="AJ888">
        <v>0</v>
      </c>
      <c r="AK888">
        <v>22</v>
      </c>
      <c r="AL888" t="s">
        <v>4179</v>
      </c>
      <c r="AM888" t="s">
        <v>4200</v>
      </c>
      <c r="AN888" t="s">
        <v>4201</v>
      </c>
      <c r="AO888" t="s">
        <v>11594</v>
      </c>
      <c r="AP888" t="s">
        <v>74</v>
      </c>
      <c r="AQ888" t="s">
        <v>74</v>
      </c>
      <c r="AR888" t="s">
        <v>11596</v>
      </c>
      <c r="AS888" t="s">
        <v>11597</v>
      </c>
      <c r="AT888" t="s">
        <v>15286</v>
      </c>
      <c r="AU888">
        <v>2011</v>
      </c>
      <c r="AV888">
        <v>184</v>
      </c>
      <c r="AW888">
        <v>3</v>
      </c>
      <c r="AX888" t="s">
        <v>74</v>
      </c>
      <c r="AY888" t="s">
        <v>74</v>
      </c>
      <c r="AZ888" t="s">
        <v>74</v>
      </c>
      <c r="BA888" t="s">
        <v>74</v>
      </c>
      <c r="BB888">
        <v>1069</v>
      </c>
      <c r="BC888">
        <v>1089</v>
      </c>
      <c r="BD888" t="s">
        <v>74</v>
      </c>
      <c r="BE888" t="s">
        <v>15992</v>
      </c>
      <c r="BF888" t="str">
        <f>HYPERLINK("http://dx.doi.org/10.1111/j.1365-246X.2010.04905.x","http://dx.doi.org/10.1111/j.1365-246X.2010.04905.x")</f>
        <v>http://dx.doi.org/10.1111/j.1365-246X.2010.04905.x</v>
      </c>
      <c r="BG888" t="s">
        <v>74</v>
      </c>
      <c r="BH888" t="s">
        <v>74</v>
      </c>
      <c r="BI888">
        <v>21</v>
      </c>
      <c r="BJ888" t="s">
        <v>488</v>
      </c>
      <c r="BK888" t="s">
        <v>100</v>
      </c>
      <c r="BL888" t="s">
        <v>488</v>
      </c>
      <c r="BM888" t="s">
        <v>15993</v>
      </c>
      <c r="BN888" t="s">
        <v>74</v>
      </c>
      <c r="BO888" t="s">
        <v>1284</v>
      </c>
      <c r="BP888" t="s">
        <v>74</v>
      </c>
      <c r="BQ888" t="s">
        <v>74</v>
      </c>
      <c r="BR888" t="s">
        <v>103</v>
      </c>
      <c r="BS888" t="s">
        <v>15994</v>
      </c>
      <c r="BT888" t="str">
        <f>HYPERLINK("https%3A%2F%2Fwww.webofscience.com%2Fwos%2Fwoscc%2Ffull-record%2FWOS:000287362500007","View Full Record in Web of Science")</f>
        <v>View Full Record in Web of Science</v>
      </c>
    </row>
    <row r="889" spans="1:72" x14ac:dyDescent="0.15">
      <c r="A889" t="s">
        <v>72</v>
      </c>
      <c r="B889" t="s">
        <v>15995</v>
      </c>
      <c r="C889" t="s">
        <v>74</v>
      </c>
      <c r="D889" t="s">
        <v>74</v>
      </c>
      <c r="E889" t="s">
        <v>74</v>
      </c>
      <c r="F889" t="s">
        <v>15996</v>
      </c>
      <c r="G889" t="s">
        <v>74</v>
      </c>
      <c r="H889" t="s">
        <v>74</v>
      </c>
      <c r="I889" t="s">
        <v>15997</v>
      </c>
      <c r="J889" t="s">
        <v>680</v>
      </c>
      <c r="K889" t="s">
        <v>74</v>
      </c>
      <c r="L889" t="s">
        <v>74</v>
      </c>
      <c r="M889" t="s">
        <v>78</v>
      </c>
      <c r="N889" t="s">
        <v>79</v>
      </c>
      <c r="O889" t="s">
        <v>74</v>
      </c>
      <c r="P889" t="s">
        <v>74</v>
      </c>
      <c r="Q889" t="s">
        <v>74</v>
      </c>
      <c r="R889" t="s">
        <v>74</v>
      </c>
      <c r="S889" t="s">
        <v>74</v>
      </c>
      <c r="T889" t="s">
        <v>15998</v>
      </c>
      <c r="U889" t="s">
        <v>74</v>
      </c>
      <c r="V889" t="s">
        <v>15999</v>
      </c>
      <c r="W889" t="s">
        <v>16000</v>
      </c>
      <c r="X889" t="s">
        <v>16001</v>
      </c>
      <c r="Y889" t="s">
        <v>16002</v>
      </c>
      <c r="Z889" t="s">
        <v>16003</v>
      </c>
      <c r="AA889" t="s">
        <v>74</v>
      </c>
      <c r="AB889" t="s">
        <v>74</v>
      </c>
      <c r="AC889" t="s">
        <v>16004</v>
      </c>
      <c r="AD889" t="s">
        <v>16005</v>
      </c>
      <c r="AE889" t="s">
        <v>16006</v>
      </c>
      <c r="AF889" t="s">
        <v>74</v>
      </c>
      <c r="AG889">
        <v>24</v>
      </c>
      <c r="AH889">
        <v>6</v>
      </c>
      <c r="AI889">
        <v>6</v>
      </c>
      <c r="AJ889">
        <v>0</v>
      </c>
      <c r="AK889">
        <v>3</v>
      </c>
      <c r="AL889" t="s">
        <v>693</v>
      </c>
      <c r="AM889" t="s">
        <v>91</v>
      </c>
      <c r="AN889" t="s">
        <v>694</v>
      </c>
      <c r="AO889" t="s">
        <v>695</v>
      </c>
      <c r="AP889" t="s">
        <v>696</v>
      </c>
      <c r="AQ889" t="s">
        <v>74</v>
      </c>
      <c r="AR889" t="s">
        <v>697</v>
      </c>
      <c r="AS889" t="s">
        <v>698</v>
      </c>
      <c r="AT889" t="s">
        <v>15286</v>
      </c>
      <c r="AU889">
        <v>2011</v>
      </c>
      <c r="AV889">
        <v>91</v>
      </c>
      <c r="AW889">
        <v>2</v>
      </c>
      <c r="AX889" t="s">
        <v>74</v>
      </c>
      <c r="AY889" t="s">
        <v>74</v>
      </c>
      <c r="AZ889" t="s">
        <v>864</v>
      </c>
      <c r="BA889" t="s">
        <v>74</v>
      </c>
      <c r="BB889">
        <v>561</v>
      </c>
      <c r="BC889">
        <v>567</v>
      </c>
      <c r="BD889" t="s">
        <v>74</v>
      </c>
      <c r="BE889" t="s">
        <v>16007</v>
      </c>
      <c r="BF889" t="str">
        <f>HYPERLINK("http://dx.doi.org/10.1017/S0025315410000615","http://dx.doi.org/10.1017/S0025315410000615")</f>
        <v>http://dx.doi.org/10.1017/S0025315410000615</v>
      </c>
      <c r="BG889" t="s">
        <v>74</v>
      </c>
      <c r="BH889" t="s">
        <v>74</v>
      </c>
      <c r="BI889">
        <v>7</v>
      </c>
      <c r="BJ889" t="s">
        <v>700</v>
      </c>
      <c r="BK889" t="s">
        <v>100</v>
      </c>
      <c r="BL889" t="s">
        <v>700</v>
      </c>
      <c r="BM889" t="s">
        <v>16008</v>
      </c>
      <c r="BN889" t="s">
        <v>74</v>
      </c>
      <c r="BO889" t="s">
        <v>74</v>
      </c>
      <c r="BP889" t="s">
        <v>74</v>
      </c>
      <c r="BQ889" t="s">
        <v>74</v>
      </c>
      <c r="BR889" t="s">
        <v>103</v>
      </c>
      <c r="BS889" t="s">
        <v>16009</v>
      </c>
      <c r="BT889" t="str">
        <f>HYPERLINK("https%3A%2F%2Fwww.webofscience.com%2Fwos%2Fwoscc%2Ffull-record%2FWOS:000287940400030","View Full Record in Web of Science")</f>
        <v>View Full Record in Web of Science</v>
      </c>
    </row>
    <row r="890" spans="1:72" x14ac:dyDescent="0.15">
      <c r="A890" t="s">
        <v>72</v>
      </c>
      <c r="B890" t="s">
        <v>16010</v>
      </c>
      <c r="C890" t="s">
        <v>74</v>
      </c>
      <c r="D890" t="s">
        <v>74</v>
      </c>
      <c r="E890" t="s">
        <v>74</v>
      </c>
      <c r="F890" t="s">
        <v>16011</v>
      </c>
      <c r="G890" t="s">
        <v>74</v>
      </c>
      <c r="H890" t="s">
        <v>74</v>
      </c>
      <c r="I890" t="s">
        <v>16012</v>
      </c>
      <c r="J890" t="s">
        <v>2565</v>
      </c>
      <c r="K890" t="s">
        <v>74</v>
      </c>
      <c r="L890" t="s">
        <v>74</v>
      </c>
      <c r="M890" t="s">
        <v>78</v>
      </c>
      <c r="N890" t="s">
        <v>3318</v>
      </c>
      <c r="O890" t="s">
        <v>74</v>
      </c>
      <c r="P890" t="s">
        <v>74</v>
      </c>
      <c r="Q890" t="s">
        <v>74</v>
      </c>
      <c r="R890" t="s">
        <v>74</v>
      </c>
      <c r="S890" t="s">
        <v>74</v>
      </c>
      <c r="T890" t="s">
        <v>74</v>
      </c>
      <c r="U890" t="s">
        <v>16013</v>
      </c>
      <c r="V890" t="s">
        <v>74</v>
      </c>
      <c r="W890" t="s">
        <v>16014</v>
      </c>
      <c r="X890" t="s">
        <v>11471</v>
      </c>
      <c r="Y890" t="s">
        <v>16015</v>
      </c>
      <c r="Z890" t="s">
        <v>16016</v>
      </c>
      <c r="AA890" t="s">
        <v>74</v>
      </c>
      <c r="AB890" t="s">
        <v>74</v>
      </c>
      <c r="AC890" t="s">
        <v>74</v>
      </c>
      <c r="AD890" t="s">
        <v>74</v>
      </c>
      <c r="AE890" t="s">
        <v>74</v>
      </c>
      <c r="AF890" t="s">
        <v>74</v>
      </c>
      <c r="AG890">
        <v>15</v>
      </c>
      <c r="AH890">
        <v>4</v>
      </c>
      <c r="AI890">
        <v>4</v>
      </c>
      <c r="AJ890">
        <v>0</v>
      </c>
      <c r="AK890">
        <v>10</v>
      </c>
      <c r="AL890" t="s">
        <v>2577</v>
      </c>
      <c r="AM890" t="s">
        <v>91</v>
      </c>
      <c r="AN890" t="s">
        <v>2578</v>
      </c>
      <c r="AO890" t="s">
        <v>2579</v>
      </c>
      <c r="AP890" t="s">
        <v>2580</v>
      </c>
      <c r="AQ890" t="s">
        <v>74</v>
      </c>
      <c r="AR890" t="s">
        <v>2581</v>
      </c>
      <c r="AS890" t="s">
        <v>2582</v>
      </c>
      <c r="AT890" t="s">
        <v>15286</v>
      </c>
      <c r="AU890">
        <v>2011</v>
      </c>
      <c r="AV890">
        <v>4</v>
      </c>
      <c r="AW890">
        <v>3</v>
      </c>
      <c r="AX890" t="s">
        <v>74</v>
      </c>
      <c r="AY890" t="s">
        <v>74</v>
      </c>
      <c r="AZ890" t="s">
        <v>74</v>
      </c>
      <c r="BA890" t="s">
        <v>74</v>
      </c>
      <c r="BB890">
        <v>135</v>
      </c>
      <c r="BC890">
        <v>136</v>
      </c>
      <c r="BD890" t="s">
        <v>74</v>
      </c>
      <c r="BE890" t="s">
        <v>16017</v>
      </c>
      <c r="BF890" t="str">
        <f>HYPERLINK("http://dx.doi.org/10.1038/ngeo1096","http://dx.doi.org/10.1038/ngeo1096")</f>
        <v>http://dx.doi.org/10.1038/ngeo1096</v>
      </c>
      <c r="BG890" t="s">
        <v>74</v>
      </c>
      <c r="BH890" t="s">
        <v>74</v>
      </c>
      <c r="BI890">
        <v>2</v>
      </c>
      <c r="BJ890" t="s">
        <v>130</v>
      </c>
      <c r="BK890" t="s">
        <v>100</v>
      </c>
      <c r="BL890" t="s">
        <v>131</v>
      </c>
      <c r="BM890" t="s">
        <v>16018</v>
      </c>
      <c r="BN890" t="s">
        <v>74</v>
      </c>
      <c r="BO890" t="s">
        <v>74</v>
      </c>
      <c r="BP890" t="s">
        <v>74</v>
      </c>
      <c r="BQ890" t="s">
        <v>74</v>
      </c>
      <c r="BR890" t="s">
        <v>103</v>
      </c>
      <c r="BS890" t="s">
        <v>16019</v>
      </c>
      <c r="BT890" t="str">
        <f>HYPERLINK("https%3A%2F%2Fwww.webofscience.com%2Fwos%2Fwoscc%2Ffull-record%2FWOS:000287802300004","View Full Record in Web of Science")</f>
        <v>View Full Record in Web of Science</v>
      </c>
    </row>
    <row r="891" spans="1:72" x14ac:dyDescent="0.15">
      <c r="A891" t="s">
        <v>72</v>
      </c>
      <c r="B891" t="s">
        <v>16020</v>
      </c>
      <c r="C891" t="s">
        <v>74</v>
      </c>
      <c r="D891" t="s">
        <v>74</v>
      </c>
      <c r="E891" t="s">
        <v>74</v>
      </c>
      <c r="F891" t="s">
        <v>16021</v>
      </c>
      <c r="G891" t="s">
        <v>74</v>
      </c>
      <c r="H891" t="s">
        <v>74</v>
      </c>
      <c r="I891" t="s">
        <v>16022</v>
      </c>
      <c r="J891" t="s">
        <v>16023</v>
      </c>
      <c r="K891" t="s">
        <v>74</v>
      </c>
      <c r="L891" t="s">
        <v>74</v>
      </c>
      <c r="M891" t="s">
        <v>78</v>
      </c>
      <c r="N891" t="s">
        <v>79</v>
      </c>
      <c r="O891" t="s">
        <v>74</v>
      </c>
      <c r="P891" t="s">
        <v>74</v>
      </c>
      <c r="Q891" t="s">
        <v>74</v>
      </c>
      <c r="R891" t="s">
        <v>74</v>
      </c>
      <c r="S891" t="s">
        <v>74</v>
      </c>
      <c r="T891" t="s">
        <v>16024</v>
      </c>
      <c r="U891" t="s">
        <v>16025</v>
      </c>
      <c r="V891" t="s">
        <v>16026</v>
      </c>
      <c r="W891" t="s">
        <v>16027</v>
      </c>
      <c r="X891" t="s">
        <v>12930</v>
      </c>
      <c r="Y891" t="s">
        <v>12931</v>
      </c>
      <c r="Z891" t="s">
        <v>12932</v>
      </c>
      <c r="AA891" t="s">
        <v>74</v>
      </c>
      <c r="AB891" t="s">
        <v>74</v>
      </c>
      <c r="AC891" t="s">
        <v>16028</v>
      </c>
      <c r="AD891" t="s">
        <v>16029</v>
      </c>
      <c r="AE891" t="s">
        <v>16030</v>
      </c>
      <c r="AF891" t="s">
        <v>74</v>
      </c>
      <c r="AG891">
        <v>38</v>
      </c>
      <c r="AH891">
        <v>9</v>
      </c>
      <c r="AI891">
        <v>10</v>
      </c>
      <c r="AJ891">
        <v>0</v>
      </c>
      <c r="AK891">
        <v>7</v>
      </c>
      <c r="AL891" t="s">
        <v>1441</v>
      </c>
      <c r="AM891" t="s">
        <v>1442</v>
      </c>
      <c r="AN891" t="s">
        <v>1443</v>
      </c>
      <c r="AO891" t="s">
        <v>16031</v>
      </c>
      <c r="AP891" t="s">
        <v>16032</v>
      </c>
      <c r="AQ891" t="s">
        <v>74</v>
      </c>
      <c r="AR891" t="s">
        <v>16033</v>
      </c>
      <c r="AS891" t="s">
        <v>16034</v>
      </c>
      <c r="AT891" t="s">
        <v>15286</v>
      </c>
      <c r="AU891">
        <v>2011</v>
      </c>
      <c r="AV891">
        <v>99</v>
      </c>
      <c r="AW891">
        <v>3</v>
      </c>
      <c r="AX891" t="s">
        <v>74</v>
      </c>
      <c r="AY891" t="s">
        <v>74</v>
      </c>
      <c r="AZ891" t="s">
        <v>74</v>
      </c>
      <c r="BA891" t="s">
        <v>74</v>
      </c>
      <c r="BB891">
        <v>551</v>
      </c>
      <c r="BC891">
        <v>557</v>
      </c>
      <c r="BD891" t="s">
        <v>74</v>
      </c>
      <c r="BE891" t="s">
        <v>16035</v>
      </c>
      <c r="BF891" t="str">
        <f>HYPERLINK("http://dx.doi.org/10.1007/s10482-010-9523-4","http://dx.doi.org/10.1007/s10482-010-9523-4")</f>
        <v>http://dx.doi.org/10.1007/s10482-010-9523-4</v>
      </c>
      <c r="BG891" t="s">
        <v>74</v>
      </c>
      <c r="BH891" t="s">
        <v>74</v>
      </c>
      <c r="BI891">
        <v>7</v>
      </c>
      <c r="BJ891" t="s">
        <v>892</v>
      </c>
      <c r="BK891" t="s">
        <v>100</v>
      </c>
      <c r="BL891" t="s">
        <v>892</v>
      </c>
      <c r="BM891" t="s">
        <v>16036</v>
      </c>
      <c r="BN891">
        <v>20963491</v>
      </c>
      <c r="BO891" t="s">
        <v>74</v>
      </c>
      <c r="BP891" t="s">
        <v>74</v>
      </c>
      <c r="BQ891" t="s">
        <v>74</v>
      </c>
      <c r="BR891" t="s">
        <v>103</v>
      </c>
      <c r="BS891" t="s">
        <v>16037</v>
      </c>
      <c r="BT891" t="str">
        <f>HYPERLINK("https%3A%2F%2Fwww.webofscience.com%2Fwos%2Fwoscc%2Ffull-record%2FWOS:000287450200012","View Full Record in Web of Science")</f>
        <v>View Full Record in Web of Science</v>
      </c>
    </row>
    <row r="892" spans="1:72" x14ac:dyDescent="0.15">
      <c r="A892" t="s">
        <v>72</v>
      </c>
      <c r="B892" t="s">
        <v>16038</v>
      </c>
      <c r="C892" t="s">
        <v>74</v>
      </c>
      <c r="D892" t="s">
        <v>74</v>
      </c>
      <c r="E892" t="s">
        <v>74</v>
      </c>
      <c r="F892" t="s">
        <v>16039</v>
      </c>
      <c r="G892" t="s">
        <v>74</v>
      </c>
      <c r="H892" t="s">
        <v>74</v>
      </c>
      <c r="I892" t="s">
        <v>16040</v>
      </c>
      <c r="J892" t="s">
        <v>5300</v>
      </c>
      <c r="K892" t="s">
        <v>74</v>
      </c>
      <c r="L892" t="s">
        <v>74</v>
      </c>
      <c r="M892" t="s">
        <v>78</v>
      </c>
      <c r="N892" t="s">
        <v>79</v>
      </c>
      <c r="O892" t="s">
        <v>74</v>
      </c>
      <c r="P892" t="s">
        <v>74</v>
      </c>
      <c r="Q892" t="s">
        <v>74</v>
      </c>
      <c r="R892" t="s">
        <v>74</v>
      </c>
      <c r="S892" t="s">
        <v>74</v>
      </c>
      <c r="T892" t="s">
        <v>74</v>
      </c>
      <c r="U892" t="s">
        <v>16041</v>
      </c>
      <c r="V892" t="s">
        <v>16042</v>
      </c>
      <c r="W892" t="s">
        <v>16043</v>
      </c>
      <c r="X892" t="s">
        <v>13848</v>
      </c>
      <c r="Y892" t="s">
        <v>16044</v>
      </c>
      <c r="Z892" t="s">
        <v>16045</v>
      </c>
      <c r="AA892" t="s">
        <v>16046</v>
      </c>
      <c r="AB892" t="s">
        <v>16047</v>
      </c>
      <c r="AC892" t="s">
        <v>16048</v>
      </c>
      <c r="AD892" t="s">
        <v>16048</v>
      </c>
      <c r="AE892" t="s">
        <v>16049</v>
      </c>
      <c r="AF892" t="s">
        <v>74</v>
      </c>
      <c r="AG892">
        <v>33</v>
      </c>
      <c r="AH892">
        <v>98</v>
      </c>
      <c r="AI892">
        <v>101</v>
      </c>
      <c r="AJ892">
        <v>0</v>
      </c>
      <c r="AK892">
        <v>22</v>
      </c>
      <c r="AL892" t="s">
        <v>1712</v>
      </c>
      <c r="AM892" t="s">
        <v>1036</v>
      </c>
      <c r="AN892" t="s">
        <v>1713</v>
      </c>
      <c r="AO892" t="s">
        <v>5311</v>
      </c>
      <c r="AP892" t="s">
        <v>5328</v>
      </c>
      <c r="AQ892" t="s">
        <v>74</v>
      </c>
      <c r="AR892" t="s">
        <v>5300</v>
      </c>
      <c r="AS892" t="s">
        <v>131</v>
      </c>
      <c r="AT892" t="s">
        <v>15286</v>
      </c>
      <c r="AU892">
        <v>2011</v>
      </c>
      <c r="AV892">
        <v>39</v>
      </c>
      <c r="AW892">
        <v>3</v>
      </c>
      <c r="AX892" t="s">
        <v>74</v>
      </c>
      <c r="AY892" t="s">
        <v>74</v>
      </c>
      <c r="AZ892" t="s">
        <v>74</v>
      </c>
      <c r="BA892" t="s">
        <v>74</v>
      </c>
      <c r="BB892">
        <v>283</v>
      </c>
      <c r="BC892">
        <v>286</v>
      </c>
      <c r="BD892" t="s">
        <v>74</v>
      </c>
      <c r="BE892" t="s">
        <v>16050</v>
      </c>
      <c r="BF892" t="str">
        <f>HYPERLINK("http://dx.doi.org/10.1130/G31631.1","http://dx.doi.org/10.1130/G31631.1")</f>
        <v>http://dx.doi.org/10.1130/G31631.1</v>
      </c>
      <c r="BG892" t="s">
        <v>74</v>
      </c>
      <c r="BH892" t="s">
        <v>74</v>
      </c>
      <c r="BI892">
        <v>4</v>
      </c>
      <c r="BJ892" t="s">
        <v>131</v>
      </c>
      <c r="BK892" t="s">
        <v>100</v>
      </c>
      <c r="BL892" t="s">
        <v>131</v>
      </c>
      <c r="BM892" t="s">
        <v>16051</v>
      </c>
      <c r="BN892" t="s">
        <v>74</v>
      </c>
      <c r="BO892" t="s">
        <v>74</v>
      </c>
      <c r="BP892" t="s">
        <v>74</v>
      </c>
      <c r="BQ892" t="s">
        <v>74</v>
      </c>
      <c r="BR892" t="s">
        <v>103</v>
      </c>
      <c r="BS892" t="s">
        <v>16052</v>
      </c>
      <c r="BT892" t="str">
        <f>HYPERLINK("https%3A%2F%2Fwww.webofscience.com%2Fwos%2Fwoscc%2Ffull-record%2FWOS:000287374900025","View Full Record in Web of Science")</f>
        <v>View Full Record in Web of Science</v>
      </c>
    </row>
    <row r="893" spans="1:72" x14ac:dyDescent="0.15">
      <c r="A893" t="s">
        <v>72</v>
      </c>
      <c r="B893" t="s">
        <v>16053</v>
      </c>
      <c r="C893" t="s">
        <v>74</v>
      </c>
      <c r="D893" t="s">
        <v>74</v>
      </c>
      <c r="E893" t="s">
        <v>74</v>
      </c>
      <c r="F893" t="s">
        <v>16054</v>
      </c>
      <c r="G893" t="s">
        <v>74</v>
      </c>
      <c r="H893" t="s">
        <v>74</v>
      </c>
      <c r="I893" t="s">
        <v>16055</v>
      </c>
      <c r="J893" t="s">
        <v>1476</v>
      </c>
      <c r="K893" t="s">
        <v>74</v>
      </c>
      <c r="L893" t="s">
        <v>74</v>
      </c>
      <c r="M893" t="s">
        <v>78</v>
      </c>
      <c r="N893" t="s">
        <v>79</v>
      </c>
      <c r="O893" t="s">
        <v>74</v>
      </c>
      <c r="P893" t="s">
        <v>74</v>
      </c>
      <c r="Q893" t="s">
        <v>74</v>
      </c>
      <c r="R893" t="s">
        <v>74</v>
      </c>
      <c r="S893" t="s">
        <v>74</v>
      </c>
      <c r="T893" t="s">
        <v>16056</v>
      </c>
      <c r="U893" t="s">
        <v>16057</v>
      </c>
      <c r="V893" t="s">
        <v>16058</v>
      </c>
      <c r="W893" t="s">
        <v>16059</v>
      </c>
      <c r="X893" t="s">
        <v>3982</v>
      </c>
      <c r="Y893" t="s">
        <v>16060</v>
      </c>
      <c r="Z893" t="s">
        <v>16061</v>
      </c>
      <c r="AA893" t="s">
        <v>16062</v>
      </c>
      <c r="AB893" t="s">
        <v>3956</v>
      </c>
      <c r="AC893" t="s">
        <v>16063</v>
      </c>
      <c r="AD893" t="s">
        <v>16064</v>
      </c>
      <c r="AE893" t="s">
        <v>16065</v>
      </c>
      <c r="AF893" t="s">
        <v>74</v>
      </c>
      <c r="AG893">
        <v>52</v>
      </c>
      <c r="AH893">
        <v>21</v>
      </c>
      <c r="AI893">
        <v>29</v>
      </c>
      <c r="AJ893">
        <v>1</v>
      </c>
      <c r="AK893">
        <v>22</v>
      </c>
      <c r="AL893" t="s">
        <v>1489</v>
      </c>
      <c r="AM893" t="s">
        <v>1490</v>
      </c>
      <c r="AN893" t="s">
        <v>1491</v>
      </c>
      <c r="AO893" t="s">
        <v>1492</v>
      </c>
      <c r="AP893" t="s">
        <v>1493</v>
      </c>
      <c r="AQ893" t="s">
        <v>74</v>
      </c>
      <c r="AR893" t="s">
        <v>1476</v>
      </c>
      <c r="AS893" t="s">
        <v>1494</v>
      </c>
      <c r="AT893" t="s">
        <v>15286</v>
      </c>
      <c r="AU893">
        <v>2011</v>
      </c>
      <c r="AV893">
        <v>21</v>
      </c>
      <c r="AW893">
        <v>2</v>
      </c>
      <c r="AX893" t="s">
        <v>74</v>
      </c>
      <c r="AY893" t="s">
        <v>74</v>
      </c>
      <c r="AZ893" t="s">
        <v>74</v>
      </c>
      <c r="BA893" t="s">
        <v>74</v>
      </c>
      <c r="BB893">
        <v>351</v>
      </c>
      <c r="BC893">
        <v>356</v>
      </c>
      <c r="BD893" t="s">
        <v>74</v>
      </c>
      <c r="BE893" t="s">
        <v>16066</v>
      </c>
      <c r="BF893" t="str">
        <f>HYPERLINK("http://dx.doi.org/10.1177/0959683610374886","http://dx.doi.org/10.1177/0959683610374886")</f>
        <v>http://dx.doi.org/10.1177/0959683610374886</v>
      </c>
      <c r="BG893" t="s">
        <v>74</v>
      </c>
      <c r="BH893" t="s">
        <v>74</v>
      </c>
      <c r="BI893">
        <v>6</v>
      </c>
      <c r="BJ893" t="s">
        <v>1496</v>
      </c>
      <c r="BK893" t="s">
        <v>100</v>
      </c>
      <c r="BL893" t="s">
        <v>1497</v>
      </c>
      <c r="BM893" t="s">
        <v>16067</v>
      </c>
      <c r="BN893" t="s">
        <v>74</v>
      </c>
      <c r="BO893" t="s">
        <v>74</v>
      </c>
      <c r="BP893" t="s">
        <v>74</v>
      </c>
      <c r="BQ893" t="s">
        <v>74</v>
      </c>
      <c r="BR893" t="s">
        <v>103</v>
      </c>
      <c r="BS893" t="s">
        <v>16068</v>
      </c>
      <c r="BT893" t="str">
        <f>HYPERLINK("https%3A%2F%2Fwww.webofscience.com%2Fwos%2Fwoscc%2Ffull-record%2FWOS:000287648400013","View Full Record in Web of Science")</f>
        <v>View Full Record in Web of Science</v>
      </c>
    </row>
    <row r="894" spans="1:72" x14ac:dyDescent="0.15">
      <c r="A894" t="s">
        <v>72</v>
      </c>
      <c r="B894" t="s">
        <v>16069</v>
      </c>
      <c r="C894" t="s">
        <v>74</v>
      </c>
      <c r="D894" t="s">
        <v>74</v>
      </c>
      <c r="E894" t="s">
        <v>74</v>
      </c>
      <c r="F894" t="s">
        <v>16070</v>
      </c>
      <c r="G894" t="s">
        <v>74</v>
      </c>
      <c r="H894" t="s">
        <v>74</v>
      </c>
      <c r="I894" t="s">
        <v>16071</v>
      </c>
      <c r="J894" t="s">
        <v>16072</v>
      </c>
      <c r="K894" t="s">
        <v>74</v>
      </c>
      <c r="L894" t="s">
        <v>74</v>
      </c>
      <c r="M894" t="s">
        <v>78</v>
      </c>
      <c r="N894" t="s">
        <v>79</v>
      </c>
      <c r="O894" t="s">
        <v>74</v>
      </c>
      <c r="P894" t="s">
        <v>74</v>
      </c>
      <c r="Q894" t="s">
        <v>74</v>
      </c>
      <c r="R894" t="s">
        <v>74</v>
      </c>
      <c r="S894" t="s">
        <v>74</v>
      </c>
      <c r="T894" t="s">
        <v>16073</v>
      </c>
      <c r="U894" t="s">
        <v>16074</v>
      </c>
      <c r="V894" t="s">
        <v>16075</v>
      </c>
      <c r="W894" t="s">
        <v>16076</v>
      </c>
      <c r="X894" t="s">
        <v>16077</v>
      </c>
      <c r="Y894" t="s">
        <v>16078</v>
      </c>
      <c r="Z894" t="s">
        <v>16079</v>
      </c>
      <c r="AA894" t="s">
        <v>74</v>
      </c>
      <c r="AB894" t="s">
        <v>74</v>
      </c>
      <c r="AC894" t="s">
        <v>16080</v>
      </c>
      <c r="AD894" t="s">
        <v>16081</v>
      </c>
      <c r="AE894" t="s">
        <v>16082</v>
      </c>
      <c r="AF894" t="s">
        <v>74</v>
      </c>
      <c r="AG894">
        <v>20</v>
      </c>
      <c r="AH894">
        <v>0</v>
      </c>
      <c r="AI894">
        <v>0</v>
      </c>
      <c r="AJ894">
        <v>1</v>
      </c>
      <c r="AK894">
        <v>6</v>
      </c>
      <c r="AL894" t="s">
        <v>3455</v>
      </c>
      <c r="AM894" t="s">
        <v>3456</v>
      </c>
      <c r="AN894" t="s">
        <v>3457</v>
      </c>
      <c r="AO894" t="s">
        <v>16083</v>
      </c>
      <c r="AP894" t="s">
        <v>16084</v>
      </c>
      <c r="AQ894" t="s">
        <v>74</v>
      </c>
      <c r="AR894" t="s">
        <v>16085</v>
      </c>
      <c r="AS894" t="s">
        <v>16086</v>
      </c>
      <c r="AT894" t="s">
        <v>15286</v>
      </c>
      <c r="AU894">
        <v>2011</v>
      </c>
      <c r="AV894">
        <v>22</v>
      </c>
      <c r="AW894">
        <v>3</v>
      </c>
      <c r="AX894" t="s">
        <v>74</v>
      </c>
      <c r="AY894" t="s">
        <v>74</v>
      </c>
      <c r="AZ894" t="s">
        <v>74</v>
      </c>
      <c r="BA894" t="s">
        <v>74</v>
      </c>
      <c r="BB894" t="s">
        <v>74</v>
      </c>
      <c r="BC894" t="s">
        <v>74</v>
      </c>
      <c r="BD894">
        <v>35702</v>
      </c>
      <c r="BE894" t="s">
        <v>16087</v>
      </c>
      <c r="BF894" t="str">
        <f>HYPERLINK("http://dx.doi.org/10.1088/0957-0233/22/3/035702","http://dx.doi.org/10.1088/0957-0233/22/3/035702")</f>
        <v>http://dx.doi.org/10.1088/0957-0233/22/3/035702</v>
      </c>
      <c r="BG894" t="s">
        <v>74</v>
      </c>
      <c r="BH894" t="s">
        <v>74</v>
      </c>
      <c r="BI894">
        <v>12</v>
      </c>
      <c r="BJ894" t="s">
        <v>16088</v>
      </c>
      <c r="BK894" t="s">
        <v>100</v>
      </c>
      <c r="BL894" t="s">
        <v>16089</v>
      </c>
      <c r="BM894" t="s">
        <v>16090</v>
      </c>
      <c r="BN894" t="s">
        <v>74</v>
      </c>
      <c r="BO894" t="s">
        <v>74</v>
      </c>
      <c r="BP894" t="s">
        <v>74</v>
      </c>
      <c r="BQ894" t="s">
        <v>74</v>
      </c>
      <c r="BR894" t="s">
        <v>103</v>
      </c>
      <c r="BS894" t="s">
        <v>16091</v>
      </c>
      <c r="BT894" t="str">
        <f>HYPERLINK("https%3A%2F%2Fwww.webofscience.com%2Fwos%2Fwoscc%2Ffull-record%2FWOS:000287357700025","View Full Record in Web of Science")</f>
        <v>View Full Record in Web of Science</v>
      </c>
    </row>
    <row r="895" spans="1:72" x14ac:dyDescent="0.15">
      <c r="A895" t="s">
        <v>72</v>
      </c>
      <c r="B895" t="s">
        <v>16092</v>
      </c>
      <c r="C895" t="s">
        <v>74</v>
      </c>
      <c r="D895" t="s">
        <v>74</v>
      </c>
      <c r="E895" t="s">
        <v>74</v>
      </c>
      <c r="F895" t="s">
        <v>16093</v>
      </c>
      <c r="G895" t="s">
        <v>74</v>
      </c>
      <c r="H895" t="s">
        <v>74</v>
      </c>
      <c r="I895" t="s">
        <v>16094</v>
      </c>
      <c r="J895" t="s">
        <v>5928</v>
      </c>
      <c r="K895" t="s">
        <v>74</v>
      </c>
      <c r="L895" t="s">
        <v>74</v>
      </c>
      <c r="M895" t="s">
        <v>78</v>
      </c>
      <c r="N895" t="s">
        <v>79</v>
      </c>
      <c r="O895" t="s">
        <v>74</v>
      </c>
      <c r="P895" t="s">
        <v>74</v>
      </c>
      <c r="Q895" t="s">
        <v>74</v>
      </c>
      <c r="R895" t="s">
        <v>74</v>
      </c>
      <c r="S895" t="s">
        <v>74</v>
      </c>
      <c r="T895" t="s">
        <v>74</v>
      </c>
      <c r="U895" t="s">
        <v>16095</v>
      </c>
      <c r="V895" t="s">
        <v>16096</v>
      </c>
      <c r="W895" t="s">
        <v>16097</v>
      </c>
      <c r="X895" t="s">
        <v>16098</v>
      </c>
      <c r="Y895" t="s">
        <v>16099</v>
      </c>
      <c r="Z895" t="s">
        <v>16100</v>
      </c>
      <c r="AA895" t="s">
        <v>16101</v>
      </c>
      <c r="AB895" t="s">
        <v>74</v>
      </c>
      <c r="AC895" t="s">
        <v>16102</v>
      </c>
      <c r="AD895" t="s">
        <v>16103</v>
      </c>
      <c r="AE895" t="s">
        <v>16104</v>
      </c>
      <c r="AF895" t="s">
        <v>74</v>
      </c>
      <c r="AG895">
        <v>61</v>
      </c>
      <c r="AH895">
        <v>31</v>
      </c>
      <c r="AI895">
        <v>32</v>
      </c>
      <c r="AJ895">
        <v>0</v>
      </c>
      <c r="AK895">
        <v>42</v>
      </c>
      <c r="AL895" t="s">
        <v>5936</v>
      </c>
      <c r="AM895" t="s">
        <v>5937</v>
      </c>
      <c r="AN895" t="s">
        <v>5938</v>
      </c>
      <c r="AO895" t="s">
        <v>5939</v>
      </c>
      <c r="AP895" t="s">
        <v>16105</v>
      </c>
      <c r="AQ895" t="s">
        <v>74</v>
      </c>
      <c r="AR895" t="s">
        <v>5940</v>
      </c>
      <c r="AS895" t="s">
        <v>5941</v>
      </c>
      <c r="AT895" t="s">
        <v>15286</v>
      </c>
      <c r="AU895">
        <v>2011</v>
      </c>
      <c r="AV895">
        <v>84</v>
      </c>
      <c r="AW895">
        <v>2</v>
      </c>
      <c r="AX895" t="s">
        <v>74</v>
      </c>
      <c r="AY895" t="s">
        <v>74</v>
      </c>
      <c r="AZ895" t="s">
        <v>74</v>
      </c>
      <c r="BA895" t="s">
        <v>74</v>
      </c>
      <c r="BB895">
        <v>154</v>
      </c>
      <c r="BC895">
        <v>165</v>
      </c>
      <c r="BD895" t="s">
        <v>74</v>
      </c>
      <c r="BE895" t="s">
        <v>16106</v>
      </c>
      <c r="BF895" t="str">
        <f>HYPERLINK("http://dx.doi.org/10.1086/658857","http://dx.doi.org/10.1086/658857")</f>
        <v>http://dx.doi.org/10.1086/658857</v>
      </c>
      <c r="BG895" t="s">
        <v>74</v>
      </c>
      <c r="BH895" t="s">
        <v>74</v>
      </c>
      <c r="BI895">
        <v>12</v>
      </c>
      <c r="BJ895" t="s">
        <v>1883</v>
      </c>
      <c r="BK895" t="s">
        <v>100</v>
      </c>
      <c r="BL895" t="s">
        <v>1883</v>
      </c>
      <c r="BM895" t="s">
        <v>16107</v>
      </c>
      <c r="BN895">
        <v>21460526</v>
      </c>
      <c r="BO895" t="s">
        <v>74</v>
      </c>
      <c r="BP895" t="s">
        <v>74</v>
      </c>
      <c r="BQ895" t="s">
        <v>74</v>
      </c>
      <c r="BR895" t="s">
        <v>103</v>
      </c>
      <c r="BS895" t="s">
        <v>16108</v>
      </c>
      <c r="BT895" t="str">
        <f>HYPERLINK("https%3A%2F%2Fwww.webofscience.com%2Fwos%2Fwoscc%2Ffull-record%2FWOS:000287648600004","View Full Record in Web of Science")</f>
        <v>View Full Record in Web of Science</v>
      </c>
    </row>
    <row r="896" spans="1:72" x14ac:dyDescent="0.15">
      <c r="A896" t="s">
        <v>72</v>
      </c>
      <c r="B896" t="s">
        <v>16109</v>
      </c>
      <c r="C896" t="s">
        <v>74</v>
      </c>
      <c r="D896" t="s">
        <v>74</v>
      </c>
      <c r="E896" t="s">
        <v>74</v>
      </c>
      <c r="F896" t="s">
        <v>16110</v>
      </c>
      <c r="G896" t="s">
        <v>74</v>
      </c>
      <c r="H896" t="s">
        <v>74</v>
      </c>
      <c r="I896" t="s">
        <v>16111</v>
      </c>
      <c r="J896" t="s">
        <v>1978</v>
      </c>
      <c r="K896" t="s">
        <v>74</v>
      </c>
      <c r="L896" t="s">
        <v>74</v>
      </c>
      <c r="M896" t="s">
        <v>78</v>
      </c>
      <c r="N896" t="s">
        <v>79</v>
      </c>
      <c r="O896" t="s">
        <v>74</v>
      </c>
      <c r="P896" t="s">
        <v>74</v>
      </c>
      <c r="Q896" t="s">
        <v>74</v>
      </c>
      <c r="R896" t="s">
        <v>74</v>
      </c>
      <c r="S896" t="s">
        <v>74</v>
      </c>
      <c r="T896" t="s">
        <v>74</v>
      </c>
      <c r="U896" t="s">
        <v>16112</v>
      </c>
      <c r="V896" t="s">
        <v>16113</v>
      </c>
      <c r="W896" t="s">
        <v>16114</v>
      </c>
      <c r="X896" t="s">
        <v>4642</v>
      </c>
      <c r="Y896" t="s">
        <v>16115</v>
      </c>
      <c r="Z896" t="s">
        <v>16116</v>
      </c>
      <c r="AA896" t="s">
        <v>74</v>
      </c>
      <c r="AB896" t="s">
        <v>74</v>
      </c>
      <c r="AC896" t="s">
        <v>74</v>
      </c>
      <c r="AD896" t="s">
        <v>74</v>
      </c>
      <c r="AE896" t="s">
        <v>74</v>
      </c>
      <c r="AF896" t="s">
        <v>74</v>
      </c>
      <c r="AG896">
        <v>7</v>
      </c>
      <c r="AH896">
        <v>7</v>
      </c>
      <c r="AI896">
        <v>9</v>
      </c>
      <c r="AJ896">
        <v>0</v>
      </c>
      <c r="AK896">
        <v>20</v>
      </c>
      <c r="AL896" t="s">
        <v>4179</v>
      </c>
      <c r="AM896" t="s">
        <v>4200</v>
      </c>
      <c r="AN896" t="s">
        <v>4201</v>
      </c>
      <c r="AO896" t="s">
        <v>1991</v>
      </c>
      <c r="AP896" t="s">
        <v>74</v>
      </c>
      <c r="AQ896" t="s">
        <v>74</v>
      </c>
      <c r="AR896" t="s">
        <v>1993</v>
      </c>
      <c r="AS896" t="s">
        <v>1994</v>
      </c>
      <c r="AT896" t="s">
        <v>15286</v>
      </c>
      <c r="AU896">
        <v>2011</v>
      </c>
      <c r="AV896">
        <v>63</v>
      </c>
      <c r="AW896">
        <v>2</v>
      </c>
      <c r="AX896" t="s">
        <v>74</v>
      </c>
      <c r="AY896" t="s">
        <v>74</v>
      </c>
      <c r="AZ896" t="s">
        <v>74</v>
      </c>
      <c r="BA896" t="s">
        <v>74</v>
      </c>
      <c r="BB896">
        <v>190</v>
      </c>
      <c r="BC896">
        <v>197</v>
      </c>
      <c r="BD896" t="s">
        <v>74</v>
      </c>
      <c r="BE896" t="s">
        <v>16117</v>
      </c>
      <c r="BF896" t="str">
        <f>HYPERLINK("http://dx.doi.org/10.1111/j.1600-0870.2010.00494.x","http://dx.doi.org/10.1111/j.1600-0870.2010.00494.x")</f>
        <v>http://dx.doi.org/10.1111/j.1600-0870.2010.00494.x</v>
      </c>
      <c r="BG896" t="s">
        <v>74</v>
      </c>
      <c r="BH896" t="s">
        <v>74</v>
      </c>
      <c r="BI896">
        <v>8</v>
      </c>
      <c r="BJ896" t="s">
        <v>1996</v>
      </c>
      <c r="BK896" t="s">
        <v>100</v>
      </c>
      <c r="BL896" t="s">
        <v>1996</v>
      </c>
      <c r="BM896" t="s">
        <v>16118</v>
      </c>
      <c r="BN896" t="s">
        <v>74</v>
      </c>
      <c r="BO896" t="s">
        <v>1284</v>
      </c>
      <c r="BP896" t="s">
        <v>74</v>
      </c>
      <c r="BQ896" t="s">
        <v>74</v>
      </c>
      <c r="BR896" t="s">
        <v>103</v>
      </c>
      <c r="BS896" t="s">
        <v>16119</v>
      </c>
      <c r="BT896" t="str">
        <f>HYPERLINK("https%3A%2F%2Fwww.webofscience.com%2Fwos%2Fwoscc%2Ffull-record%2FWOS:000287198500002","View Full Record in Web of Science")</f>
        <v>View Full Record in Web of Science</v>
      </c>
    </row>
    <row r="897" spans="1:72" x14ac:dyDescent="0.15">
      <c r="A897" t="s">
        <v>72</v>
      </c>
      <c r="B897" t="s">
        <v>16120</v>
      </c>
      <c r="C897" t="s">
        <v>74</v>
      </c>
      <c r="D897" t="s">
        <v>74</v>
      </c>
      <c r="E897" t="s">
        <v>74</v>
      </c>
      <c r="F897" t="s">
        <v>16121</v>
      </c>
      <c r="G897" t="s">
        <v>74</v>
      </c>
      <c r="H897" t="s">
        <v>74</v>
      </c>
      <c r="I897" t="s">
        <v>16122</v>
      </c>
      <c r="J897" t="s">
        <v>16123</v>
      </c>
      <c r="K897" t="s">
        <v>74</v>
      </c>
      <c r="L897" t="s">
        <v>74</v>
      </c>
      <c r="M897" t="s">
        <v>78</v>
      </c>
      <c r="N897" t="s">
        <v>79</v>
      </c>
      <c r="O897" t="s">
        <v>74</v>
      </c>
      <c r="P897" t="s">
        <v>74</v>
      </c>
      <c r="Q897" t="s">
        <v>74</v>
      </c>
      <c r="R897" t="s">
        <v>74</v>
      </c>
      <c r="S897" t="s">
        <v>74</v>
      </c>
      <c r="T897" t="s">
        <v>16124</v>
      </c>
      <c r="U897" t="s">
        <v>16125</v>
      </c>
      <c r="V897" t="s">
        <v>16126</v>
      </c>
      <c r="W897" t="s">
        <v>16127</v>
      </c>
      <c r="X897" t="s">
        <v>3770</v>
      </c>
      <c r="Y897" t="s">
        <v>16128</v>
      </c>
      <c r="Z897" t="s">
        <v>16129</v>
      </c>
      <c r="AA897" t="s">
        <v>16130</v>
      </c>
      <c r="AB897" t="s">
        <v>16131</v>
      </c>
      <c r="AC897" t="s">
        <v>16132</v>
      </c>
      <c r="AD897" t="s">
        <v>16133</v>
      </c>
      <c r="AE897" t="s">
        <v>16134</v>
      </c>
      <c r="AF897" t="s">
        <v>74</v>
      </c>
      <c r="AG897">
        <v>62</v>
      </c>
      <c r="AH897">
        <v>16</v>
      </c>
      <c r="AI897">
        <v>18</v>
      </c>
      <c r="AJ897">
        <v>0</v>
      </c>
      <c r="AK897">
        <v>11</v>
      </c>
      <c r="AL897" t="s">
        <v>90</v>
      </c>
      <c r="AM897" t="s">
        <v>91</v>
      </c>
      <c r="AN897" t="s">
        <v>92</v>
      </c>
      <c r="AO897" t="s">
        <v>16135</v>
      </c>
      <c r="AP897" t="s">
        <v>16136</v>
      </c>
      <c r="AQ897" t="s">
        <v>74</v>
      </c>
      <c r="AR897" t="s">
        <v>16137</v>
      </c>
      <c r="AS897" t="s">
        <v>16138</v>
      </c>
      <c r="AT897" t="s">
        <v>15286</v>
      </c>
      <c r="AU897">
        <v>2011</v>
      </c>
      <c r="AV897">
        <v>153</v>
      </c>
      <c r="AW897">
        <v>2</v>
      </c>
      <c r="AX897" t="s">
        <v>74</v>
      </c>
      <c r="AY897" t="s">
        <v>74</v>
      </c>
      <c r="AZ897" t="s">
        <v>74</v>
      </c>
      <c r="BA897" t="s">
        <v>74</v>
      </c>
      <c r="BB897">
        <v>243</v>
      </c>
      <c r="BC897">
        <v>250</v>
      </c>
      <c r="BD897" t="s">
        <v>74</v>
      </c>
      <c r="BE897" t="s">
        <v>16139</v>
      </c>
      <c r="BF897" t="str">
        <f>HYPERLINK("http://dx.doi.org/10.1016/j.cbpc.2010.11.003","http://dx.doi.org/10.1016/j.cbpc.2010.11.003")</f>
        <v>http://dx.doi.org/10.1016/j.cbpc.2010.11.003</v>
      </c>
      <c r="BG897" t="s">
        <v>74</v>
      </c>
      <c r="BH897" t="s">
        <v>74</v>
      </c>
      <c r="BI897">
        <v>8</v>
      </c>
      <c r="BJ897" t="s">
        <v>16140</v>
      </c>
      <c r="BK897" t="s">
        <v>100</v>
      </c>
      <c r="BL897" t="s">
        <v>16140</v>
      </c>
      <c r="BM897" t="s">
        <v>16141</v>
      </c>
      <c r="BN897">
        <v>21094695</v>
      </c>
      <c r="BO897" t="s">
        <v>74</v>
      </c>
      <c r="BP897" t="s">
        <v>74</v>
      </c>
      <c r="BQ897" t="s">
        <v>74</v>
      </c>
      <c r="BR897" t="s">
        <v>103</v>
      </c>
      <c r="BS897" t="s">
        <v>16142</v>
      </c>
      <c r="BT897" t="str">
        <f>HYPERLINK("https%3A%2F%2Fwww.webofscience.com%2Fwos%2Fwoscc%2Ffull-record%2FWOS:000286861700006","View Full Record in Web of Science")</f>
        <v>View Full Record in Web of Science</v>
      </c>
    </row>
    <row r="898" spans="1:72" x14ac:dyDescent="0.15">
      <c r="A898" t="s">
        <v>72</v>
      </c>
      <c r="B898" t="s">
        <v>16143</v>
      </c>
      <c r="C898" t="s">
        <v>74</v>
      </c>
      <c r="D898" t="s">
        <v>74</v>
      </c>
      <c r="E898" t="s">
        <v>74</v>
      </c>
      <c r="F898" t="s">
        <v>16144</v>
      </c>
      <c r="G898" t="s">
        <v>74</v>
      </c>
      <c r="H898" t="s">
        <v>74</v>
      </c>
      <c r="I898" t="s">
        <v>16145</v>
      </c>
      <c r="J898" t="s">
        <v>6187</v>
      </c>
      <c r="K898" t="s">
        <v>74</v>
      </c>
      <c r="L898" t="s">
        <v>74</v>
      </c>
      <c r="M898" t="s">
        <v>78</v>
      </c>
      <c r="N898" t="s">
        <v>79</v>
      </c>
      <c r="O898" t="s">
        <v>74</v>
      </c>
      <c r="P898" t="s">
        <v>74</v>
      </c>
      <c r="Q898" t="s">
        <v>74</v>
      </c>
      <c r="R898" t="s">
        <v>74</v>
      </c>
      <c r="S898" t="s">
        <v>74</v>
      </c>
      <c r="T898" t="s">
        <v>74</v>
      </c>
      <c r="U898" t="s">
        <v>16146</v>
      </c>
      <c r="V898" t="s">
        <v>16147</v>
      </c>
      <c r="W898" t="s">
        <v>16148</v>
      </c>
      <c r="X898" t="s">
        <v>16149</v>
      </c>
      <c r="Y898" t="s">
        <v>16150</v>
      </c>
      <c r="Z898" t="s">
        <v>16151</v>
      </c>
      <c r="AA898" t="s">
        <v>16152</v>
      </c>
      <c r="AB898" t="s">
        <v>16153</v>
      </c>
      <c r="AC898" t="s">
        <v>16154</v>
      </c>
      <c r="AD898" t="s">
        <v>16154</v>
      </c>
      <c r="AE898" t="s">
        <v>16155</v>
      </c>
      <c r="AF898" t="s">
        <v>74</v>
      </c>
      <c r="AG898">
        <v>109</v>
      </c>
      <c r="AH898">
        <v>36</v>
      </c>
      <c r="AI898">
        <v>39</v>
      </c>
      <c r="AJ898">
        <v>1</v>
      </c>
      <c r="AK898">
        <v>15</v>
      </c>
      <c r="AL898" t="s">
        <v>1712</v>
      </c>
      <c r="AM898" t="s">
        <v>1036</v>
      </c>
      <c r="AN898" t="s">
        <v>1713</v>
      </c>
      <c r="AO898" t="s">
        <v>6197</v>
      </c>
      <c r="AP898" t="s">
        <v>6198</v>
      </c>
      <c r="AQ898" t="s">
        <v>74</v>
      </c>
      <c r="AR898" t="s">
        <v>6199</v>
      </c>
      <c r="AS898" t="s">
        <v>6200</v>
      </c>
      <c r="AT898" t="s">
        <v>15325</v>
      </c>
      <c r="AU898">
        <v>2011</v>
      </c>
      <c r="AV898">
        <v>123</v>
      </c>
      <c r="AW898" t="s">
        <v>315</v>
      </c>
      <c r="AX898" t="s">
        <v>74</v>
      </c>
      <c r="AY898" t="s">
        <v>74</v>
      </c>
      <c r="AZ898" t="s">
        <v>74</v>
      </c>
      <c r="BA898" t="s">
        <v>74</v>
      </c>
      <c r="BB898">
        <v>681</v>
      </c>
      <c r="BC898">
        <v>702</v>
      </c>
      <c r="BD898" t="s">
        <v>74</v>
      </c>
      <c r="BE898" t="s">
        <v>16156</v>
      </c>
      <c r="BF898" t="str">
        <f>HYPERLINK("http://dx.doi.org/10.1130/B30237.1","http://dx.doi.org/10.1130/B30237.1")</f>
        <v>http://dx.doi.org/10.1130/B30237.1</v>
      </c>
      <c r="BG898" t="s">
        <v>74</v>
      </c>
      <c r="BH898" t="s">
        <v>74</v>
      </c>
      <c r="BI898">
        <v>22</v>
      </c>
      <c r="BJ898" t="s">
        <v>130</v>
      </c>
      <c r="BK898" t="s">
        <v>100</v>
      </c>
      <c r="BL898" t="s">
        <v>131</v>
      </c>
      <c r="BM898" t="s">
        <v>16157</v>
      </c>
      <c r="BN898" t="s">
        <v>74</v>
      </c>
      <c r="BO898" t="s">
        <v>74</v>
      </c>
      <c r="BP898" t="s">
        <v>74</v>
      </c>
      <c r="BQ898" t="s">
        <v>74</v>
      </c>
      <c r="BR898" t="s">
        <v>103</v>
      </c>
      <c r="BS898" t="s">
        <v>16158</v>
      </c>
      <c r="BT898" t="str">
        <f>HYPERLINK("https%3A%2F%2Fwww.webofscience.com%2Fwos%2Fwoscc%2Ffull-record%2FWOS:000286665300017","View Full Record in Web of Science")</f>
        <v>View Full Record in Web of Science</v>
      </c>
    </row>
    <row r="899" spans="1:72" x14ac:dyDescent="0.15">
      <c r="A899" t="s">
        <v>72</v>
      </c>
      <c r="B899" t="s">
        <v>16159</v>
      </c>
      <c r="C899" t="s">
        <v>74</v>
      </c>
      <c r="D899" t="s">
        <v>74</v>
      </c>
      <c r="E899" t="s">
        <v>74</v>
      </c>
      <c r="F899" t="s">
        <v>16160</v>
      </c>
      <c r="G899" t="s">
        <v>74</v>
      </c>
      <c r="H899" t="s">
        <v>74</v>
      </c>
      <c r="I899" t="s">
        <v>16161</v>
      </c>
      <c r="J899" t="s">
        <v>16162</v>
      </c>
      <c r="K899" t="s">
        <v>74</v>
      </c>
      <c r="L899" t="s">
        <v>74</v>
      </c>
      <c r="M899" t="s">
        <v>78</v>
      </c>
      <c r="N899" t="s">
        <v>278</v>
      </c>
      <c r="O899" t="s">
        <v>74</v>
      </c>
      <c r="P899" t="s">
        <v>74</v>
      </c>
      <c r="Q899" t="s">
        <v>74</v>
      </c>
      <c r="R899" t="s">
        <v>74</v>
      </c>
      <c r="S899" t="s">
        <v>74</v>
      </c>
      <c r="T899" t="s">
        <v>74</v>
      </c>
      <c r="U899" t="s">
        <v>16163</v>
      </c>
      <c r="V899" t="s">
        <v>16164</v>
      </c>
      <c r="W899" t="s">
        <v>16165</v>
      </c>
      <c r="X899" t="s">
        <v>16166</v>
      </c>
      <c r="Y899" t="s">
        <v>16167</v>
      </c>
      <c r="Z899" t="s">
        <v>16168</v>
      </c>
      <c r="AA899" t="s">
        <v>16169</v>
      </c>
      <c r="AB899" t="s">
        <v>16170</v>
      </c>
      <c r="AC899" t="s">
        <v>74</v>
      </c>
      <c r="AD899" t="s">
        <v>74</v>
      </c>
      <c r="AE899" t="s">
        <v>74</v>
      </c>
      <c r="AF899" t="s">
        <v>74</v>
      </c>
      <c r="AG899">
        <v>84</v>
      </c>
      <c r="AH899">
        <v>18</v>
      </c>
      <c r="AI899">
        <v>20</v>
      </c>
      <c r="AJ899">
        <v>2</v>
      </c>
      <c r="AK899">
        <v>36</v>
      </c>
      <c r="AL899" t="s">
        <v>10428</v>
      </c>
      <c r="AM899" t="s">
        <v>10429</v>
      </c>
      <c r="AN899" t="s">
        <v>10430</v>
      </c>
      <c r="AO899" t="s">
        <v>16171</v>
      </c>
      <c r="AP899" t="s">
        <v>16172</v>
      </c>
      <c r="AQ899" t="s">
        <v>74</v>
      </c>
      <c r="AR899" t="s">
        <v>16173</v>
      </c>
      <c r="AS899" t="s">
        <v>16174</v>
      </c>
      <c r="AT899" t="s">
        <v>15286</v>
      </c>
      <c r="AU899">
        <v>2011</v>
      </c>
      <c r="AV899">
        <v>14</v>
      </c>
      <c r="AW899">
        <v>5</v>
      </c>
      <c r="AX899" t="s">
        <v>74</v>
      </c>
      <c r="AY899" t="s">
        <v>74</v>
      </c>
      <c r="AZ899" t="s">
        <v>74</v>
      </c>
      <c r="BA899" t="s">
        <v>74</v>
      </c>
      <c r="BB899">
        <v>851</v>
      </c>
      <c r="BC899" t="s">
        <v>16175</v>
      </c>
      <c r="BD899" t="s">
        <v>74</v>
      </c>
      <c r="BE899" t="s">
        <v>16176</v>
      </c>
      <c r="BF899" t="str">
        <f>HYPERLINK("http://dx.doi.org/10.1089/ars.2010.3310","http://dx.doi.org/10.1089/ars.2010.3310")</f>
        <v>http://dx.doi.org/10.1089/ars.2010.3310</v>
      </c>
      <c r="BG899" t="s">
        <v>74</v>
      </c>
      <c r="BH899" t="s">
        <v>74</v>
      </c>
      <c r="BI899">
        <v>13</v>
      </c>
      <c r="BJ899" t="s">
        <v>8122</v>
      </c>
      <c r="BK899" t="s">
        <v>100</v>
      </c>
      <c r="BL899" t="s">
        <v>8122</v>
      </c>
      <c r="BM899" t="s">
        <v>16177</v>
      </c>
      <c r="BN899">
        <v>20518703</v>
      </c>
      <c r="BO899" t="s">
        <v>74</v>
      </c>
      <c r="BP899" t="s">
        <v>74</v>
      </c>
      <c r="BQ899" t="s">
        <v>74</v>
      </c>
      <c r="BR899" t="s">
        <v>103</v>
      </c>
      <c r="BS899" t="s">
        <v>16178</v>
      </c>
      <c r="BT899" t="str">
        <f>HYPERLINK("https%3A%2F%2Fwww.webofscience.com%2Fwos%2Fwoscc%2Ffull-record%2FWOS:000286737100011","View Full Record in Web of Science")</f>
        <v>View Full Record in Web of Science</v>
      </c>
    </row>
    <row r="900" spans="1:72" x14ac:dyDescent="0.15">
      <c r="A900" t="s">
        <v>72</v>
      </c>
      <c r="B900" t="s">
        <v>16179</v>
      </c>
      <c r="C900" t="s">
        <v>74</v>
      </c>
      <c r="D900" t="s">
        <v>74</v>
      </c>
      <c r="E900" t="s">
        <v>74</v>
      </c>
      <c r="F900" t="s">
        <v>16180</v>
      </c>
      <c r="G900" t="s">
        <v>74</v>
      </c>
      <c r="H900" t="s">
        <v>74</v>
      </c>
      <c r="I900" t="s">
        <v>16181</v>
      </c>
      <c r="J900" t="s">
        <v>16182</v>
      </c>
      <c r="K900" t="s">
        <v>74</v>
      </c>
      <c r="L900" t="s">
        <v>74</v>
      </c>
      <c r="M900" t="s">
        <v>78</v>
      </c>
      <c r="N900" t="s">
        <v>79</v>
      </c>
      <c r="O900" t="s">
        <v>74</v>
      </c>
      <c r="P900" t="s">
        <v>74</v>
      </c>
      <c r="Q900" t="s">
        <v>74</v>
      </c>
      <c r="R900" t="s">
        <v>74</v>
      </c>
      <c r="S900" t="s">
        <v>74</v>
      </c>
      <c r="T900" t="s">
        <v>16183</v>
      </c>
      <c r="U900" t="s">
        <v>16184</v>
      </c>
      <c r="V900" t="s">
        <v>16185</v>
      </c>
      <c r="W900" t="s">
        <v>16186</v>
      </c>
      <c r="X900" t="s">
        <v>16187</v>
      </c>
      <c r="Y900" t="s">
        <v>16188</v>
      </c>
      <c r="Z900" t="s">
        <v>16189</v>
      </c>
      <c r="AA900" t="s">
        <v>74</v>
      </c>
      <c r="AB900" t="s">
        <v>74</v>
      </c>
      <c r="AC900" t="s">
        <v>16190</v>
      </c>
      <c r="AD900" t="s">
        <v>16191</v>
      </c>
      <c r="AE900" t="s">
        <v>16192</v>
      </c>
      <c r="AF900" t="s">
        <v>74</v>
      </c>
      <c r="AG900">
        <v>16</v>
      </c>
      <c r="AH900">
        <v>5</v>
      </c>
      <c r="AI900">
        <v>6</v>
      </c>
      <c r="AJ900">
        <v>1</v>
      </c>
      <c r="AK900">
        <v>18</v>
      </c>
      <c r="AL900" t="s">
        <v>1441</v>
      </c>
      <c r="AM900" t="s">
        <v>91</v>
      </c>
      <c r="AN900" t="s">
        <v>1595</v>
      </c>
      <c r="AO900" t="s">
        <v>16193</v>
      </c>
      <c r="AP900" t="s">
        <v>16194</v>
      </c>
      <c r="AQ900" t="s">
        <v>74</v>
      </c>
      <c r="AR900" t="s">
        <v>16195</v>
      </c>
      <c r="AS900" t="s">
        <v>16196</v>
      </c>
      <c r="AT900" t="s">
        <v>15286</v>
      </c>
      <c r="AU900">
        <v>2011</v>
      </c>
      <c r="AV900">
        <v>30</v>
      </c>
      <c r="AW900">
        <v>2</v>
      </c>
      <c r="AX900" t="s">
        <v>74</v>
      </c>
      <c r="AY900" t="s">
        <v>74</v>
      </c>
      <c r="AZ900" t="s">
        <v>74</v>
      </c>
      <c r="BA900" t="s">
        <v>74</v>
      </c>
      <c r="BB900">
        <v>9</v>
      </c>
      <c r="BC900">
        <v>13</v>
      </c>
      <c r="BD900" t="s">
        <v>74</v>
      </c>
      <c r="BE900" t="s">
        <v>16197</v>
      </c>
      <c r="BF900" t="str">
        <f>HYPERLINK("http://dx.doi.org/10.1007/s13131-011-0100-0","http://dx.doi.org/10.1007/s13131-011-0100-0")</f>
        <v>http://dx.doi.org/10.1007/s13131-011-0100-0</v>
      </c>
      <c r="BG900" t="s">
        <v>74</v>
      </c>
      <c r="BH900" t="s">
        <v>74</v>
      </c>
      <c r="BI900">
        <v>5</v>
      </c>
      <c r="BJ900" t="s">
        <v>271</v>
      </c>
      <c r="BK900" t="s">
        <v>100</v>
      </c>
      <c r="BL900" t="s">
        <v>271</v>
      </c>
      <c r="BM900" t="s">
        <v>16198</v>
      </c>
      <c r="BN900" t="s">
        <v>74</v>
      </c>
      <c r="BO900" t="s">
        <v>74</v>
      </c>
      <c r="BP900" t="s">
        <v>74</v>
      </c>
      <c r="BQ900" t="s">
        <v>74</v>
      </c>
      <c r="BR900" t="s">
        <v>103</v>
      </c>
      <c r="BS900" t="s">
        <v>16199</v>
      </c>
      <c r="BT900" t="str">
        <f>HYPERLINK("https%3A%2F%2Fwww.webofscience.com%2Fwos%2Fwoscc%2Ffull-record%2FWOS:000292224700002","View Full Record in Web of Science")</f>
        <v>View Full Record in Web of Science</v>
      </c>
    </row>
    <row r="901" spans="1:72" x14ac:dyDescent="0.15">
      <c r="A901" t="s">
        <v>72</v>
      </c>
      <c r="B901" t="s">
        <v>16200</v>
      </c>
      <c r="C901" t="s">
        <v>74</v>
      </c>
      <c r="D901" t="s">
        <v>74</v>
      </c>
      <c r="E901" t="s">
        <v>74</v>
      </c>
      <c r="F901" t="s">
        <v>16201</v>
      </c>
      <c r="G901" t="s">
        <v>74</v>
      </c>
      <c r="H901" t="s">
        <v>74</v>
      </c>
      <c r="I901" t="s">
        <v>16202</v>
      </c>
      <c r="J901" t="s">
        <v>16203</v>
      </c>
      <c r="K901" t="s">
        <v>74</v>
      </c>
      <c r="L901" t="s">
        <v>74</v>
      </c>
      <c r="M901" t="s">
        <v>78</v>
      </c>
      <c r="N901" t="s">
        <v>6970</v>
      </c>
      <c r="O901" t="s">
        <v>74</v>
      </c>
      <c r="P901" t="s">
        <v>74</v>
      </c>
      <c r="Q901" t="s">
        <v>74</v>
      </c>
      <c r="R901" t="s">
        <v>74</v>
      </c>
      <c r="S901" t="s">
        <v>74</v>
      </c>
      <c r="T901" t="s">
        <v>74</v>
      </c>
      <c r="U901" t="s">
        <v>74</v>
      </c>
      <c r="V901" t="s">
        <v>74</v>
      </c>
      <c r="W901" t="s">
        <v>16204</v>
      </c>
      <c r="X901" t="s">
        <v>16205</v>
      </c>
      <c r="Y901" t="s">
        <v>16206</v>
      </c>
      <c r="Z901" t="s">
        <v>74</v>
      </c>
      <c r="AA901" t="s">
        <v>74</v>
      </c>
      <c r="AB901" t="s">
        <v>74</v>
      </c>
      <c r="AC901" t="s">
        <v>74</v>
      </c>
      <c r="AD901" t="s">
        <v>74</v>
      </c>
      <c r="AE901" t="s">
        <v>74</v>
      </c>
      <c r="AF901" t="s">
        <v>74</v>
      </c>
      <c r="AG901">
        <v>1</v>
      </c>
      <c r="AH901">
        <v>0</v>
      </c>
      <c r="AI901">
        <v>0</v>
      </c>
      <c r="AJ901">
        <v>0</v>
      </c>
      <c r="AK901">
        <v>0</v>
      </c>
      <c r="AL901" t="s">
        <v>16207</v>
      </c>
      <c r="AM901" t="s">
        <v>16208</v>
      </c>
      <c r="AN901" t="s">
        <v>16209</v>
      </c>
      <c r="AO901" t="s">
        <v>16210</v>
      </c>
      <c r="AP901" t="s">
        <v>74</v>
      </c>
      <c r="AQ901" t="s">
        <v>74</v>
      </c>
      <c r="AR901" t="s">
        <v>16211</v>
      </c>
      <c r="AS901" t="s">
        <v>16212</v>
      </c>
      <c r="AT901" t="s">
        <v>16213</v>
      </c>
      <c r="AU901">
        <v>2011</v>
      </c>
      <c r="AV901" t="s">
        <v>74</v>
      </c>
      <c r="AW901">
        <v>208</v>
      </c>
      <c r="AX901" t="s">
        <v>74</v>
      </c>
      <c r="AY901" t="s">
        <v>74</v>
      </c>
      <c r="AZ901" t="s">
        <v>74</v>
      </c>
      <c r="BA901" t="s">
        <v>74</v>
      </c>
      <c r="BB901">
        <v>187</v>
      </c>
      <c r="BC901">
        <v>189</v>
      </c>
      <c r="BD901" t="s">
        <v>74</v>
      </c>
      <c r="BE901" t="s">
        <v>74</v>
      </c>
      <c r="BF901" t="s">
        <v>74</v>
      </c>
      <c r="BG901" t="s">
        <v>74</v>
      </c>
      <c r="BH901" t="s">
        <v>74</v>
      </c>
      <c r="BI901">
        <v>3</v>
      </c>
      <c r="BJ901" t="s">
        <v>16214</v>
      </c>
      <c r="BK901" t="s">
        <v>16215</v>
      </c>
      <c r="BL901" t="s">
        <v>16216</v>
      </c>
      <c r="BM901" t="s">
        <v>16217</v>
      </c>
      <c r="BN901" t="s">
        <v>74</v>
      </c>
      <c r="BO901" t="s">
        <v>74</v>
      </c>
      <c r="BP901" t="s">
        <v>74</v>
      </c>
      <c r="BQ901" t="s">
        <v>74</v>
      </c>
      <c r="BR901" t="s">
        <v>103</v>
      </c>
      <c r="BS901" t="s">
        <v>16218</v>
      </c>
      <c r="BT901" t="str">
        <f>HYPERLINK("https%3A%2F%2Fwww.webofscience.com%2Fwos%2Fwoscc%2Ffull-record%2FWOS:000293309900114","View Full Record in Web of Science")</f>
        <v>View Full Record in Web of Science</v>
      </c>
    </row>
    <row r="902" spans="1:72" x14ac:dyDescent="0.15">
      <c r="A902" t="s">
        <v>72</v>
      </c>
      <c r="B902" t="s">
        <v>16219</v>
      </c>
      <c r="C902" t="s">
        <v>74</v>
      </c>
      <c r="D902" t="s">
        <v>74</v>
      </c>
      <c r="E902" t="s">
        <v>74</v>
      </c>
      <c r="F902" t="s">
        <v>16220</v>
      </c>
      <c r="G902" t="s">
        <v>74</v>
      </c>
      <c r="H902" t="s">
        <v>74</v>
      </c>
      <c r="I902" t="s">
        <v>16221</v>
      </c>
      <c r="J902" t="s">
        <v>5011</v>
      </c>
      <c r="K902" t="s">
        <v>74</v>
      </c>
      <c r="L902" t="s">
        <v>74</v>
      </c>
      <c r="M902" t="s">
        <v>78</v>
      </c>
      <c r="N902" t="s">
        <v>79</v>
      </c>
      <c r="O902" t="s">
        <v>74</v>
      </c>
      <c r="P902" t="s">
        <v>74</v>
      </c>
      <c r="Q902" t="s">
        <v>74</v>
      </c>
      <c r="R902" t="s">
        <v>74</v>
      </c>
      <c r="S902" t="s">
        <v>74</v>
      </c>
      <c r="T902" t="s">
        <v>16222</v>
      </c>
      <c r="U902" t="s">
        <v>16223</v>
      </c>
      <c r="V902" t="s">
        <v>16224</v>
      </c>
      <c r="W902" t="s">
        <v>16225</v>
      </c>
      <c r="X902" t="s">
        <v>16226</v>
      </c>
      <c r="Y902" t="s">
        <v>16227</v>
      </c>
      <c r="Z902" t="s">
        <v>16228</v>
      </c>
      <c r="AA902" t="s">
        <v>16229</v>
      </c>
      <c r="AB902" t="s">
        <v>16230</v>
      </c>
      <c r="AC902" t="s">
        <v>16231</v>
      </c>
      <c r="AD902" t="s">
        <v>4493</v>
      </c>
      <c r="AE902" t="s">
        <v>16232</v>
      </c>
      <c r="AF902" t="s">
        <v>74</v>
      </c>
      <c r="AG902">
        <v>38</v>
      </c>
      <c r="AH902">
        <v>66</v>
      </c>
      <c r="AI902">
        <v>74</v>
      </c>
      <c r="AJ902">
        <v>0</v>
      </c>
      <c r="AK902">
        <v>38</v>
      </c>
      <c r="AL902" t="s">
        <v>1441</v>
      </c>
      <c r="AM902" t="s">
        <v>91</v>
      </c>
      <c r="AN902" t="s">
        <v>1902</v>
      </c>
      <c r="AO902" t="s">
        <v>5024</v>
      </c>
      <c r="AP902" t="s">
        <v>5025</v>
      </c>
      <c r="AQ902" t="s">
        <v>74</v>
      </c>
      <c r="AR902" t="s">
        <v>5026</v>
      </c>
      <c r="AS902" t="s">
        <v>5027</v>
      </c>
      <c r="AT902" t="s">
        <v>15286</v>
      </c>
      <c r="AU902">
        <v>2011</v>
      </c>
      <c r="AV902">
        <v>36</v>
      </c>
      <c r="AW902" t="s">
        <v>10386</v>
      </c>
      <c r="AX902" t="s">
        <v>74</v>
      </c>
      <c r="AY902" t="s">
        <v>74</v>
      </c>
      <c r="AZ902" t="s">
        <v>74</v>
      </c>
      <c r="BA902" t="s">
        <v>74</v>
      </c>
      <c r="BB902">
        <v>945</v>
      </c>
      <c r="BC902">
        <v>955</v>
      </c>
      <c r="BD902" t="s">
        <v>74</v>
      </c>
      <c r="BE902" t="s">
        <v>16233</v>
      </c>
      <c r="BF902" t="str">
        <f>HYPERLINK("http://dx.doi.org/10.1007/s00382-010-0756-8","http://dx.doi.org/10.1007/s00382-010-0756-8")</f>
        <v>http://dx.doi.org/10.1007/s00382-010-0756-8</v>
      </c>
      <c r="BG902" t="s">
        <v>74</v>
      </c>
      <c r="BH902" t="s">
        <v>74</v>
      </c>
      <c r="BI902">
        <v>11</v>
      </c>
      <c r="BJ902" t="s">
        <v>248</v>
      </c>
      <c r="BK902" t="s">
        <v>100</v>
      </c>
      <c r="BL902" t="s">
        <v>248</v>
      </c>
      <c r="BM902" t="s">
        <v>15940</v>
      </c>
      <c r="BN902" t="s">
        <v>74</v>
      </c>
      <c r="BO902" t="s">
        <v>74</v>
      </c>
      <c r="BP902" t="s">
        <v>74</v>
      </c>
      <c r="BQ902" t="s">
        <v>74</v>
      </c>
      <c r="BR902" t="s">
        <v>103</v>
      </c>
      <c r="BS902" t="s">
        <v>16234</v>
      </c>
      <c r="BT902" t="str">
        <f>HYPERLINK("https%3A%2F%2Fwww.webofscience.com%2Fwos%2Fwoscc%2Ffull-record%2FWOS:000287924400008","View Full Record in Web of Science")</f>
        <v>View Full Record in Web of Science</v>
      </c>
    </row>
    <row r="903" spans="1:72" x14ac:dyDescent="0.15">
      <c r="A903" t="s">
        <v>72</v>
      </c>
      <c r="B903" t="s">
        <v>16235</v>
      </c>
      <c r="C903" t="s">
        <v>74</v>
      </c>
      <c r="D903" t="s">
        <v>74</v>
      </c>
      <c r="E903" t="s">
        <v>74</v>
      </c>
      <c r="F903" t="s">
        <v>16236</v>
      </c>
      <c r="G903" t="s">
        <v>74</v>
      </c>
      <c r="H903" t="s">
        <v>74</v>
      </c>
      <c r="I903" t="s">
        <v>16237</v>
      </c>
      <c r="J903" t="s">
        <v>13696</v>
      </c>
      <c r="K903" t="s">
        <v>74</v>
      </c>
      <c r="L903" t="s">
        <v>74</v>
      </c>
      <c r="M903" t="s">
        <v>78</v>
      </c>
      <c r="N903" t="s">
        <v>278</v>
      </c>
      <c r="O903" t="s">
        <v>74</v>
      </c>
      <c r="P903" t="s">
        <v>74</v>
      </c>
      <c r="Q903" t="s">
        <v>74</v>
      </c>
      <c r="R903" t="s">
        <v>74</v>
      </c>
      <c r="S903" t="s">
        <v>74</v>
      </c>
      <c r="T903" t="s">
        <v>16238</v>
      </c>
      <c r="U903" t="s">
        <v>16239</v>
      </c>
      <c r="V903" t="s">
        <v>16240</v>
      </c>
      <c r="W903" t="s">
        <v>16241</v>
      </c>
      <c r="X903" t="s">
        <v>16242</v>
      </c>
      <c r="Y903" t="s">
        <v>16243</v>
      </c>
      <c r="Z903" t="s">
        <v>16244</v>
      </c>
      <c r="AA903" t="s">
        <v>16245</v>
      </c>
      <c r="AB903" t="s">
        <v>16246</v>
      </c>
      <c r="AC903" t="s">
        <v>16247</v>
      </c>
      <c r="AD903" t="s">
        <v>16248</v>
      </c>
      <c r="AE903" t="s">
        <v>16249</v>
      </c>
      <c r="AF903" t="s">
        <v>74</v>
      </c>
      <c r="AG903">
        <v>76</v>
      </c>
      <c r="AH903">
        <v>53</v>
      </c>
      <c r="AI903">
        <v>57</v>
      </c>
      <c r="AJ903">
        <v>1</v>
      </c>
      <c r="AK903">
        <v>48</v>
      </c>
      <c r="AL903" t="s">
        <v>90</v>
      </c>
      <c r="AM903" t="s">
        <v>91</v>
      </c>
      <c r="AN903" t="s">
        <v>92</v>
      </c>
      <c r="AO903" t="s">
        <v>13708</v>
      </c>
      <c r="AP903" t="s">
        <v>15956</v>
      </c>
      <c r="AQ903" t="s">
        <v>74</v>
      </c>
      <c r="AR903" t="s">
        <v>13709</v>
      </c>
      <c r="AS903" t="s">
        <v>13710</v>
      </c>
      <c r="AT903" t="s">
        <v>15286</v>
      </c>
      <c r="AU903">
        <v>2011</v>
      </c>
      <c r="AV903">
        <v>158</v>
      </c>
      <c r="AW903">
        <v>3</v>
      </c>
      <c r="AX903" t="s">
        <v>74</v>
      </c>
      <c r="AY903" t="s">
        <v>74</v>
      </c>
      <c r="AZ903" t="s">
        <v>74</v>
      </c>
      <c r="BA903" t="s">
        <v>74</v>
      </c>
      <c r="BB903">
        <v>315</v>
      </c>
      <c r="BC903">
        <v>322</v>
      </c>
      <c r="BD903" t="s">
        <v>74</v>
      </c>
      <c r="BE903" t="s">
        <v>16250</v>
      </c>
      <c r="BF903" t="str">
        <f>HYPERLINK("http://dx.doi.org/10.1016/j.cbpa.2010.07.012","http://dx.doi.org/10.1016/j.cbpa.2010.07.012")</f>
        <v>http://dx.doi.org/10.1016/j.cbpa.2010.07.012</v>
      </c>
      <c r="BG903" t="s">
        <v>74</v>
      </c>
      <c r="BH903" t="s">
        <v>74</v>
      </c>
      <c r="BI903">
        <v>8</v>
      </c>
      <c r="BJ903" t="s">
        <v>13712</v>
      </c>
      <c r="BK903" t="s">
        <v>100</v>
      </c>
      <c r="BL903" t="s">
        <v>13712</v>
      </c>
      <c r="BM903" t="s">
        <v>15958</v>
      </c>
      <c r="BN903">
        <v>20656049</v>
      </c>
      <c r="BO903" t="s">
        <v>74</v>
      </c>
      <c r="BP903" t="s">
        <v>74</v>
      </c>
      <c r="BQ903" t="s">
        <v>74</v>
      </c>
      <c r="BR903" t="s">
        <v>103</v>
      </c>
      <c r="BS903" t="s">
        <v>16251</v>
      </c>
      <c r="BT903" t="str">
        <f>HYPERLINK("https%3A%2F%2Fwww.webofscience.com%2Fwos%2Fwoscc%2Ffull-record%2FWOS:000287989100007","View Full Record in Web of Science")</f>
        <v>View Full Record in Web of Science</v>
      </c>
    </row>
    <row r="904" spans="1:72" x14ac:dyDescent="0.15">
      <c r="A904" t="s">
        <v>72</v>
      </c>
      <c r="B904" t="s">
        <v>16252</v>
      </c>
      <c r="C904" t="s">
        <v>74</v>
      </c>
      <c r="D904" t="s">
        <v>74</v>
      </c>
      <c r="E904" t="s">
        <v>74</v>
      </c>
      <c r="F904" t="s">
        <v>16253</v>
      </c>
      <c r="G904" t="s">
        <v>74</v>
      </c>
      <c r="H904" t="s">
        <v>74</v>
      </c>
      <c r="I904" t="s">
        <v>16254</v>
      </c>
      <c r="J904" t="s">
        <v>15435</v>
      </c>
      <c r="K904" t="s">
        <v>74</v>
      </c>
      <c r="L904" t="s">
        <v>74</v>
      </c>
      <c r="M904" t="s">
        <v>78</v>
      </c>
      <c r="N904" t="s">
        <v>79</v>
      </c>
      <c r="O904" t="s">
        <v>74</v>
      </c>
      <c r="P904" t="s">
        <v>74</v>
      </c>
      <c r="Q904" t="s">
        <v>74</v>
      </c>
      <c r="R904" t="s">
        <v>74</v>
      </c>
      <c r="S904" t="s">
        <v>74</v>
      </c>
      <c r="T904" t="s">
        <v>16255</v>
      </c>
      <c r="U904" t="s">
        <v>16256</v>
      </c>
      <c r="V904" t="s">
        <v>16257</v>
      </c>
      <c r="W904" t="s">
        <v>16258</v>
      </c>
      <c r="X904" t="s">
        <v>16259</v>
      </c>
      <c r="Y904" t="s">
        <v>16260</v>
      </c>
      <c r="Z904" t="s">
        <v>16261</v>
      </c>
      <c r="AA904" t="s">
        <v>16262</v>
      </c>
      <c r="AB904" t="s">
        <v>16263</v>
      </c>
      <c r="AC904" t="s">
        <v>16264</v>
      </c>
      <c r="AD904" t="s">
        <v>16265</v>
      </c>
      <c r="AE904" t="s">
        <v>16266</v>
      </c>
      <c r="AF904" t="s">
        <v>74</v>
      </c>
      <c r="AG904">
        <v>95</v>
      </c>
      <c r="AH904">
        <v>75</v>
      </c>
      <c r="AI904">
        <v>76</v>
      </c>
      <c r="AJ904">
        <v>1</v>
      </c>
      <c r="AK904">
        <v>15</v>
      </c>
      <c r="AL904" t="s">
        <v>1323</v>
      </c>
      <c r="AM904" t="s">
        <v>1324</v>
      </c>
      <c r="AN904" t="s">
        <v>1325</v>
      </c>
      <c r="AO904" t="s">
        <v>15447</v>
      </c>
      <c r="AP904" t="s">
        <v>15448</v>
      </c>
      <c r="AQ904" t="s">
        <v>74</v>
      </c>
      <c r="AR904" t="s">
        <v>15449</v>
      </c>
      <c r="AS904" t="s">
        <v>15450</v>
      </c>
      <c r="AT904" t="s">
        <v>15451</v>
      </c>
      <c r="AU904">
        <v>2011</v>
      </c>
      <c r="AV904">
        <v>46</v>
      </c>
      <c r="AW904" t="s">
        <v>15307</v>
      </c>
      <c r="AX904" t="s">
        <v>74</v>
      </c>
      <c r="AY904" t="s">
        <v>74</v>
      </c>
      <c r="AZ904" t="s">
        <v>864</v>
      </c>
      <c r="BA904" t="s">
        <v>74</v>
      </c>
      <c r="BB904">
        <v>217</v>
      </c>
      <c r="BC904">
        <v>239</v>
      </c>
      <c r="BD904" t="s">
        <v>74</v>
      </c>
      <c r="BE904" t="s">
        <v>16267</v>
      </c>
      <c r="BF904" t="str">
        <f>HYPERLINK("http://dx.doi.org/10.1002/gj.1246","http://dx.doi.org/10.1002/gj.1246")</f>
        <v>http://dx.doi.org/10.1002/gj.1246</v>
      </c>
      <c r="BG904" t="s">
        <v>74</v>
      </c>
      <c r="BH904" t="s">
        <v>74</v>
      </c>
      <c r="BI904">
        <v>23</v>
      </c>
      <c r="BJ904" t="s">
        <v>130</v>
      </c>
      <c r="BK904" t="s">
        <v>100</v>
      </c>
      <c r="BL904" t="s">
        <v>131</v>
      </c>
      <c r="BM904" t="s">
        <v>15453</v>
      </c>
      <c r="BN904" t="s">
        <v>74</v>
      </c>
      <c r="BO904" t="s">
        <v>74</v>
      </c>
      <c r="BP904" t="s">
        <v>74</v>
      </c>
      <c r="BQ904" t="s">
        <v>74</v>
      </c>
      <c r="BR904" t="s">
        <v>103</v>
      </c>
      <c r="BS904" t="s">
        <v>16268</v>
      </c>
      <c r="BT904" t="str">
        <f>HYPERLINK("https%3A%2F%2Fwww.webofscience.com%2Fwos%2Fwoscc%2Ffull-record%2FWOS:000289658400009","View Full Record in Web of Science")</f>
        <v>View Full Record in Web of Science</v>
      </c>
    </row>
    <row r="905" spans="1:72" x14ac:dyDescent="0.15">
      <c r="A905" t="s">
        <v>72</v>
      </c>
      <c r="B905" t="s">
        <v>16269</v>
      </c>
      <c r="C905" t="s">
        <v>74</v>
      </c>
      <c r="D905" t="s">
        <v>74</v>
      </c>
      <c r="E905" t="s">
        <v>74</v>
      </c>
      <c r="F905" t="s">
        <v>16270</v>
      </c>
      <c r="G905" t="s">
        <v>74</v>
      </c>
      <c r="H905" t="s">
        <v>74</v>
      </c>
      <c r="I905" t="s">
        <v>16271</v>
      </c>
      <c r="J905" t="s">
        <v>13267</v>
      </c>
      <c r="K905" t="s">
        <v>74</v>
      </c>
      <c r="L905" t="s">
        <v>74</v>
      </c>
      <c r="M905" t="s">
        <v>78</v>
      </c>
      <c r="N905" t="s">
        <v>79</v>
      </c>
      <c r="O905" t="s">
        <v>74</v>
      </c>
      <c r="P905" t="s">
        <v>74</v>
      </c>
      <c r="Q905" t="s">
        <v>74</v>
      </c>
      <c r="R905" t="s">
        <v>74</v>
      </c>
      <c r="S905" t="s">
        <v>74</v>
      </c>
      <c r="T905" t="s">
        <v>16272</v>
      </c>
      <c r="U905" t="s">
        <v>16273</v>
      </c>
      <c r="V905" t="s">
        <v>16274</v>
      </c>
      <c r="W905" t="s">
        <v>16275</v>
      </c>
      <c r="X905" t="s">
        <v>3835</v>
      </c>
      <c r="Y905" t="s">
        <v>16276</v>
      </c>
      <c r="Z905" t="s">
        <v>16277</v>
      </c>
      <c r="AA905" t="s">
        <v>16278</v>
      </c>
      <c r="AB905" t="s">
        <v>16279</v>
      </c>
      <c r="AC905" t="s">
        <v>74</v>
      </c>
      <c r="AD905" t="s">
        <v>74</v>
      </c>
      <c r="AE905" t="s">
        <v>74</v>
      </c>
      <c r="AF905" t="s">
        <v>74</v>
      </c>
      <c r="AG905">
        <v>454</v>
      </c>
      <c r="AH905">
        <v>371</v>
      </c>
      <c r="AI905">
        <v>407</v>
      </c>
      <c r="AJ905">
        <v>15</v>
      </c>
      <c r="AK905">
        <v>107</v>
      </c>
      <c r="AL905" t="s">
        <v>308</v>
      </c>
      <c r="AM905" t="s">
        <v>309</v>
      </c>
      <c r="AN905" t="s">
        <v>310</v>
      </c>
      <c r="AO905" t="s">
        <v>13275</v>
      </c>
      <c r="AP905" t="s">
        <v>13866</v>
      </c>
      <c r="AQ905" t="s">
        <v>74</v>
      </c>
      <c r="AR905" t="s">
        <v>13276</v>
      </c>
      <c r="AS905" t="s">
        <v>13277</v>
      </c>
      <c r="AT905" t="s">
        <v>15286</v>
      </c>
      <c r="AU905">
        <v>2011</v>
      </c>
      <c r="AV905">
        <v>19</v>
      </c>
      <c r="AW905">
        <v>2</v>
      </c>
      <c r="AX905" t="s">
        <v>74</v>
      </c>
      <c r="AY905" t="s">
        <v>74</v>
      </c>
      <c r="AZ905" t="s">
        <v>74</v>
      </c>
      <c r="BA905" t="s">
        <v>74</v>
      </c>
      <c r="BB905">
        <v>335</v>
      </c>
      <c r="BC905">
        <v>371</v>
      </c>
      <c r="BD905" t="s">
        <v>74</v>
      </c>
      <c r="BE905" t="s">
        <v>16280</v>
      </c>
      <c r="BF905" t="str">
        <f>HYPERLINK("http://dx.doi.org/10.1016/j.gr.2010.09.003","http://dx.doi.org/10.1016/j.gr.2010.09.003")</f>
        <v>http://dx.doi.org/10.1016/j.gr.2010.09.003</v>
      </c>
      <c r="BG905" t="s">
        <v>74</v>
      </c>
      <c r="BH905" t="s">
        <v>74</v>
      </c>
      <c r="BI905">
        <v>37</v>
      </c>
      <c r="BJ905" t="s">
        <v>130</v>
      </c>
      <c r="BK905" t="s">
        <v>100</v>
      </c>
      <c r="BL905" t="s">
        <v>131</v>
      </c>
      <c r="BM905" t="s">
        <v>16281</v>
      </c>
      <c r="BN905" t="s">
        <v>74</v>
      </c>
      <c r="BO905" t="s">
        <v>74</v>
      </c>
      <c r="BP905" t="s">
        <v>74</v>
      </c>
      <c r="BQ905" t="s">
        <v>74</v>
      </c>
      <c r="BR905" t="s">
        <v>103</v>
      </c>
      <c r="BS905" t="s">
        <v>16282</v>
      </c>
      <c r="BT905" t="str">
        <f>HYPERLINK("https%3A%2F%2Fwww.webofscience.com%2Fwos%2Fwoscc%2Ffull-record%2FWOS:000287289400001","View Full Record in Web of Science")</f>
        <v>View Full Record in Web of Science</v>
      </c>
    </row>
    <row r="906" spans="1:72" x14ac:dyDescent="0.15">
      <c r="A906" t="s">
        <v>72</v>
      </c>
      <c r="B906" t="s">
        <v>16283</v>
      </c>
      <c r="C906" t="s">
        <v>74</v>
      </c>
      <c r="D906" t="s">
        <v>74</v>
      </c>
      <c r="E906" t="s">
        <v>74</v>
      </c>
      <c r="F906" t="s">
        <v>16284</v>
      </c>
      <c r="G906" t="s">
        <v>74</v>
      </c>
      <c r="H906" t="s">
        <v>74</v>
      </c>
      <c r="I906" t="s">
        <v>16285</v>
      </c>
      <c r="J906" t="s">
        <v>4293</v>
      </c>
      <c r="K906" t="s">
        <v>74</v>
      </c>
      <c r="L906" t="s">
        <v>74</v>
      </c>
      <c r="M906" t="s">
        <v>78</v>
      </c>
      <c r="N906" t="s">
        <v>79</v>
      </c>
      <c r="O906" t="s">
        <v>74</v>
      </c>
      <c r="P906" t="s">
        <v>74</v>
      </c>
      <c r="Q906" t="s">
        <v>74</v>
      </c>
      <c r="R906" t="s">
        <v>74</v>
      </c>
      <c r="S906" t="s">
        <v>74</v>
      </c>
      <c r="T906" t="s">
        <v>16286</v>
      </c>
      <c r="U906" t="s">
        <v>16287</v>
      </c>
      <c r="V906" t="s">
        <v>16288</v>
      </c>
      <c r="W906" t="s">
        <v>16289</v>
      </c>
      <c r="X906" t="s">
        <v>16290</v>
      </c>
      <c r="Y906" t="s">
        <v>16291</v>
      </c>
      <c r="Z906" t="s">
        <v>16292</v>
      </c>
      <c r="AA906" t="s">
        <v>16293</v>
      </c>
      <c r="AB906" t="s">
        <v>16294</v>
      </c>
      <c r="AC906" t="s">
        <v>16295</v>
      </c>
      <c r="AD906" t="s">
        <v>16296</v>
      </c>
      <c r="AE906" t="s">
        <v>16297</v>
      </c>
      <c r="AF906" t="s">
        <v>74</v>
      </c>
      <c r="AG906">
        <v>44</v>
      </c>
      <c r="AH906">
        <v>17</v>
      </c>
      <c r="AI906">
        <v>20</v>
      </c>
      <c r="AJ906">
        <v>0</v>
      </c>
      <c r="AK906">
        <v>28</v>
      </c>
      <c r="AL906" t="s">
        <v>2968</v>
      </c>
      <c r="AM906" t="s">
        <v>508</v>
      </c>
      <c r="AN906" t="s">
        <v>2969</v>
      </c>
      <c r="AO906" t="s">
        <v>4306</v>
      </c>
      <c r="AP906" t="s">
        <v>4307</v>
      </c>
      <c r="AQ906" t="s">
        <v>74</v>
      </c>
      <c r="AR906" t="s">
        <v>4308</v>
      </c>
      <c r="AS906" t="s">
        <v>4309</v>
      </c>
      <c r="AT906" t="s">
        <v>15286</v>
      </c>
      <c r="AU906">
        <v>2011</v>
      </c>
      <c r="AV906">
        <v>68</v>
      </c>
      <c r="AW906">
        <v>3</v>
      </c>
      <c r="AX906" t="s">
        <v>74</v>
      </c>
      <c r="AY906" t="s">
        <v>74</v>
      </c>
      <c r="AZ906" t="s">
        <v>74</v>
      </c>
      <c r="BA906" t="s">
        <v>74</v>
      </c>
      <c r="BB906">
        <v>489</v>
      </c>
      <c r="BC906">
        <v>498</v>
      </c>
      <c r="BD906" t="s">
        <v>74</v>
      </c>
      <c r="BE906" t="s">
        <v>16298</v>
      </c>
      <c r="BF906" t="str">
        <f>HYPERLINK("http://dx.doi.org/10.1093/icesjms/fsq202","http://dx.doi.org/10.1093/icesjms/fsq202")</f>
        <v>http://dx.doi.org/10.1093/icesjms/fsq202</v>
      </c>
      <c r="BG906" t="s">
        <v>74</v>
      </c>
      <c r="BH906" t="s">
        <v>74</v>
      </c>
      <c r="BI906">
        <v>10</v>
      </c>
      <c r="BJ906" t="s">
        <v>4311</v>
      </c>
      <c r="BK906" t="s">
        <v>100</v>
      </c>
      <c r="BL906" t="s">
        <v>4311</v>
      </c>
      <c r="BM906" t="s">
        <v>16299</v>
      </c>
      <c r="BN906" t="s">
        <v>74</v>
      </c>
      <c r="BO906" t="s">
        <v>273</v>
      </c>
      <c r="BP906" t="s">
        <v>74</v>
      </c>
      <c r="BQ906" t="s">
        <v>74</v>
      </c>
      <c r="BR906" t="s">
        <v>103</v>
      </c>
      <c r="BS906" t="s">
        <v>16300</v>
      </c>
      <c r="BT906" t="str">
        <f>HYPERLINK("https%3A%2F%2Fwww.webofscience.com%2Fwos%2Fwoscc%2Ffull-record%2FWOS:000287492400008","View Full Record in Web of Science")</f>
        <v>View Full Record in Web of Science</v>
      </c>
    </row>
    <row r="907" spans="1:72" x14ac:dyDescent="0.15">
      <c r="A907" t="s">
        <v>72</v>
      </c>
      <c r="B907" t="s">
        <v>16301</v>
      </c>
      <c r="C907" t="s">
        <v>74</v>
      </c>
      <c r="D907" t="s">
        <v>74</v>
      </c>
      <c r="E907" t="s">
        <v>74</v>
      </c>
      <c r="F907" t="s">
        <v>16302</v>
      </c>
      <c r="G907" t="s">
        <v>74</v>
      </c>
      <c r="H907" t="s">
        <v>74</v>
      </c>
      <c r="I907" t="s">
        <v>16303</v>
      </c>
      <c r="J907" t="s">
        <v>16304</v>
      </c>
      <c r="K907" t="s">
        <v>74</v>
      </c>
      <c r="L907" t="s">
        <v>74</v>
      </c>
      <c r="M907" t="s">
        <v>78</v>
      </c>
      <c r="N907" t="s">
        <v>79</v>
      </c>
      <c r="O907" t="s">
        <v>74</v>
      </c>
      <c r="P907" t="s">
        <v>74</v>
      </c>
      <c r="Q907" t="s">
        <v>74</v>
      </c>
      <c r="R907" t="s">
        <v>74</v>
      </c>
      <c r="S907" t="s">
        <v>74</v>
      </c>
      <c r="T907" t="s">
        <v>16305</v>
      </c>
      <c r="U907" t="s">
        <v>16306</v>
      </c>
      <c r="V907" t="s">
        <v>16307</v>
      </c>
      <c r="W907" t="s">
        <v>16308</v>
      </c>
      <c r="X907" t="s">
        <v>2015</v>
      </c>
      <c r="Y907" t="s">
        <v>16309</v>
      </c>
      <c r="Z907" t="s">
        <v>16310</v>
      </c>
      <c r="AA907" t="s">
        <v>16311</v>
      </c>
      <c r="AB907" t="s">
        <v>16312</v>
      </c>
      <c r="AC907" t="s">
        <v>3856</v>
      </c>
      <c r="AD907" t="s">
        <v>2067</v>
      </c>
      <c r="AE907" t="s">
        <v>74</v>
      </c>
      <c r="AF907" t="s">
        <v>74</v>
      </c>
      <c r="AG907">
        <v>31</v>
      </c>
      <c r="AH907">
        <v>26</v>
      </c>
      <c r="AI907">
        <v>26</v>
      </c>
      <c r="AJ907">
        <v>0</v>
      </c>
      <c r="AK907">
        <v>15</v>
      </c>
      <c r="AL907" t="s">
        <v>1323</v>
      </c>
      <c r="AM907" t="s">
        <v>1324</v>
      </c>
      <c r="AN907" t="s">
        <v>1325</v>
      </c>
      <c r="AO907" t="s">
        <v>16313</v>
      </c>
      <c r="AP907" t="s">
        <v>16314</v>
      </c>
      <c r="AQ907" t="s">
        <v>74</v>
      </c>
      <c r="AR907" t="s">
        <v>16315</v>
      </c>
      <c r="AS907" t="s">
        <v>16316</v>
      </c>
      <c r="AT907" t="s">
        <v>15286</v>
      </c>
      <c r="AU907">
        <v>2011</v>
      </c>
      <c r="AV907">
        <v>31</v>
      </c>
      <c r="AW907">
        <v>3</v>
      </c>
      <c r="AX907" t="s">
        <v>74</v>
      </c>
      <c r="AY907" t="s">
        <v>74</v>
      </c>
      <c r="AZ907" t="s">
        <v>74</v>
      </c>
      <c r="BA907" t="s">
        <v>74</v>
      </c>
      <c r="BB907">
        <v>404</v>
      </c>
      <c r="BC907">
        <v>414</v>
      </c>
      <c r="BD907" t="s">
        <v>74</v>
      </c>
      <c r="BE907" t="s">
        <v>16317</v>
      </c>
      <c r="BF907" t="str">
        <f>HYPERLINK("http://dx.doi.org/10.1002/joc.2083","http://dx.doi.org/10.1002/joc.2083")</f>
        <v>http://dx.doi.org/10.1002/joc.2083</v>
      </c>
      <c r="BG907" t="s">
        <v>74</v>
      </c>
      <c r="BH907" t="s">
        <v>74</v>
      </c>
      <c r="BI907">
        <v>11</v>
      </c>
      <c r="BJ907" t="s">
        <v>248</v>
      </c>
      <c r="BK907" t="s">
        <v>100</v>
      </c>
      <c r="BL907" t="s">
        <v>248</v>
      </c>
      <c r="BM907" t="s">
        <v>16318</v>
      </c>
      <c r="BN907" t="s">
        <v>74</v>
      </c>
      <c r="BO907" t="s">
        <v>74</v>
      </c>
      <c r="BP907" t="s">
        <v>74</v>
      </c>
      <c r="BQ907" t="s">
        <v>74</v>
      </c>
      <c r="BR907" t="s">
        <v>103</v>
      </c>
      <c r="BS907" t="s">
        <v>16319</v>
      </c>
      <c r="BT907" t="str">
        <f>HYPERLINK("https%3A%2F%2Fwww.webofscience.com%2Fwos%2Fwoscc%2Ffull-record%2FWOS:000288090200007","View Full Record in Web of Science")</f>
        <v>View Full Record in Web of Science</v>
      </c>
    </row>
    <row r="908" spans="1:72" x14ac:dyDescent="0.15">
      <c r="A908" t="s">
        <v>72</v>
      </c>
      <c r="B908" t="s">
        <v>16320</v>
      </c>
      <c r="C908" t="s">
        <v>74</v>
      </c>
      <c r="D908" t="s">
        <v>74</v>
      </c>
      <c r="E908" t="s">
        <v>74</v>
      </c>
      <c r="F908" t="s">
        <v>16321</v>
      </c>
      <c r="G908" t="s">
        <v>74</v>
      </c>
      <c r="H908" t="s">
        <v>74</v>
      </c>
      <c r="I908" t="s">
        <v>16322</v>
      </c>
      <c r="J908" t="s">
        <v>16304</v>
      </c>
      <c r="K908" t="s">
        <v>74</v>
      </c>
      <c r="L908" t="s">
        <v>74</v>
      </c>
      <c r="M908" t="s">
        <v>78</v>
      </c>
      <c r="N908" t="s">
        <v>79</v>
      </c>
      <c r="O908" t="s">
        <v>74</v>
      </c>
      <c r="P908" t="s">
        <v>74</v>
      </c>
      <c r="Q908" t="s">
        <v>74</v>
      </c>
      <c r="R908" t="s">
        <v>74</v>
      </c>
      <c r="S908" t="s">
        <v>74</v>
      </c>
      <c r="T908" t="s">
        <v>16323</v>
      </c>
      <c r="U908" t="s">
        <v>16324</v>
      </c>
      <c r="V908" t="s">
        <v>16325</v>
      </c>
      <c r="W908" t="s">
        <v>16326</v>
      </c>
      <c r="X908" t="s">
        <v>16327</v>
      </c>
      <c r="Y908" t="s">
        <v>16328</v>
      </c>
      <c r="Z908" t="s">
        <v>16329</v>
      </c>
      <c r="AA908" t="s">
        <v>16330</v>
      </c>
      <c r="AB908" t="s">
        <v>16331</v>
      </c>
      <c r="AC908" t="s">
        <v>16332</v>
      </c>
      <c r="AD908" t="s">
        <v>16333</v>
      </c>
      <c r="AE908" t="s">
        <v>16334</v>
      </c>
      <c r="AF908" t="s">
        <v>74</v>
      </c>
      <c r="AG908">
        <v>45</v>
      </c>
      <c r="AH908">
        <v>12</v>
      </c>
      <c r="AI908">
        <v>12</v>
      </c>
      <c r="AJ908">
        <v>0</v>
      </c>
      <c r="AK908">
        <v>8</v>
      </c>
      <c r="AL908" t="s">
        <v>4179</v>
      </c>
      <c r="AM908" t="s">
        <v>1324</v>
      </c>
      <c r="AN908" t="s">
        <v>1325</v>
      </c>
      <c r="AO908" t="s">
        <v>16313</v>
      </c>
      <c r="AP908" t="s">
        <v>74</v>
      </c>
      <c r="AQ908" t="s">
        <v>74</v>
      </c>
      <c r="AR908" t="s">
        <v>16315</v>
      </c>
      <c r="AS908" t="s">
        <v>16316</v>
      </c>
      <c r="AT908" t="s">
        <v>15286</v>
      </c>
      <c r="AU908">
        <v>2011</v>
      </c>
      <c r="AV908">
        <v>31</v>
      </c>
      <c r="AW908">
        <v>4</v>
      </c>
      <c r="AX908" t="s">
        <v>74</v>
      </c>
      <c r="AY908" t="s">
        <v>74</v>
      </c>
      <c r="AZ908" t="s">
        <v>74</v>
      </c>
      <c r="BA908" t="s">
        <v>74</v>
      </c>
      <c r="BB908">
        <v>514</v>
      </c>
      <c r="BC908">
        <v>530</v>
      </c>
      <c r="BD908" t="s">
        <v>74</v>
      </c>
      <c r="BE908" t="s">
        <v>16335</v>
      </c>
      <c r="BF908" t="str">
        <f>HYPERLINK("http://dx.doi.org/10.1002/joc.2090","http://dx.doi.org/10.1002/joc.2090")</f>
        <v>http://dx.doi.org/10.1002/joc.2090</v>
      </c>
      <c r="BG908" t="s">
        <v>74</v>
      </c>
      <c r="BH908" t="s">
        <v>74</v>
      </c>
      <c r="BI908">
        <v>17</v>
      </c>
      <c r="BJ908" t="s">
        <v>248</v>
      </c>
      <c r="BK908" t="s">
        <v>100</v>
      </c>
      <c r="BL908" t="s">
        <v>248</v>
      </c>
      <c r="BM908" t="s">
        <v>16336</v>
      </c>
      <c r="BN908" t="s">
        <v>74</v>
      </c>
      <c r="BO908" t="s">
        <v>74</v>
      </c>
      <c r="BP908" t="s">
        <v>74</v>
      </c>
      <c r="BQ908" t="s">
        <v>74</v>
      </c>
      <c r="BR908" t="s">
        <v>103</v>
      </c>
      <c r="BS908" t="s">
        <v>16337</v>
      </c>
      <c r="BT908" t="str">
        <f>HYPERLINK("https%3A%2F%2Fwww.webofscience.com%2Fwos%2Fwoscc%2Ffull-record%2FWOS:000288090800003","View Full Record in Web of Science")</f>
        <v>View Full Record in Web of Science</v>
      </c>
    </row>
    <row r="909" spans="1:72" x14ac:dyDescent="0.15">
      <c r="A909" t="s">
        <v>72</v>
      </c>
      <c r="B909" t="s">
        <v>15393</v>
      </c>
      <c r="C909" t="s">
        <v>74</v>
      </c>
      <c r="D909" t="s">
        <v>74</v>
      </c>
      <c r="E909" t="s">
        <v>74</v>
      </c>
      <c r="F909" t="s">
        <v>15394</v>
      </c>
      <c r="G909" t="s">
        <v>74</v>
      </c>
      <c r="H909" t="s">
        <v>74</v>
      </c>
      <c r="I909" t="s">
        <v>16338</v>
      </c>
      <c r="J909" t="s">
        <v>15396</v>
      </c>
      <c r="K909" t="s">
        <v>74</v>
      </c>
      <c r="L909" t="s">
        <v>74</v>
      </c>
      <c r="M909" t="s">
        <v>78</v>
      </c>
      <c r="N909" t="s">
        <v>79</v>
      </c>
      <c r="O909" t="s">
        <v>74</v>
      </c>
      <c r="P909" t="s">
        <v>74</v>
      </c>
      <c r="Q909" t="s">
        <v>74</v>
      </c>
      <c r="R909" t="s">
        <v>74</v>
      </c>
      <c r="S909" t="s">
        <v>74</v>
      </c>
      <c r="T909" t="s">
        <v>74</v>
      </c>
      <c r="U909" t="s">
        <v>15397</v>
      </c>
      <c r="V909" t="s">
        <v>16339</v>
      </c>
      <c r="W909" t="s">
        <v>16340</v>
      </c>
      <c r="X909" t="s">
        <v>15400</v>
      </c>
      <c r="Y909" t="s">
        <v>16341</v>
      </c>
      <c r="Z909" t="s">
        <v>74</v>
      </c>
      <c r="AA909" t="s">
        <v>74</v>
      </c>
      <c r="AB909" t="s">
        <v>74</v>
      </c>
      <c r="AC909" t="s">
        <v>74</v>
      </c>
      <c r="AD909" t="s">
        <v>74</v>
      </c>
      <c r="AE909" t="s">
        <v>74</v>
      </c>
      <c r="AF909" t="s">
        <v>74</v>
      </c>
      <c r="AG909">
        <v>54</v>
      </c>
      <c r="AH909">
        <v>1</v>
      </c>
      <c r="AI909">
        <v>2</v>
      </c>
      <c r="AJ909">
        <v>0</v>
      </c>
      <c r="AK909">
        <v>0</v>
      </c>
      <c r="AL909" t="s">
        <v>5936</v>
      </c>
      <c r="AM909" t="s">
        <v>5937</v>
      </c>
      <c r="AN909" t="s">
        <v>5938</v>
      </c>
      <c r="AO909" t="s">
        <v>15402</v>
      </c>
      <c r="AP909" t="s">
        <v>16342</v>
      </c>
      <c r="AQ909" t="s">
        <v>74</v>
      </c>
      <c r="AR909" t="s">
        <v>15396</v>
      </c>
      <c r="AS909" t="s">
        <v>15403</v>
      </c>
      <c r="AT909" t="s">
        <v>15618</v>
      </c>
      <c r="AU909">
        <v>2011</v>
      </c>
      <c r="AV909">
        <v>102</v>
      </c>
      <c r="AW909">
        <v>1</v>
      </c>
      <c r="AX909" t="s">
        <v>74</v>
      </c>
      <c r="AY909" t="s">
        <v>74</v>
      </c>
      <c r="AZ909" t="s">
        <v>74</v>
      </c>
      <c r="BA909" t="s">
        <v>74</v>
      </c>
      <c r="BB909">
        <v>34</v>
      </c>
      <c r="BC909">
        <v>59</v>
      </c>
      <c r="BD909" t="s">
        <v>74</v>
      </c>
      <c r="BE909" t="s">
        <v>15404</v>
      </c>
      <c r="BF909" t="str">
        <f>HYPERLINK("http://dx.doi.org/10.1086/658656","http://dx.doi.org/10.1086/658656")</f>
        <v>http://dx.doi.org/10.1086/658656</v>
      </c>
      <c r="BG909" t="s">
        <v>74</v>
      </c>
      <c r="BH909" t="s">
        <v>74</v>
      </c>
      <c r="BI909">
        <v>26</v>
      </c>
      <c r="BJ909" t="s">
        <v>15405</v>
      </c>
      <c r="BK909" t="s">
        <v>15406</v>
      </c>
      <c r="BL909" t="s">
        <v>15407</v>
      </c>
      <c r="BM909" t="s">
        <v>16343</v>
      </c>
      <c r="BN909" t="s">
        <v>74</v>
      </c>
      <c r="BO909" t="s">
        <v>74</v>
      </c>
      <c r="BP909" t="s">
        <v>74</v>
      </c>
      <c r="BQ909" t="s">
        <v>74</v>
      </c>
      <c r="BR909" t="s">
        <v>103</v>
      </c>
      <c r="BS909" t="s">
        <v>16344</v>
      </c>
      <c r="BT909" t="str">
        <f>HYPERLINK("https%3A%2F%2Fwww.webofscience.com%2Fwos%2Fwoscc%2Ffull-record%2FWOS:000843473600002","View Full Record in Web of Science")</f>
        <v>View Full Record in Web of Science</v>
      </c>
    </row>
    <row r="910" spans="1:72" x14ac:dyDescent="0.15">
      <c r="A910" t="s">
        <v>72</v>
      </c>
      <c r="B910" t="s">
        <v>16345</v>
      </c>
      <c r="C910" t="s">
        <v>74</v>
      </c>
      <c r="D910" t="s">
        <v>74</v>
      </c>
      <c r="E910" t="s">
        <v>74</v>
      </c>
      <c r="F910" t="s">
        <v>16346</v>
      </c>
      <c r="G910" t="s">
        <v>74</v>
      </c>
      <c r="H910" t="s">
        <v>74</v>
      </c>
      <c r="I910" t="s">
        <v>16347</v>
      </c>
      <c r="J910" t="s">
        <v>16348</v>
      </c>
      <c r="K910" t="s">
        <v>74</v>
      </c>
      <c r="L910" t="s">
        <v>74</v>
      </c>
      <c r="M910" t="s">
        <v>78</v>
      </c>
      <c r="N910" t="s">
        <v>79</v>
      </c>
      <c r="O910" t="s">
        <v>74</v>
      </c>
      <c r="P910" t="s">
        <v>74</v>
      </c>
      <c r="Q910" t="s">
        <v>74</v>
      </c>
      <c r="R910" t="s">
        <v>74</v>
      </c>
      <c r="S910" t="s">
        <v>74</v>
      </c>
      <c r="T910" t="s">
        <v>74</v>
      </c>
      <c r="U910" t="s">
        <v>16349</v>
      </c>
      <c r="V910" t="s">
        <v>74</v>
      </c>
      <c r="W910" t="s">
        <v>16350</v>
      </c>
      <c r="X910" t="s">
        <v>16351</v>
      </c>
      <c r="Y910" t="s">
        <v>16352</v>
      </c>
      <c r="Z910" t="s">
        <v>16353</v>
      </c>
      <c r="AA910" t="s">
        <v>16354</v>
      </c>
      <c r="AB910" t="s">
        <v>16355</v>
      </c>
      <c r="AC910" t="s">
        <v>16356</v>
      </c>
      <c r="AD910" t="s">
        <v>16357</v>
      </c>
      <c r="AE910" t="s">
        <v>16358</v>
      </c>
      <c r="AF910" t="s">
        <v>74</v>
      </c>
      <c r="AG910">
        <v>81</v>
      </c>
      <c r="AH910">
        <v>46</v>
      </c>
      <c r="AI910">
        <v>48</v>
      </c>
      <c r="AJ910">
        <v>0</v>
      </c>
      <c r="AK910">
        <v>16</v>
      </c>
      <c r="AL910" t="s">
        <v>1014</v>
      </c>
      <c r="AM910" t="s">
        <v>1015</v>
      </c>
      <c r="AN910" t="s">
        <v>1016</v>
      </c>
      <c r="AO910" t="s">
        <v>16359</v>
      </c>
      <c r="AP910" t="s">
        <v>16360</v>
      </c>
      <c r="AQ910" t="s">
        <v>74</v>
      </c>
      <c r="AR910" t="s">
        <v>16361</v>
      </c>
      <c r="AS910" t="s">
        <v>16362</v>
      </c>
      <c r="AT910" t="s">
        <v>15286</v>
      </c>
      <c r="AU910">
        <v>2011</v>
      </c>
      <c r="AV910">
        <v>33</v>
      </c>
      <c r="AW910" t="s">
        <v>74</v>
      </c>
      <c r="AX910">
        <v>1</v>
      </c>
      <c r="AY910" t="s">
        <v>74</v>
      </c>
      <c r="AZ910" t="s">
        <v>74</v>
      </c>
      <c r="BA910" t="s">
        <v>74</v>
      </c>
      <c r="BB910">
        <v>66</v>
      </c>
      <c r="BC910">
        <v>73</v>
      </c>
      <c r="BD910" t="s">
        <v>74</v>
      </c>
      <c r="BE910" t="s">
        <v>16363</v>
      </c>
      <c r="BF910" t="str">
        <f>HYPERLINK("http://dx.doi.org/10.1179/1743282010Y.0000000014","http://dx.doi.org/10.1179/1743282010Y.0000000014")</f>
        <v>http://dx.doi.org/10.1179/1743282010Y.0000000014</v>
      </c>
      <c r="BG910" t="s">
        <v>74</v>
      </c>
      <c r="BH910" t="s">
        <v>74</v>
      </c>
      <c r="BI910">
        <v>8</v>
      </c>
      <c r="BJ910" t="s">
        <v>4032</v>
      </c>
      <c r="BK910" t="s">
        <v>100</v>
      </c>
      <c r="BL910" t="s">
        <v>4032</v>
      </c>
      <c r="BM910" t="s">
        <v>16364</v>
      </c>
      <c r="BN910" t="s">
        <v>74</v>
      </c>
      <c r="BO910" t="s">
        <v>74</v>
      </c>
      <c r="BP910" t="s">
        <v>74</v>
      </c>
      <c r="BQ910" t="s">
        <v>74</v>
      </c>
      <c r="BR910" t="s">
        <v>103</v>
      </c>
      <c r="BS910" t="s">
        <v>16365</v>
      </c>
      <c r="BT910" t="str">
        <f>HYPERLINK("https%3A%2F%2Fwww.webofscience.com%2Fwos%2Fwoscc%2Ffull-record%2FWOS:000290091600009","View Full Record in Web of Science")</f>
        <v>View Full Record in Web of Science</v>
      </c>
    </row>
    <row r="911" spans="1:72" x14ac:dyDescent="0.15">
      <c r="A911" t="s">
        <v>72</v>
      </c>
      <c r="B911" t="s">
        <v>4721</v>
      </c>
      <c r="C911" t="s">
        <v>74</v>
      </c>
      <c r="D911" t="s">
        <v>74</v>
      </c>
      <c r="E911" t="s">
        <v>74</v>
      </c>
      <c r="F911" t="s">
        <v>4722</v>
      </c>
      <c r="G911" t="s">
        <v>74</v>
      </c>
      <c r="H911" t="s">
        <v>74</v>
      </c>
      <c r="I911" t="s">
        <v>16366</v>
      </c>
      <c r="J911" t="s">
        <v>1263</v>
      </c>
      <c r="K911" t="s">
        <v>74</v>
      </c>
      <c r="L911" t="s">
        <v>74</v>
      </c>
      <c r="M911" t="s">
        <v>78</v>
      </c>
      <c r="N911" t="s">
        <v>79</v>
      </c>
      <c r="O911" t="s">
        <v>74</v>
      </c>
      <c r="P911" t="s">
        <v>74</v>
      </c>
      <c r="Q911" t="s">
        <v>74</v>
      </c>
      <c r="R911" t="s">
        <v>74</v>
      </c>
      <c r="S911" t="s">
        <v>74</v>
      </c>
      <c r="T911" t="s">
        <v>74</v>
      </c>
      <c r="U911" t="s">
        <v>16367</v>
      </c>
      <c r="V911" t="s">
        <v>16368</v>
      </c>
      <c r="W911" t="s">
        <v>16369</v>
      </c>
      <c r="X911" t="s">
        <v>16370</v>
      </c>
      <c r="Y911" t="s">
        <v>16371</v>
      </c>
      <c r="Z911" t="s">
        <v>16372</v>
      </c>
      <c r="AA911" t="s">
        <v>16373</v>
      </c>
      <c r="AB911" t="s">
        <v>16374</v>
      </c>
      <c r="AC911" t="s">
        <v>16375</v>
      </c>
      <c r="AD911" t="s">
        <v>16376</v>
      </c>
      <c r="AE911" t="s">
        <v>16377</v>
      </c>
      <c r="AF911" t="s">
        <v>74</v>
      </c>
      <c r="AG911">
        <v>74</v>
      </c>
      <c r="AH911">
        <v>130</v>
      </c>
      <c r="AI911">
        <v>140</v>
      </c>
      <c r="AJ911">
        <v>0</v>
      </c>
      <c r="AK911">
        <v>43</v>
      </c>
      <c r="AL911" t="s">
        <v>1275</v>
      </c>
      <c r="AM911" t="s">
        <v>1276</v>
      </c>
      <c r="AN911" t="s">
        <v>1277</v>
      </c>
      <c r="AO911" t="s">
        <v>1278</v>
      </c>
      <c r="AP911" t="s">
        <v>1279</v>
      </c>
      <c r="AQ911" t="s">
        <v>74</v>
      </c>
      <c r="AR911" t="s">
        <v>1280</v>
      </c>
      <c r="AS911" t="s">
        <v>1281</v>
      </c>
      <c r="AT911" t="s">
        <v>15618</v>
      </c>
      <c r="AU911">
        <v>2011</v>
      </c>
      <c r="AV911">
        <v>24</v>
      </c>
      <c r="AW911">
        <v>5</v>
      </c>
      <c r="AX911" t="s">
        <v>74</v>
      </c>
      <c r="AY911" t="s">
        <v>74</v>
      </c>
      <c r="AZ911" t="s">
        <v>74</v>
      </c>
      <c r="BA911" t="s">
        <v>74</v>
      </c>
      <c r="BB911">
        <v>1313</v>
      </c>
      <c r="BC911">
        <v>1336</v>
      </c>
      <c r="BD911" t="s">
        <v>74</v>
      </c>
      <c r="BE911" t="s">
        <v>16378</v>
      </c>
      <c r="BF911" t="str">
        <f>HYPERLINK("http://dx.doi.org/10.1175/2010JCLI3475.1","http://dx.doi.org/10.1175/2010JCLI3475.1")</f>
        <v>http://dx.doi.org/10.1175/2010JCLI3475.1</v>
      </c>
      <c r="BG911" t="s">
        <v>74</v>
      </c>
      <c r="BH911" t="s">
        <v>74</v>
      </c>
      <c r="BI911">
        <v>24</v>
      </c>
      <c r="BJ911" t="s">
        <v>248</v>
      </c>
      <c r="BK911" t="s">
        <v>100</v>
      </c>
      <c r="BL911" t="s">
        <v>248</v>
      </c>
      <c r="BM911" t="s">
        <v>16379</v>
      </c>
      <c r="BN911" t="s">
        <v>74</v>
      </c>
      <c r="BO911" t="s">
        <v>1039</v>
      </c>
      <c r="BP911" t="s">
        <v>74</v>
      </c>
      <c r="BQ911" t="s">
        <v>74</v>
      </c>
      <c r="BR911" t="s">
        <v>103</v>
      </c>
      <c r="BS911" t="s">
        <v>16380</v>
      </c>
      <c r="BT911" t="str">
        <f>HYPERLINK("https%3A%2F%2Fwww.webofscience.com%2Fwos%2Fwoscc%2Ffull-record%2FWOS:000289025500001","View Full Record in Web of Science")</f>
        <v>View Full Record in Web of Science</v>
      </c>
    </row>
    <row r="912" spans="1:72" x14ac:dyDescent="0.15">
      <c r="A912" t="s">
        <v>72</v>
      </c>
      <c r="B912" t="s">
        <v>16381</v>
      </c>
      <c r="C912" t="s">
        <v>74</v>
      </c>
      <c r="D912" t="s">
        <v>74</v>
      </c>
      <c r="E912" t="s">
        <v>74</v>
      </c>
      <c r="F912" t="s">
        <v>16382</v>
      </c>
      <c r="G912" t="s">
        <v>74</v>
      </c>
      <c r="H912" t="s">
        <v>74</v>
      </c>
      <c r="I912" t="s">
        <v>16383</v>
      </c>
      <c r="J912" t="s">
        <v>16384</v>
      </c>
      <c r="K912" t="s">
        <v>74</v>
      </c>
      <c r="L912" t="s">
        <v>74</v>
      </c>
      <c r="M912" t="s">
        <v>78</v>
      </c>
      <c r="N912" t="s">
        <v>2002</v>
      </c>
      <c r="O912" t="s">
        <v>74</v>
      </c>
      <c r="P912" t="s">
        <v>74</v>
      </c>
      <c r="Q912" t="s">
        <v>74</v>
      </c>
      <c r="R912" t="s">
        <v>74</v>
      </c>
      <c r="S912" t="s">
        <v>74</v>
      </c>
      <c r="T912" t="s">
        <v>74</v>
      </c>
      <c r="U912" t="s">
        <v>16385</v>
      </c>
      <c r="V912" t="s">
        <v>16386</v>
      </c>
      <c r="W912" t="s">
        <v>16387</v>
      </c>
      <c r="X912" t="s">
        <v>13474</v>
      </c>
      <c r="Y912" t="s">
        <v>16388</v>
      </c>
      <c r="Z912" t="s">
        <v>16389</v>
      </c>
      <c r="AA912" t="s">
        <v>16390</v>
      </c>
      <c r="AB912" t="s">
        <v>16391</v>
      </c>
      <c r="AC912" t="s">
        <v>74</v>
      </c>
      <c r="AD912" t="s">
        <v>74</v>
      </c>
      <c r="AE912" t="s">
        <v>74</v>
      </c>
      <c r="AF912" t="s">
        <v>74</v>
      </c>
      <c r="AG912">
        <v>67</v>
      </c>
      <c r="AH912">
        <v>97</v>
      </c>
      <c r="AI912">
        <v>103</v>
      </c>
      <c r="AJ912">
        <v>5</v>
      </c>
      <c r="AK912">
        <v>91</v>
      </c>
      <c r="AL912" t="s">
        <v>16392</v>
      </c>
      <c r="AM912" t="s">
        <v>1778</v>
      </c>
      <c r="AN912" t="s">
        <v>16393</v>
      </c>
      <c r="AO912" t="s">
        <v>16394</v>
      </c>
      <c r="AP912" t="s">
        <v>16395</v>
      </c>
      <c r="AQ912" t="s">
        <v>74</v>
      </c>
      <c r="AR912" t="s">
        <v>16396</v>
      </c>
      <c r="AS912" t="s">
        <v>16397</v>
      </c>
      <c r="AT912" t="s">
        <v>15286</v>
      </c>
      <c r="AU912">
        <v>2011</v>
      </c>
      <c r="AV912">
        <v>13</v>
      </c>
      <c r="AW912">
        <v>3</v>
      </c>
      <c r="AX912" t="s">
        <v>74</v>
      </c>
      <c r="AY912" t="s">
        <v>74</v>
      </c>
      <c r="AZ912" t="s">
        <v>74</v>
      </c>
      <c r="BA912" t="s">
        <v>74</v>
      </c>
      <c r="BB912">
        <v>497</v>
      </c>
      <c r="BC912">
        <v>504</v>
      </c>
      <c r="BD912" t="s">
        <v>74</v>
      </c>
      <c r="BE912" t="s">
        <v>16398</v>
      </c>
      <c r="BF912" t="str">
        <f>HYPERLINK("http://dx.doi.org/10.1039/c0em00230e","http://dx.doi.org/10.1039/c0em00230e")</f>
        <v>http://dx.doi.org/10.1039/c0em00230e</v>
      </c>
      <c r="BG912" t="s">
        <v>74</v>
      </c>
      <c r="BH912" t="s">
        <v>74</v>
      </c>
      <c r="BI912">
        <v>8</v>
      </c>
      <c r="BJ912" t="s">
        <v>16399</v>
      </c>
      <c r="BK912" t="s">
        <v>100</v>
      </c>
      <c r="BL912" t="s">
        <v>16400</v>
      </c>
      <c r="BM912" t="s">
        <v>16401</v>
      </c>
      <c r="BN912">
        <v>21321741</v>
      </c>
      <c r="BO912" t="s">
        <v>74</v>
      </c>
      <c r="BP912" t="s">
        <v>74</v>
      </c>
      <c r="BQ912" t="s">
        <v>74</v>
      </c>
      <c r="BR912" t="s">
        <v>103</v>
      </c>
      <c r="BS912" t="s">
        <v>16402</v>
      </c>
      <c r="BT912" t="str">
        <f>HYPERLINK("https%3A%2F%2Fwww.webofscience.com%2Fwos%2Fwoscc%2Ffull-record%2FWOS:000288160200001","View Full Record in Web of Science")</f>
        <v>View Full Record in Web of Science</v>
      </c>
    </row>
    <row r="913" spans="1:72" x14ac:dyDescent="0.15">
      <c r="A913" t="s">
        <v>72</v>
      </c>
      <c r="B913" t="s">
        <v>16403</v>
      </c>
      <c r="C913" t="s">
        <v>74</v>
      </c>
      <c r="D913" t="s">
        <v>74</v>
      </c>
      <c r="E913" t="s">
        <v>74</v>
      </c>
      <c r="F913" t="s">
        <v>16404</v>
      </c>
      <c r="G913" t="s">
        <v>74</v>
      </c>
      <c r="H913" t="s">
        <v>74</v>
      </c>
      <c r="I913" t="s">
        <v>16405</v>
      </c>
      <c r="J913" t="s">
        <v>5443</v>
      </c>
      <c r="K913" t="s">
        <v>74</v>
      </c>
      <c r="L913" t="s">
        <v>74</v>
      </c>
      <c r="M913" t="s">
        <v>78</v>
      </c>
      <c r="N913" t="s">
        <v>79</v>
      </c>
      <c r="O913" t="s">
        <v>74</v>
      </c>
      <c r="P913" t="s">
        <v>74</v>
      </c>
      <c r="Q913" t="s">
        <v>74</v>
      </c>
      <c r="R913" t="s">
        <v>74</v>
      </c>
      <c r="S913" t="s">
        <v>74</v>
      </c>
      <c r="T913" t="s">
        <v>16406</v>
      </c>
      <c r="U913" t="s">
        <v>16407</v>
      </c>
      <c r="V913" t="s">
        <v>16408</v>
      </c>
      <c r="W913" t="s">
        <v>16409</v>
      </c>
      <c r="X913" t="s">
        <v>16410</v>
      </c>
      <c r="Y913" t="s">
        <v>16411</v>
      </c>
      <c r="Z913" t="s">
        <v>16412</v>
      </c>
      <c r="AA913" t="s">
        <v>16413</v>
      </c>
      <c r="AB913" t="s">
        <v>16414</v>
      </c>
      <c r="AC913" t="s">
        <v>16415</v>
      </c>
      <c r="AD913" t="s">
        <v>2421</v>
      </c>
      <c r="AE913" t="s">
        <v>16416</v>
      </c>
      <c r="AF913" t="s">
        <v>74</v>
      </c>
      <c r="AG913">
        <v>78</v>
      </c>
      <c r="AH913">
        <v>30</v>
      </c>
      <c r="AI913">
        <v>35</v>
      </c>
      <c r="AJ913">
        <v>0</v>
      </c>
      <c r="AK913">
        <v>23</v>
      </c>
      <c r="AL913" t="s">
        <v>1323</v>
      </c>
      <c r="AM913" t="s">
        <v>1324</v>
      </c>
      <c r="AN913" t="s">
        <v>1325</v>
      </c>
      <c r="AO913" t="s">
        <v>5456</v>
      </c>
      <c r="AP913" t="s">
        <v>5457</v>
      </c>
      <c r="AQ913" t="s">
        <v>74</v>
      </c>
      <c r="AR913" t="s">
        <v>5458</v>
      </c>
      <c r="AS913" t="s">
        <v>5459</v>
      </c>
      <c r="AT913" t="s">
        <v>15286</v>
      </c>
      <c r="AU913">
        <v>2011</v>
      </c>
      <c r="AV913">
        <v>24</v>
      </c>
      <c r="AW913">
        <v>3</v>
      </c>
      <c r="AX913" t="s">
        <v>74</v>
      </c>
      <c r="AY913" t="s">
        <v>74</v>
      </c>
      <c r="AZ913" t="s">
        <v>74</v>
      </c>
      <c r="BA913" t="s">
        <v>74</v>
      </c>
      <c r="BB913">
        <v>596</v>
      </c>
      <c r="BC913">
        <v>606</v>
      </c>
      <c r="BD913" t="s">
        <v>74</v>
      </c>
      <c r="BE913" t="s">
        <v>16417</v>
      </c>
      <c r="BF913" t="str">
        <f>HYPERLINK("http://dx.doi.org/10.1111/j.1420-9101.2010.02194.x","http://dx.doi.org/10.1111/j.1420-9101.2010.02194.x")</f>
        <v>http://dx.doi.org/10.1111/j.1420-9101.2010.02194.x</v>
      </c>
      <c r="BG913" t="s">
        <v>74</v>
      </c>
      <c r="BH913" t="s">
        <v>74</v>
      </c>
      <c r="BI913">
        <v>11</v>
      </c>
      <c r="BJ913" t="s">
        <v>5461</v>
      </c>
      <c r="BK913" t="s">
        <v>100</v>
      </c>
      <c r="BL913" t="s">
        <v>5462</v>
      </c>
      <c r="BM913" t="s">
        <v>16418</v>
      </c>
      <c r="BN913">
        <v>21159007</v>
      </c>
      <c r="BO913" t="s">
        <v>152</v>
      </c>
      <c r="BP913" t="s">
        <v>74</v>
      </c>
      <c r="BQ913" t="s">
        <v>74</v>
      </c>
      <c r="BR913" t="s">
        <v>103</v>
      </c>
      <c r="BS913" t="s">
        <v>16419</v>
      </c>
      <c r="BT913" t="str">
        <f>HYPERLINK("https%3A%2F%2Fwww.webofscience.com%2Fwos%2Fwoscc%2Ffull-record%2FWOS:000287531900011","View Full Record in Web of Science")</f>
        <v>View Full Record in Web of Science</v>
      </c>
    </row>
    <row r="914" spans="1:72" x14ac:dyDescent="0.15">
      <c r="A914" t="s">
        <v>72</v>
      </c>
      <c r="B914" t="s">
        <v>6204</v>
      </c>
      <c r="C914" t="s">
        <v>74</v>
      </c>
      <c r="D914" t="s">
        <v>74</v>
      </c>
      <c r="E914" t="s">
        <v>74</v>
      </c>
      <c r="F914" t="s">
        <v>6205</v>
      </c>
      <c r="G914" t="s">
        <v>74</v>
      </c>
      <c r="H914" t="s">
        <v>74</v>
      </c>
      <c r="I914" t="s">
        <v>16420</v>
      </c>
      <c r="J914" t="s">
        <v>1765</v>
      </c>
      <c r="K914" t="s">
        <v>74</v>
      </c>
      <c r="L914" t="s">
        <v>74</v>
      </c>
      <c r="M914" t="s">
        <v>78</v>
      </c>
      <c r="N914" t="s">
        <v>79</v>
      </c>
      <c r="O914" t="s">
        <v>74</v>
      </c>
      <c r="P914" t="s">
        <v>74</v>
      </c>
      <c r="Q914" t="s">
        <v>74</v>
      </c>
      <c r="R914" t="s">
        <v>74</v>
      </c>
      <c r="S914" t="s">
        <v>74</v>
      </c>
      <c r="T914" t="s">
        <v>16421</v>
      </c>
      <c r="U914" t="s">
        <v>16422</v>
      </c>
      <c r="V914" t="s">
        <v>16423</v>
      </c>
      <c r="W914" t="s">
        <v>16424</v>
      </c>
      <c r="X914" t="s">
        <v>16425</v>
      </c>
      <c r="Y914" t="s">
        <v>16426</v>
      </c>
      <c r="Z914" t="s">
        <v>16427</v>
      </c>
      <c r="AA914" t="s">
        <v>16428</v>
      </c>
      <c r="AB914" t="s">
        <v>6208</v>
      </c>
      <c r="AC914" t="s">
        <v>16429</v>
      </c>
      <c r="AD914" t="s">
        <v>16430</v>
      </c>
      <c r="AE914" t="s">
        <v>16431</v>
      </c>
      <c r="AF914" t="s">
        <v>74</v>
      </c>
      <c r="AG914">
        <v>52</v>
      </c>
      <c r="AH914">
        <v>63</v>
      </c>
      <c r="AI914">
        <v>71</v>
      </c>
      <c r="AJ914">
        <v>0</v>
      </c>
      <c r="AK914">
        <v>25</v>
      </c>
      <c r="AL914" t="s">
        <v>1777</v>
      </c>
      <c r="AM914" t="s">
        <v>1778</v>
      </c>
      <c r="AN914" t="s">
        <v>1779</v>
      </c>
      <c r="AO914" t="s">
        <v>1780</v>
      </c>
      <c r="AP914" t="s">
        <v>5478</v>
      </c>
      <c r="AQ914" t="s">
        <v>74</v>
      </c>
      <c r="AR914" t="s">
        <v>1781</v>
      </c>
      <c r="AS914" t="s">
        <v>1782</v>
      </c>
      <c r="AT914" t="s">
        <v>15286</v>
      </c>
      <c r="AU914">
        <v>2011</v>
      </c>
      <c r="AV914">
        <v>214</v>
      </c>
      <c r="AW914">
        <v>5</v>
      </c>
      <c r="AX914" t="s">
        <v>74</v>
      </c>
      <c r="AY914" t="s">
        <v>74</v>
      </c>
      <c r="AZ914" t="s">
        <v>74</v>
      </c>
      <c r="BA914" t="s">
        <v>74</v>
      </c>
      <c r="BB914">
        <v>806</v>
      </c>
      <c r="BC914">
        <v>814</v>
      </c>
      <c r="BD914" t="s">
        <v>74</v>
      </c>
      <c r="BE914" t="s">
        <v>16432</v>
      </c>
      <c r="BF914" t="str">
        <f>HYPERLINK("http://dx.doi.org/10.1242/jeb.051912","http://dx.doi.org/10.1242/jeb.051912")</f>
        <v>http://dx.doi.org/10.1242/jeb.051912</v>
      </c>
      <c r="BG914" t="s">
        <v>74</v>
      </c>
      <c r="BH914" t="s">
        <v>74</v>
      </c>
      <c r="BI914">
        <v>9</v>
      </c>
      <c r="BJ914" t="s">
        <v>1784</v>
      </c>
      <c r="BK914" t="s">
        <v>100</v>
      </c>
      <c r="BL914" t="s">
        <v>1785</v>
      </c>
      <c r="BM914" t="s">
        <v>16433</v>
      </c>
      <c r="BN914">
        <v>21307067</v>
      </c>
      <c r="BO914" t="s">
        <v>74</v>
      </c>
      <c r="BP914" t="s">
        <v>74</v>
      </c>
      <c r="BQ914" t="s">
        <v>74</v>
      </c>
      <c r="BR914" t="s">
        <v>103</v>
      </c>
      <c r="BS914" t="s">
        <v>16434</v>
      </c>
      <c r="BT914" t="str">
        <f>HYPERLINK("https%3A%2F%2Fwww.webofscience.com%2Fwos%2Fwoscc%2Ffull-record%2FWOS:000287130200021","View Full Record in Web of Science")</f>
        <v>View Full Record in Web of Science</v>
      </c>
    </row>
    <row r="915" spans="1:72" x14ac:dyDescent="0.15">
      <c r="A915" t="s">
        <v>72</v>
      </c>
      <c r="B915" t="s">
        <v>16435</v>
      </c>
      <c r="C915" t="s">
        <v>74</v>
      </c>
      <c r="D915" t="s">
        <v>74</v>
      </c>
      <c r="E915" t="s">
        <v>74</v>
      </c>
      <c r="F915" t="s">
        <v>16436</v>
      </c>
      <c r="G915" t="s">
        <v>74</v>
      </c>
      <c r="H915" t="s">
        <v>74</v>
      </c>
      <c r="I915" t="s">
        <v>16437</v>
      </c>
      <c r="J915" t="s">
        <v>16438</v>
      </c>
      <c r="K915" t="s">
        <v>74</v>
      </c>
      <c r="L915" t="s">
        <v>74</v>
      </c>
      <c r="M915" t="s">
        <v>78</v>
      </c>
      <c r="N915" t="s">
        <v>79</v>
      </c>
      <c r="O915" t="s">
        <v>74</v>
      </c>
      <c r="P915" t="s">
        <v>74</v>
      </c>
      <c r="Q915" t="s">
        <v>74</v>
      </c>
      <c r="R915" t="s">
        <v>74</v>
      </c>
      <c r="S915" t="s">
        <v>74</v>
      </c>
      <c r="T915" t="s">
        <v>16439</v>
      </c>
      <c r="U915" t="s">
        <v>16440</v>
      </c>
      <c r="V915" t="s">
        <v>16441</v>
      </c>
      <c r="W915" t="s">
        <v>16442</v>
      </c>
      <c r="X915" t="s">
        <v>16443</v>
      </c>
      <c r="Y915" t="s">
        <v>16444</v>
      </c>
      <c r="Z915" t="s">
        <v>16445</v>
      </c>
      <c r="AA915" t="s">
        <v>16446</v>
      </c>
      <c r="AB915" t="s">
        <v>16447</v>
      </c>
      <c r="AC915" t="s">
        <v>16448</v>
      </c>
      <c r="AD915" t="s">
        <v>16449</v>
      </c>
      <c r="AE915" t="s">
        <v>16450</v>
      </c>
      <c r="AF915" t="s">
        <v>74</v>
      </c>
      <c r="AG915">
        <v>45</v>
      </c>
      <c r="AH915">
        <v>12</v>
      </c>
      <c r="AI915">
        <v>12</v>
      </c>
      <c r="AJ915">
        <v>0</v>
      </c>
      <c r="AK915">
        <v>26</v>
      </c>
      <c r="AL915" t="s">
        <v>4849</v>
      </c>
      <c r="AM915" t="s">
        <v>4850</v>
      </c>
      <c r="AN915" t="s">
        <v>4851</v>
      </c>
      <c r="AO915" t="s">
        <v>16451</v>
      </c>
      <c r="AP915" t="s">
        <v>16452</v>
      </c>
      <c r="AQ915" t="s">
        <v>74</v>
      </c>
      <c r="AR915" t="s">
        <v>16453</v>
      </c>
      <c r="AS915" t="s">
        <v>16454</v>
      </c>
      <c r="AT915" t="s">
        <v>15325</v>
      </c>
      <c r="AU915">
        <v>2011</v>
      </c>
      <c r="AV915">
        <v>102</v>
      </c>
      <c r="AW915">
        <v>2</v>
      </c>
      <c r="AX915" t="s">
        <v>74</v>
      </c>
      <c r="AY915" t="s">
        <v>74</v>
      </c>
      <c r="AZ915" t="s">
        <v>74</v>
      </c>
      <c r="BA915" t="s">
        <v>74</v>
      </c>
      <c r="BB915">
        <v>237</v>
      </c>
      <c r="BC915">
        <v>242</v>
      </c>
      <c r="BD915" t="s">
        <v>74</v>
      </c>
      <c r="BE915" t="s">
        <v>16455</v>
      </c>
      <c r="BF915" t="str">
        <f>HYPERLINK("http://dx.doi.org/10.1093/jhered/esq130","http://dx.doi.org/10.1093/jhered/esq130")</f>
        <v>http://dx.doi.org/10.1093/jhered/esq130</v>
      </c>
      <c r="BG915" t="s">
        <v>74</v>
      </c>
      <c r="BH915" t="s">
        <v>74</v>
      </c>
      <c r="BI915">
        <v>6</v>
      </c>
      <c r="BJ915" t="s">
        <v>16456</v>
      </c>
      <c r="BK915" t="s">
        <v>100</v>
      </c>
      <c r="BL915" t="s">
        <v>16456</v>
      </c>
      <c r="BM915" t="s">
        <v>16457</v>
      </c>
      <c r="BN915">
        <v>21325021</v>
      </c>
      <c r="BO915" t="s">
        <v>152</v>
      </c>
      <c r="BP915" t="s">
        <v>74</v>
      </c>
      <c r="BQ915" t="s">
        <v>74</v>
      </c>
      <c r="BR915" t="s">
        <v>103</v>
      </c>
      <c r="BS915" t="s">
        <v>16458</v>
      </c>
      <c r="BT915" t="str">
        <f>HYPERLINK("https%3A%2F%2Fwww.webofscience.com%2Fwos%2Fwoscc%2Ffull-record%2FWOS:000287496700010","View Full Record in Web of Science")</f>
        <v>View Full Record in Web of Science</v>
      </c>
    </row>
    <row r="916" spans="1:72" x14ac:dyDescent="0.15">
      <c r="A916" t="s">
        <v>72</v>
      </c>
      <c r="B916" t="s">
        <v>16459</v>
      </c>
      <c r="C916" t="s">
        <v>74</v>
      </c>
      <c r="D916" t="s">
        <v>74</v>
      </c>
      <c r="E916" t="s">
        <v>74</v>
      </c>
      <c r="F916" t="s">
        <v>16460</v>
      </c>
      <c r="G916" t="s">
        <v>74</v>
      </c>
      <c r="H916" t="s">
        <v>74</v>
      </c>
      <c r="I916" t="s">
        <v>16461</v>
      </c>
      <c r="J916" t="s">
        <v>1289</v>
      </c>
      <c r="K916" t="s">
        <v>74</v>
      </c>
      <c r="L916" t="s">
        <v>74</v>
      </c>
      <c r="M916" t="s">
        <v>78</v>
      </c>
      <c r="N916" t="s">
        <v>79</v>
      </c>
      <c r="O916" t="s">
        <v>74</v>
      </c>
      <c r="P916" t="s">
        <v>74</v>
      </c>
      <c r="Q916" t="s">
        <v>74</v>
      </c>
      <c r="R916" t="s">
        <v>74</v>
      </c>
      <c r="S916" t="s">
        <v>74</v>
      </c>
      <c r="T916" t="s">
        <v>74</v>
      </c>
      <c r="U916" t="s">
        <v>16462</v>
      </c>
      <c r="V916" t="s">
        <v>16463</v>
      </c>
      <c r="W916" t="s">
        <v>16464</v>
      </c>
      <c r="X916" t="s">
        <v>16465</v>
      </c>
      <c r="Y916" t="s">
        <v>16466</v>
      </c>
      <c r="Z916" t="s">
        <v>16467</v>
      </c>
      <c r="AA916" t="s">
        <v>16468</v>
      </c>
      <c r="AB916" t="s">
        <v>16469</v>
      </c>
      <c r="AC916" t="s">
        <v>16470</v>
      </c>
      <c r="AD916" t="s">
        <v>16471</v>
      </c>
      <c r="AE916" t="s">
        <v>16472</v>
      </c>
      <c r="AF916" t="s">
        <v>74</v>
      </c>
      <c r="AG916">
        <v>39</v>
      </c>
      <c r="AH916">
        <v>100</v>
      </c>
      <c r="AI916">
        <v>113</v>
      </c>
      <c r="AJ916">
        <v>1</v>
      </c>
      <c r="AK916">
        <v>35</v>
      </c>
      <c r="AL916" t="s">
        <v>1275</v>
      </c>
      <c r="AM916" t="s">
        <v>1276</v>
      </c>
      <c r="AN916" t="s">
        <v>1277</v>
      </c>
      <c r="AO916" t="s">
        <v>1301</v>
      </c>
      <c r="AP916" t="s">
        <v>1302</v>
      </c>
      <c r="AQ916" t="s">
        <v>74</v>
      </c>
      <c r="AR916" t="s">
        <v>1303</v>
      </c>
      <c r="AS916" t="s">
        <v>1304</v>
      </c>
      <c r="AT916" t="s">
        <v>15286</v>
      </c>
      <c r="AU916">
        <v>2011</v>
      </c>
      <c r="AV916">
        <v>41</v>
      </c>
      <c r="AW916">
        <v>3</v>
      </c>
      <c r="AX916" t="s">
        <v>74</v>
      </c>
      <c r="AY916" t="s">
        <v>74</v>
      </c>
      <c r="AZ916" t="s">
        <v>74</v>
      </c>
      <c r="BA916" t="s">
        <v>74</v>
      </c>
      <c r="BB916">
        <v>485</v>
      </c>
      <c r="BC916">
        <v>502</v>
      </c>
      <c r="BD916" t="s">
        <v>74</v>
      </c>
      <c r="BE916" t="s">
        <v>16473</v>
      </c>
      <c r="BF916" t="str">
        <f>HYPERLINK("http://dx.doi.org/10.1175/2010JPO4529.1","http://dx.doi.org/10.1175/2010JPO4529.1")</f>
        <v>http://dx.doi.org/10.1175/2010JPO4529.1</v>
      </c>
      <c r="BG916" t="s">
        <v>74</v>
      </c>
      <c r="BH916" t="s">
        <v>74</v>
      </c>
      <c r="BI916">
        <v>18</v>
      </c>
      <c r="BJ916" t="s">
        <v>271</v>
      </c>
      <c r="BK916" t="s">
        <v>100</v>
      </c>
      <c r="BL916" t="s">
        <v>271</v>
      </c>
      <c r="BM916" t="s">
        <v>16474</v>
      </c>
      <c r="BN916" t="s">
        <v>74</v>
      </c>
      <c r="BO916" t="s">
        <v>152</v>
      </c>
      <c r="BP916" t="s">
        <v>74</v>
      </c>
      <c r="BQ916" t="s">
        <v>74</v>
      </c>
      <c r="BR916" t="s">
        <v>103</v>
      </c>
      <c r="BS916" t="s">
        <v>16475</v>
      </c>
      <c r="BT916" t="str">
        <f>HYPERLINK("https%3A%2F%2Fwww.webofscience.com%2Fwos%2Fwoscc%2Ffull-record%2FWOS:000289325200007","View Full Record in Web of Science")</f>
        <v>View Full Record in Web of Science</v>
      </c>
    </row>
    <row r="917" spans="1:72" x14ac:dyDescent="0.15">
      <c r="A917" t="s">
        <v>72</v>
      </c>
      <c r="B917" t="s">
        <v>16476</v>
      </c>
      <c r="C917" t="s">
        <v>74</v>
      </c>
      <c r="D917" t="s">
        <v>74</v>
      </c>
      <c r="E917" t="s">
        <v>74</v>
      </c>
      <c r="F917" t="s">
        <v>16477</v>
      </c>
      <c r="G917" t="s">
        <v>74</v>
      </c>
      <c r="H917" t="s">
        <v>74</v>
      </c>
      <c r="I917" t="s">
        <v>16478</v>
      </c>
      <c r="J917" t="s">
        <v>1289</v>
      </c>
      <c r="K917" t="s">
        <v>74</v>
      </c>
      <c r="L917" t="s">
        <v>74</v>
      </c>
      <c r="M917" t="s">
        <v>78</v>
      </c>
      <c r="N917" t="s">
        <v>79</v>
      </c>
      <c r="O917" t="s">
        <v>74</v>
      </c>
      <c r="P917" t="s">
        <v>74</v>
      </c>
      <c r="Q917" t="s">
        <v>74</v>
      </c>
      <c r="R917" t="s">
        <v>74</v>
      </c>
      <c r="S917" t="s">
        <v>74</v>
      </c>
      <c r="T917" t="s">
        <v>74</v>
      </c>
      <c r="U917" t="s">
        <v>16479</v>
      </c>
      <c r="V917" t="s">
        <v>16480</v>
      </c>
      <c r="W917" t="s">
        <v>16481</v>
      </c>
      <c r="X917" t="s">
        <v>16482</v>
      </c>
      <c r="Y917" t="s">
        <v>5578</v>
      </c>
      <c r="Z917" t="s">
        <v>5579</v>
      </c>
      <c r="AA917" t="s">
        <v>16483</v>
      </c>
      <c r="AB917" t="s">
        <v>16484</v>
      </c>
      <c r="AC917" t="s">
        <v>16485</v>
      </c>
      <c r="AD917" t="s">
        <v>16486</v>
      </c>
      <c r="AE917" t="s">
        <v>16487</v>
      </c>
      <c r="AF917" t="s">
        <v>74</v>
      </c>
      <c r="AG917">
        <v>53</v>
      </c>
      <c r="AH917">
        <v>54</v>
      </c>
      <c r="AI917">
        <v>57</v>
      </c>
      <c r="AJ917">
        <v>0</v>
      </c>
      <c r="AK917">
        <v>17</v>
      </c>
      <c r="AL917" t="s">
        <v>1275</v>
      </c>
      <c r="AM917" t="s">
        <v>1276</v>
      </c>
      <c r="AN917" t="s">
        <v>1277</v>
      </c>
      <c r="AO917" t="s">
        <v>1301</v>
      </c>
      <c r="AP917" t="s">
        <v>74</v>
      </c>
      <c r="AQ917" t="s">
        <v>74</v>
      </c>
      <c r="AR917" t="s">
        <v>1303</v>
      </c>
      <c r="AS917" t="s">
        <v>1304</v>
      </c>
      <c r="AT917" t="s">
        <v>15286</v>
      </c>
      <c r="AU917">
        <v>2011</v>
      </c>
      <c r="AV917">
        <v>41</v>
      </c>
      <c r="AW917">
        <v>3</v>
      </c>
      <c r="AX917" t="s">
        <v>74</v>
      </c>
      <c r="AY917" t="s">
        <v>74</v>
      </c>
      <c r="AZ917" t="s">
        <v>74</v>
      </c>
      <c r="BA917" t="s">
        <v>74</v>
      </c>
      <c r="BB917">
        <v>531</v>
      </c>
      <c r="BC917">
        <v>547</v>
      </c>
      <c r="BD917" t="s">
        <v>74</v>
      </c>
      <c r="BE917" t="s">
        <v>16488</v>
      </c>
      <c r="BF917" t="str">
        <f>HYPERLINK("http://dx.doi.org/10.1175/2010JPO4425.1","http://dx.doi.org/10.1175/2010JPO4425.1")</f>
        <v>http://dx.doi.org/10.1175/2010JPO4425.1</v>
      </c>
      <c r="BG917" t="s">
        <v>74</v>
      </c>
      <c r="BH917" t="s">
        <v>74</v>
      </c>
      <c r="BI917">
        <v>17</v>
      </c>
      <c r="BJ917" t="s">
        <v>271</v>
      </c>
      <c r="BK917" t="s">
        <v>100</v>
      </c>
      <c r="BL917" t="s">
        <v>271</v>
      </c>
      <c r="BM917" t="s">
        <v>16474</v>
      </c>
      <c r="BN917" t="s">
        <v>74</v>
      </c>
      <c r="BO917" t="s">
        <v>273</v>
      </c>
      <c r="BP917" t="s">
        <v>74</v>
      </c>
      <c r="BQ917" t="s">
        <v>74</v>
      </c>
      <c r="BR917" t="s">
        <v>103</v>
      </c>
      <c r="BS917" t="s">
        <v>16489</v>
      </c>
      <c r="BT917" t="str">
        <f>HYPERLINK("https%3A%2F%2Fwww.webofscience.com%2Fwos%2Fwoscc%2Ffull-record%2FWOS:000289325200010","View Full Record in Web of Science")</f>
        <v>View Full Record in Web of Science</v>
      </c>
    </row>
    <row r="918" spans="1:72" x14ac:dyDescent="0.15">
      <c r="A918" t="s">
        <v>72</v>
      </c>
      <c r="B918" t="s">
        <v>16490</v>
      </c>
      <c r="C918" t="s">
        <v>74</v>
      </c>
      <c r="D918" t="s">
        <v>74</v>
      </c>
      <c r="E918" t="s">
        <v>74</v>
      </c>
      <c r="F918" t="s">
        <v>16491</v>
      </c>
      <c r="G918" t="s">
        <v>74</v>
      </c>
      <c r="H918" t="s">
        <v>74</v>
      </c>
      <c r="I918" t="s">
        <v>16492</v>
      </c>
      <c r="J918" t="s">
        <v>5590</v>
      </c>
      <c r="K918" t="s">
        <v>74</v>
      </c>
      <c r="L918" t="s">
        <v>74</v>
      </c>
      <c r="M918" t="s">
        <v>78</v>
      </c>
      <c r="N918" t="s">
        <v>79</v>
      </c>
      <c r="O918" t="s">
        <v>74</v>
      </c>
      <c r="P918" t="s">
        <v>74</v>
      </c>
      <c r="Q918" t="s">
        <v>74</v>
      </c>
      <c r="R918" t="s">
        <v>74</v>
      </c>
      <c r="S918" t="s">
        <v>74</v>
      </c>
      <c r="T918" t="s">
        <v>16493</v>
      </c>
      <c r="U918" t="s">
        <v>16494</v>
      </c>
      <c r="V918" t="s">
        <v>16495</v>
      </c>
      <c r="W918" t="s">
        <v>16496</v>
      </c>
      <c r="X918" t="s">
        <v>16497</v>
      </c>
      <c r="Y918" t="s">
        <v>16498</v>
      </c>
      <c r="Z918" t="s">
        <v>16499</v>
      </c>
      <c r="AA918" t="s">
        <v>74</v>
      </c>
      <c r="AB918" t="s">
        <v>16500</v>
      </c>
      <c r="AC918" t="s">
        <v>16501</v>
      </c>
      <c r="AD918" t="s">
        <v>16501</v>
      </c>
      <c r="AE918" t="s">
        <v>16502</v>
      </c>
      <c r="AF918" t="s">
        <v>74</v>
      </c>
      <c r="AG918">
        <v>63</v>
      </c>
      <c r="AH918">
        <v>18</v>
      </c>
      <c r="AI918">
        <v>21</v>
      </c>
      <c r="AJ918">
        <v>1</v>
      </c>
      <c r="AK918">
        <v>38</v>
      </c>
      <c r="AL918" t="s">
        <v>2968</v>
      </c>
      <c r="AM918" t="s">
        <v>508</v>
      </c>
      <c r="AN918" t="s">
        <v>2969</v>
      </c>
      <c r="AO918" t="s">
        <v>5601</v>
      </c>
      <c r="AP918" t="s">
        <v>74</v>
      </c>
      <c r="AQ918" t="s">
        <v>74</v>
      </c>
      <c r="AR918" t="s">
        <v>5602</v>
      </c>
      <c r="AS918" t="s">
        <v>5603</v>
      </c>
      <c r="AT918" t="s">
        <v>15286</v>
      </c>
      <c r="AU918">
        <v>2011</v>
      </c>
      <c r="AV918">
        <v>33</v>
      </c>
      <c r="AW918">
        <v>3</v>
      </c>
      <c r="AX918" t="s">
        <v>74</v>
      </c>
      <c r="AY918" t="s">
        <v>74</v>
      </c>
      <c r="AZ918" t="s">
        <v>74</v>
      </c>
      <c r="BA918" t="s">
        <v>74</v>
      </c>
      <c r="BB918">
        <v>491</v>
      </c>
      <c r="BC918">
        <v>505</v>
      </c>
      <c r="BD918" t="s">
        <v>74</v>
      </c>
      <c r="BE918" t="s">
        <v>16503</v>
      </c>
      <c r="BF918" t="str">
        <f>HYPERLINK("http://dx.doi.org/10.1093/plankt/fbq132","http://dx.doi.org/10.1093/plankt/fbq132")</f>
        <v>http://dx.doi.org/10.1093/plankt/fbq132</v>
      </c>
      <c r="BG918" t="s">
        <v>74</v>
      </c>
      <c r="BH918" t="s">
        <v>74</v>
      </c>
      <c r="BI918">
        <v>15</v>
      </c>
      <c r="BJ918" t="s">
        <v>5605</v>
      </c>
      <c r="BK918" t="s">
        <v>100</v>
      </c>
      <c r="BL918" t="s">
        <v>5605</v>
      </c>
      <c r="BM918" t="s">
        <v>16504</v>
      </c>
      <c r="BN918" t="s">
        <v>74</v>
      </c>
      <c r="BO918" t="s">
        <v>152</v>
      </c>
      <c r="BP918" t="s">
        <v>74</v>
      </c>
      <c r="BQ918" t="s">
        <v>74</v>
      </c>
      <c r="BR918" t="s">
        <v>103</v>
      </c>
      <c r="BS918" t="s">
        <v>16505</v>
      </c>
      <c r="BT918" t="str">
        <f>HYPERLINK("https%3A%2F%2Fwww.webofscience.com%2Fwos%2Fwoscc%2Ffull-record%2FWOS:000287025500012","View Full Record in Web of Science")</f>
        <v>View Full Record in Web of Science</v>
      </c>
    </row>
    <row r="919" spans="1:72" x14ac:dyDescent="0.15">
      <c r="A919" t="s">
        <v>72</v>
      </c>
      <c r="B919" t="s">
        <v>16506</v>
      </c>
      <c r="C919" t="s">
        <v>74</v>
      </c>
      <c r="D919" t="s">
        <v>74</v>
      </c>
      <c r="E919" t="s">
        <v>74</v>
      </c>
      <c r="F919" t="s">
        <v>16507</v>
      </c>
      <c r="G919" t="s">
        <v>74</v>
      </c>
      <c r="H919" t="s">
        <v>74</v>
      </c>
      <c r="I919" t="s">
        <v>16508</v>
      </c>
      <c r="J919" t="s">
        <v>16509</v>
      </c>
      <c r="K919" t="s">
        <v>74</v>
      </c>
      <c r="L919" t="s">
        <v>74</v>
      </c>
      <c r="M919" t="s">
        <v>78</v>
      </c>
      <c r="N919" t="s">
        <v>79</v>
      </c>
      <c r="O919" t="s">
        <v>74</v>
      </c>
      <c r="P919" t="s">
        <v>74</v>
      </c>
      <c r="Q919" t="s">
        <v>74</v>
      </c>
      <c r="R919" t="s">
        <v>74</v>
      </c>
      <c r="S919" t="s">
        <v>74</v>
      </c>
      <c r="T919" t="s">
        <v>16510</v>
      </c>
      <c r="U919" t="s">
        <v>16511</v>
      </c>
      <c r="V919" t="s">
        <v>16512</v>
      </c>
      <c r="W919" t="s">
        <v>16513</v>
      </c>
      <c r="X919" t="s">
        <v>16514</v>
      </c>
      <c r="Y919" t="s">
        <v>16515</v>
      </c>
      <c r="Z919" t="s">
        <v>16516</v>
      </c>
      <c r="AA919" t="s">
        <v>74</v>
      </c>
      <c r="AB919" t="s">
        <v>74</v>
      </c>
      <c r="AC919" t="s">
        <v>16517</v>
      </c>
      <c r="AD919" t="s">
        <v>16518</v>
      </c>
      <c r="AE919" t="s">
        <v>16519</v>
      </c>
      <c r="AF919" t="s">
        <v>74</v>
      </c>
      <c r="AG919">
        <v>25</v>
      </c>
      <c r="AH919">
        <v>38</v>
      </c>
      <c r="AI919">
        <v>42</v>
      </c>
      <c r="AJ919">
        <v>3</v>
      </c>
      <c r="AK919">
        <v>55</v>
      </c>
      <c r="AL919" t="s">
        <v>1323</v>
      </c>
      <c r="AM919" t="s">
        <v>1324</v>
      </c>
      <c r="AN919" t="s">
        <v>1325</v>
      </c>
      <c r="AO919" t="s">
        <v>16520</v>
      </c>
      <c r="AP919" t="s">
        <v>16521</v>
      </c>
      <c r="AQ919" t="s">
        <v>74</v>
      </c>
      <c r="AR919" t="s">
        <v>16522</v>
      </c>
      <c r="AS919" t="s">
        <v>16523</v>
      </c>
      <c r="AT919" t="s">
        <v>15286</v>
      </c>
      <c r="AU919">
        <v>2011</v>
      </c>
      <c r="AV919">
        <v>20</v>
      </c>
      <c r="AW919">
        <v>1</v>
      </c>
      <c r="AX919">
        <v>2</v>
      </c>
      <c r="AY919" t="s">
        <v>74</v>
      </c>
      <c r="AZ919" t="s">
        <v>74</v>
      </c>
      <c r="BA919" t="s">
        <v>74</v>
      </c>
      <c r="BB919">
        <v>154</v>
      </c>
      <c r="BC919">
        <v>161</v>
      </c>
      <c r="BD919" t="s">
        <v>74</v>
      </c>
      <c r="BE919" t="s">
        <v>16524</v>
      </c>
      <c r="BF919" t="str">
        <f>HYPERLINK("http://dx.doi.org/10.1111/j.1365-2869.2010.00875.x","http://dx.doi.org/10.1111/j.1365-2869.2010.00875.x")</f>
        <v>http://dx.doi.org/10.1111/j.1365-2869.2010.00875.x</v>
      </c>
      <c r="BG919" t="s">
        <v>74</v>
      </c>
      <c r="BH919" t="s">
        <v>74</v>
      </c>
      <c r="BI919">
        <v>8</v>
      </c>
      <c r="BJ919" t="s">
        <v>16525</v>
      </c>
      <c r="BK919" t="s">
        <v>100</v>
      </c>
      <c r="BL919" t="s">
        <v>16526</v>
      </c>
      <c r="BM919" t="s">
        <v>16527</v>
      </c>
      <c r="BN919">
        <v>20723022</v>
      </c>
      <c r="BO919" t="s">
        <v>74</v>
      </c>
      <c r="BP919" t="s">
        <v>74</v>
      </c>
      <c r="BQ919" t="s">
        <v>74</v>
      </c>
      <c r="BR919" t="s">
        <v>103</v>
      </c>
      <c r="BS919" t="s">
        <v>16528</v>
      </c>
      <c r="BT919" t="str">
        <f>HYPERLINK("https%3A%2F%2Fwww.webofscience.com%2Fwos%2Fwoscc%2Ffull-record%2FWOS:000288139600005","View Full Record in Web of Science")</f>
        <v>View Full Record in Web of Science</v>
      </c>
    </row>
    <row r="920" spans="1:72" x14ac:dyDescent="0.15">
      <c r="A920" t="s">
        <v>72</v>
      </c>
      <c r="B920" t="s">
        <v>16529</v>
      </c>
      <c r="C920" t="s">
        <v>74</v>
      </c>
      <c r="D920" t="s">
        <v>74</v>
      </c>
      <c r="E920" t="s">
        <v>74</v>
      </c>
      <c r="F920" t="s">
        <v>16530</v>
      </c>
      <c r="G920" t="s">
        <v>74</v>
      </c>
      <c r="H920" t="s">
        <v>74</v>
      </c>
      <c r="I920" t="s">
        <v>16531</v>
      </c>
      <c r="J920" t="s">
        <v>5842</v>
      </c>
      <c r="K920" t="s">
        <v>74</v>
      </c>
      <c r="L920" t="s">
        <v>74</v>
      </c>
      <c r="M920" t="s">
        <v>78</v>
      </c>
      <c r="N920" t="s">
        <v>278</v>
      </c>
      <c r="O920" t="s">
        <v>74</v>
      </c>
      <c r="P920" t="s">
        <v>74</v>
      </c>
      <c r="Q920" t="s">
        <v>74</v>
      </c>
      <c r="R920" t="s">
        <v>74</v>
      </c>
      <c r="S920" t="s">
        <v>74</v>
      </c>
      <c r="T920" t="s">
        <v>16532</v>
      </c>
      <c r="U920" t="s">
        <v>16533</v>
      </c>
      <c r="V920" t="s">
        <v>16534</v>
      </c>
      <c r="W920" t="s">
        <v>16535</v>
      </c>
      <c r="X920" t="s">
        <v>16536</v>
      </c>
      <c r="Y920" t="s">
        <v>16537</v>
      </c>
      <c r="Z920" t="s">
        <v>16538</v>
      </c>
      <c r="AA920" t="s">
        <v>16539</v>
      </c>
      <c r="AB920" t="s">
        <v>16540</v>
      </c>
      <c r="AC920" t="s">
        <v>16541</v>
      </c>
      <c r="AD920" t="s">
        <v>16542</v>
      </c>
      <c r="AE920" t="s">
        <v>16543</v>
      </c>
      <c r="AF920" t="s">
        <v>74</v>
      </c>
      <c r="AG920">
        <v>108</v>
      </c>
      <c r="AH920">
        <v>38</v>
      </c>
      <c r="AI920">
        <v>42</v>
      </c>
      <c r="AJ920">
        <v>0</v>
      </c>
      <c r="AK920">
        <v>53</v>
      </c>
      <c r="AL920" t="s">
        <v>1323</v>
      </c>
      <c r="AM920" t="s">
        <v>1324</v>
      </c>
      <c r="AN920" t="s">
        <v>1325</v>
      </c>
      <c r="AO920" t="s">
        <v>5853</v>
      </c>
      <c r="AP920" t="s">
        <v>5854</v>
      </c>
      <c r="AQ920" t="s">
        <v>74</v>
      </c>
      <c r="AR920" t="s">
        <v>5855</v>
      </c>
      <c r="AS920" t="s">
        <v>5856</v>
      </c>
      <c r="AT920" t="s">
        <v>15286</v>
      </c>
      <c r="AU920">
        <v>2011</v>
      </c>
      <c r="AV920">
        <v>11</v>
      </c>
      <c r="AW920">
        <v>2</v>
      </c>
      <c r="AX920" t="s">
        <v>74</v>
      </c>
      <c r="AY920" t="s">
        <v>74</v>
      </c>
      <c r="AZ920" t="s">
        <v>74</v>
      </c>
      <c r="BA920" t="s">
        <v>74</v>
      </c>
      <c r="BB920">
        <v>225</v>
      </c>
      <c r="BC920">
        <v>235</v>
      </c>
      <c r="BD920" t="s">
        <v>74</v>
      </c>
      <c r="BE920" t="s">
        <v>16544</v>
      </c>
      <c r="BF920" t="str">
        <f>HYPERLINK("http://dx.doi.org/10.1111/j.1755-0998.2010.02976.x","http://dx.doi.org/10.1111/j.1755-0998.2010.02976.x")</f>
        <v>http://dx.doi.org/10.1111/j.1755-0998.2010.02976.x</v>
      </c>
      <c r="BG920" t="s">
        <v>74</v>
      </c>
      <c r="BH920" t="s">
        <v>74</v>
      </c>
      <c r="BI920">
        <v>11</v>
      </c>
      <c r="BJ920" t="s">
        <v>2558</v>
      </c>
      <c r="BK920" t="s">
        <v>100</v>
      </c>
      <c r="BL920" t="s">
        <v>2559</v>
      </c>
      <c r="BM920" t="s">
        <v>16545</v>
      </c>
      <c r="BN920">
        <v>21429128</v>
      </c>
      <c r="BO920" t="s">
        <v>74</v>
      </c>
      <c r="BP920" t="s">
        <v>74</v>
      </c>
      <c r="BQ920" t="s">
        <v>74</v>
      </c>
      <c r="BR920" t="s">
        <v>103</v>
      </c>
      <c r="BS920" t="s">
        <v>16546</v>
      </c>
      <c r="BT920" t="str">
        <f>HYPERLINK("https%3A%2F%2Fwww.webofscience.com%2Fwos%2Fwoscc%2Ffull-record%2FWOS:000287200200001","View Full Record in Web of Science")</f>
        <v>View Full Record in Web of Science</v>
      </c>
    </row>
    <row r="921" spans="1:72" x14ac:dyDescent="0.15">
      <c r="A921" t="s">
        <v>72</v>
      </c>
      <c r="B921" t="s">
        <v>16547</v>
      </c>
      <c r="C921" t="s">
        <v>74</v>
      </c>
      <c r="D921" t="s">
        <v>74</v>
      </c>
      <c r="E921" t="s">
        <v>74</v>
      </c>
      <c r="F921" t="s">
        <v>16548</v>
      </c>
      <c r="G921" t="s">
        <v>74</v>
      </c>
      <c r="H921" t="s">
        <v>74</v>
      </c>
      <c r="I921" t="s">
        <v>16549</v>
      </c>
      <c r="J921" t="s">
        <v>2565</v>
      </c>
      <c r="K921" t="s">
        <v>74</v>
      </c>
      <c r="L921" t="s">
        <v>74</v>
      </c>
      <c r="M921" t="s">
        <v>78</v>
      </c>
      <c r="N921" t="s">
        <v>79</v>
      </c>
      <c r="O921" t="s">
        <v>74</v>
      </c>
      <c r="P921" t="s">
        <v>74</v>
      </c>
      <c r="Q921" t="s">
        <v>74</v>
      </c>
      <c r="R921" t="s">
        <v>74</v>
      </c>
      <c r="S921" t="s">
        <v>74</v>
      </c>
      <c r="T921" t="s">
        <v>74</v>
      </c>
      <c r="U921" t="s">
        <v>16550</v>
      </c>
      <c r="V921" t="s">
        <v>16551</v>
      </c>
      <c r="W921" t="s">
        <v>16552</v>
      </c>
      <c r="X921" t="s">
        <v>16553</v>
      </c>
      <c r="Y921" t="s">
        <v>16554</v>
      </c>
      <c r="Z921" t="s">
        <v>16555</v>
      </c>
      <c r="AA921" t="s">
        <v>16556</v>
      </c>
      <c r="AB921" t="s">
        <v>16557</v>
      </c>
      <c r="AC921" t="s">
        <v>16558</v>
      </c>
      <c r="AD921" t="s">
        <v>16559</v>
      </c>
      <c r="AE921" t="s">
        <v>16560</v>
      </c>
      <c r="AF921" t="s">
        <v>74</v>
      </c>
      <c r="AG921">
        <v>48</v>
      </c>
      <c r="AH921">
        <v>145</v>
      </c>
      <c r="AI921">
        <v>161</v>
      </c>
      <c r="AJ921">
        <v>1</v>
      </c>
      <c r="AK921">
        <v>54</v>
      </c>
      <c r="AL921" t="s">
        <v>2577</v>
      </c>
      <c r="AM921" t="s">
        <v>91</v>
      </c>
      <c r="AN921" t="s">
        <v>2578</v>
      </c>
      <c r="AO921" t="s">
        <v>2579</v>
      </c>
      <c r="AP921" t="s">
        <v>2580</v>
      </c>
      <c r="AQ921" t="s">
        <v>74</v>
      </c>
      <c r="AR921" t="s">
        <v>2581</v>
      </c>
      <c r="AS921" t="s">
        <v>2582</v>
      </c>
      <c r="AT921" t="s">
        <v>15286</v>
      </c>
      <c r="AU921">
        <v>2011</v>
      </c>
      <c r="AV921">
        <v>4</v>
      </c>
      <c r="AW921">
        <v>3</v>
      </c>
      <c r="AX921" t="s">
        <v>74</v>
      </c>
      <c r="AY921" t="s">
        <v>74</v>
      </c>
      <c r="AZ921" t="s">
        <v>74</v>
      </c>
      <c r="BA921" t="s">
        <v>74</v>
      </c>
      <c r="BB921">
        <v>195</v>
      </c>
      <c r="BC921">
        <v>202</v>
      </c>
      <c r="BD921" t="s">
        <v>74</v>
      </c>
      <c r="BE921" t="s">
        <v>16561</v>
      </c>
      <c r="BF921" t="str">
        <f>HYPERLINK("http://dx.doi.org/10.1038/NGEO1061","http://dx.doi.org/10.1038/NGEO1061")</f>
        <v>http://dx.doi.org/10.1038/NGEO1061</v>
      </c>
      <c r="BG921" t="s">
        <v>74</v>
      </c>
      <c r="BH921" t="s">
        <v>74</v>
      </c>
      <c r="BI921">
        <v>8</v>
      </c>
      <c r="BJ921" t="s">
        <v>130</v>
      </c>
      <c r="BK921" t="s">
        <v>100</v>
      </c>
      <c r="BL921" t="s">
        <v>131</v>
      </c>
      <c r="BM921" t="s">
        <v>16018</v>
      </c>
      <c r="BN921" t="s">
        <v>74</v>
      </c>
      <c r="BO921" t="s">
        <v>152</v>
      </c>
      <c r="BP921" t="s">
        <v>74</v>
      </c>
      <c r="BQ921" t="s">
        <v>74</v>
      </c>
      <c r="BR921" t="s">
        <v>103</v>
      </c>
      <c r="BS921" t="s">
        <v>16562</v>
      </c>
      <c r="BT921" t="str">
        <f>HYPERLINK("https%3A%2F%2Fwww.webofscience.com%2Fwos%2Fwoscc%2Ffull-record%2FWOS:000287802300021","View Full Record in Web of Science")</f>
        <v>View Full Record in Web of Science</v>
      </c>
    </row>
    <row r="922" spans="1:72" x14ac:dyDescent="0.15">
      <c r="A922" t="s">
        <v>72</v>
      </c>
      <c r="B922" t="s">
        <v>16563</v>
      </c>
      <c r="C922" t="s">
        <v>74</v>
      </c>
      <c r="D922" t="s">
        <v>74</v>
      </c>
      <c r="E922" t="s">
        <v>74</v>
      </c>
      <c r="F922" t="s">
        <v>16564</v>
      </c>
      <c r="G922" t="s">
        <v>74</v>
      </c>
      <c r="H922" t="s">
        <v>74</v>
      </c>
      <c r="I922" t="s">
        <v>16565</v>
      </c>
      <c r="J922" t="s">
        <v>16566</v>
      </c>
      <c r="K922" t="s">
        <v>74</v>
      </c>
      <c r="L922" t="s">
        <v>74</v>
      </c>
      <c r="M922" t="s">
        <v>78</v>
      </c>
      <c r="N922" t="s">
        <v>79</v>
      </c>
      <c r="O922" t="s">
        <v>74</v>
      </c>
      <c r="P922" t="s">
        <v>74</v>
      </c>
      <c r="Q922" t="s">
        <v>74</v>
      </c>
      <c r="R922" t="s">
        <v>74</v>
      </c>
      <c r="S922" t="s">
        <v>74</v>
      </c>
      <c r="T922" t="s">
        <v>74</v>
      </c>
      <c r="U922" t="s">
        <v>16567</v>
      </c>
      <c r="V922" t="s">
        <v>16568</v>
      </c>
      <c r="W922" t="s">
        <v>74</v>
      </c>
      <c r="X922" t="s">
        <v>74</v>
      </c>
      <c r="Y922" t="s">
        <v>16569</v>
      </c>
      <c r="Z922" t="s">
        <v>16570</v>
      </c>
      <c r="AA922" t="s">
        <v>16571</v>
      </c>
      <c r="AB922" t="s">
        <v>16572</v>
      </c>
      <c r="AC922" t="s">
        <v>16573</v>
      </c>
      <c r="AD922" t="s">
        <v>16574</v>
      </c>
      <c r="AE922" t="s">
        <v>16575</v>
      </c>
      <c r="AF922" t="s">
        <v>74</v>
      </c>
      <c r="AG922">
        <v>64</v>
      </c>
      <c r="AH922">
        <v>13</v>
      </c>
      <c r="AI922">
        <v>14</v>
      </c>
      <c r="AJ922">
        <v>0</v>
      </c>
      <c r="AK922">
        <v>4</v>
      </c>
      <c r="AL922" t="s">
        <v>12711</v>
      </c>
      <c r="AM922" t="s">
        <v>3661</v>
      </c>
      <c r="AN922" t="s">
        <v>12712</v>
      </c>
      <c r="AO922" t="s">
        <v>16576</v>
      </c>
      <c r="AP922" t="s">
        <v>16577</v>
      </c>
      <c r="AQ922" t="s">
        <v>74</v>
      </c>
      <c r="AR922" t="s">
        <v>16578</v>
      </c>
      <c r="AS922" t="s">
        <v>16579</v>
      </c>
      <c r="AT922" t="s">
        <v>15286</v>
      </c>
      <c r="AU922">
        <v>2011</v>
      </c>
      <c r="AV922">
        <v>40</v>
      </c>
      <c r="AW922">
        <v>1</v>
      </c>
      <c r="AX922" t="s">
        <v>74</v>
      </c>
      <c r="AY922" t="s">
        <v>74</v>
      </c>
      <c r="AZ922" t="s">
        <v>74</v>
      </c>
      <c r="BA922" t="s">
        <v>74</v>
      </c>
      <c r="BB922">
        <v>1</v>
      </c>
      <c r="BC922">
        <v>10</v>
      </c>
      <c r="BD922" t="s">
        <v>74</v>
      </c>
      <c r="BE922" t="s">
        <v>16580</v>
      </c>
      <c r="BF922" t="str">
        <f>HYPERLINK("http://dx.doi.org/10.2478/s13545-011-0001-z","http://dx.doi.org/10.2478/s13545-011-0001-z")</f>
        <v>http://dx.doi.org/10.2478/s13545-011-0001-z</v>
      </c>
      <c r="BG922" t="s">
        <v>74</v>
      </c>
      <c r="BH922" t="s">
        <v>74</v>
      </c>
      <c r="BI922">
        <v>10</v>
      </c>
      <c r="BJ922" t="s">
        <v>5605</v>
      </c>
      <c r="BK922" t="s">
        <v>100</v>
      </c>
      <c r="BL922" t="s">
        <v>5605</v>
      </c>
      <c r="BM922" t="s">
        <v>16581</v>
      </c>
      <c r="BN922" t="s">
        <v>74</v>
      </c>
      <c r="BO922" t="s">
        <v>2134</v>
      </c>
      <c r="BP922" t="s">
        <v>74</v>
      </c>
      <c r="BQ922" t="s">
        <v>74</v>
      </c>
      <c r="BR922" t="s">
        <v>103</v>
      </c>
      <c r="BS922" t="s">
        <v>16582</v>
      </c>
      <c r="BT922" t="str">
        <f>HYPERLINK("https%3A%2F%2Fwww.webofscience.com%2Fwos%2Fwoscc%2Ffull-record%2FWOS:000294231900001","View Full Record in Web of Science")</f>
        <v>View Full Record in Web of Science</v>
      </c>
    </row>
    <row r="923" spans="1:72" x14ac:dyDescent="0.15">
      <c r="A923" t="s">
        <v>72</v>
      </c>
      <c r="B923" t="s">
        <v>16583</v>
      </c>
      <c r="C923" t="s">
        <v>74</v>
      </c>
      <c r="D923" t="s">
        <v>74</v>
      </c>
      <c r="E923" t="s">
        <v>74</v>
      </c>
      <c r="F923" t="s">
        <v>16584</v>
      </c>
      <c r="G923" t="s">
        <v>74</v>
      </c>
      <c r="H923" t="s">
        <v>74</v>
      </c>
      <c r="I923" t="s">
        <v>16585</v>
      </c>
      <c r="J923" t="s">
        <v>1889</v>
      </c>
      <c r="K923" t="s">
        <v>74</v>
      </c>
      <c r="L923" t="s">
        <v>74</v>
      </c>
      <c r="M923" t="s">
        <v>78</v>
      </c>
      <c r="N923" t="s">
        <v>79</v>
      </c>
      <c r="O923" t="s">
        <v>74</v>
      </c>
      <c r="P923" t="s">
        <v>74</v>
      </c>
      <c r="Q923" t="s">
        <v>74</v>
      </c>
      <c r="R923" t="s">
        <v>74</v>
      </c>
      <c r="S923" t="s">
        <v>74</v>
      </c>
      <c r="T923" t="s">
        <v>16586</v>
      </c>
      <c r="U923" t="s">
        <v>16587</v>
      </c>
      <c r="V923" t="s">
        <v>16588</v>
      </c>
      <c r="W923" t="s">
        <v>16589</v>
      </c>
      <c r="X923" t="s">
        <v>16590</v>
      </c>
      <c r="Y923" t="s">
        <v>16591</v>
      </c>
      <c r="Z923" t="s">
        <v>16592</v>
      </c>
      <c r="AA923" t="s">
        <v>74</v>
      </c>
      <c r="AB923" t="s">
        <v>74</v>
      </c>
      <c r="AC923" t="s">
        <v>16593</v>
      </c>
      <c r="AD923" t="s">
        <v>16594</v>
      </c>
      <c r="AE923" t="s">
        <v>16595</v>
      </c>
      <c r="AF923" t="s">
        <v>74</v>
      </c>
      <c r="AG923">
        <v>63</v>
      </c>
      <c r="AH923">
        <v>36</v>
      </c>
      <c r="AI923">
        <v>39</v>
      </c>
      <c r="AJ923">
        <v>0</v>
      </c>
      <c r="AK923">
        <v>42</v>
      </c>
      <c r="AL923" t="s">
        <v>1441</v>
      </c>
      <c r="AM923" t="s">
        <v>91</v>
      </c>
      <c r="AN923" t="s">
        <v>1902</v>
      </c>
      <c r="AO923" t="s">
        <v>1903</v>
      </c>
      <c r="AP923" t="s">
        <v>1904</v>
      </c>
      <c r="AQ923" t="s">
        <v>74</v>
      </c>
      <c r="AR923" t="s">
        <v>1905</v>
      </c>
      <c r="AS923" t="s">
        <v>1906</v>
      </c>
      <c r="AT923" t="s">
        <v>15286</v>
      </c>
      <c r="AU923">
        <v>2011</v>
      </c>
      <c r="AV923">
        <v>34</v>
      </c>
      <c r="AW923">
        <v>3</v>
      </c>
      <c r="AX923" t="s">
        <v>74</v>
      </c>
      <c r="AY923" t="s">
        <v>74</v>
      </c>
      <c r="AZ923" t="s">
        <v>74</v>
      </c>
      <c r="BA923" t="s">
        <v>74</v>
      </c>
      <c r="BB923">
        <v>363</v>
      </c>
      <c r="BC923">
        <v>370</v>
      </c>
      <c r="BD923" t="s">
        <v>74</v>
      </c>
      <c r="BE923" t="s">
        <v>16596</v>
      </c>
      <c r="BF923" t="str">
        <f>HYPERLINK("http://dx.doi.org/10.1007/s00300-010-0890-0","http://dx.doi.org/10.1007/s00300-010-0890-0")</f>
        <v>http://dx.doi.org/10.1007/s00300-010-0890-0</v>
      </c>
      <c r="BG923" t="s">
        <v>74</v>
      </c>
      <c r="BH923" t="s">
        <v>74</v>
      </c>
      <c r="BI923">
        <v>8</v>
      </c>
      <c r="BJ923" t="s">
        <v>1908</v>
      </c>
      <c r="BK923" t="s">
        <v>100</v>
      </c>
      <c r="BL923" t="s">
        <v>1909</v>
      </c>
      <c r="BM923" t="s">
        <v>15738</v>
      </c>
      <c r="BN923" t="s">
        <v>74</v>
      </c>
      <c r="BO923" t="s">
        <v>273</v>
      </c>
      <c r="BP923" t="s">
        <v>74</v>
      </c>
      <c r="BQ923" t="s">
        <v>74</v>
      </c>
      <c r="BR923" t="s">
        <v>103</v>
      </c>
      <c r="BS923" t="s">
        <v>16597</v>
      </c>
      <c r="BT923" t="str">
        <f>HYPERLINK("https%3A%2F%2Fwww.webofscience.com%2Fwos%2Fwoscc%2Ffull-record%2FWOS:000288349800005","View Full Record in Web of Science")</f>
        <v>View Full Record in Web of Science</v>
      </c>
    </row>
    <row r="924" spans="1:72" x14ac:dyDescent="0.15">
      <c r="A924" t="s">
        <v>72</v>
      </c>
      <c r="B924" t="s">
        <v>16598</v>
      </c>
      <c r="C924" t="s">
        <v>74</v>
      </c>
      <c r="D924" t="s">
        <v>74</v>
      </c>
      <c r="E924" t="s">
        <v>74</v>
      </c>
      <c r="F924" t="s">
        <v>16599</v>
      </c>
      <c r="G924" t="s">
        <v>74</v>
      </c>
      <c r="H924" t="s">
        <v>74</v>
      </c>
      <c r="I924" t="s">
        <v>16600</v>
      </c>
      <c r="J924" t="s">
        <v>3994</v>
      </c>
      <c r="K924" t="s">
        <v>74</v>
      </c>
      <c r="L924" t="s">
        <v>74</v>
      </c>
      <c r="M924" t="s">
        <v>78</v>
      </c>
      <c r="N924" t="s">
        <v>79</v>
      </c>
      <c r="O924" t="s">
        <v>74</v>
      </c>
      <c r="P924" t="s">
        <v>74</v>
      </c>
      <c r="Q924" t="s">
        <v>74</v>
      </c>
      <c r="R924" t="s">
        <v>74</v>
      </c>
      <c r="S924" t="s">
        <v>74</v>
      </c>
      <c r="T924" t="s">
        <v>16601</v>
      </c>
      <c r="U924" t="s">
        <v>16602</v>
      </c>
      <c r="V924" t="s">
        <v>16603</v>
      </c>
      <c r="W924" t="s">
        <v>16604</v>
      </c>
      <c r="X924" t="s">
        <v>16605</v>
      </c>
      <c r="Y924" t="s">
        <v>16606</v>
      </c>
      <c r="Z924" t="s">
        <v>16607</v>
      </c>
      <c r="AA924" t="s">
        <v>16608</v>
      </c>
      <c r="AB924" t="s">
        <v>16609</v>
      </c>
      <c r="AC924" t="s">
        <v>16610</v>
      </c>
      <c r="AD924" t="s">
        <v>16611</v>
      </c>
      <c r="AE924" t="s">
        <v>16612</v>
      </c>
      <c r="AF924" t="s">
        <v>74</v>
      </c>
      <c r="AG924">
        <v>82</v>
      </c>
      <c r="AH924">
        <v>87</v>
      </c>
      <c r="AI924">
        <v>96</v>
      </c>
      <c r="AJ924">
        <v>2</v>
      </c>
      <c r="AK924">
        <v>40</v>
      </c>
      <c r="AL924" t="s">
        <v>926</v>
      </c>
      <c r="AM924" t="s">
        <v>508</v>
      </c>
      <c r="AN924" t="s">
        <v>927</v>
      </c>
      <c r="AO924" t="s">
        <v>4005</v>
      </c>
      <c r="AP924" t="s">
        <v>74</v>
      </c>
      <c r="AQ924" t="s">
        <v>74</v>
      </c>
      <c r="AR924" t="s">
        <v>4006</v>
      </c>
      <c r="AS924" t="s">
        <v>4007</v>
      </c>
      <c r="AT924" t="s">
        <v>15286</v>
      </c>
      <c r="AU924">
        <v>2011</v>
      </c>
      <c r="AV924">
        <v>30</v>
      </c>
      <c r="AW924" t="s">
        <v>10386</v>
      </c>
      <c r="AX924" t="s">
        <v>74</v>
      </c>
      <c r="AY924" t="s">
        <v>74</v>
      </c>
      <c r="AZ924" t="s">
        <v>74</v>
      </c>
      <c r="BA924" t="s">
        <v>74</v>
      </c>
      <c r="BB924">
        <v>488</v>
      </c>
      <c r="BC924">
        <v>505</v>
      </c>
      <c r="BD924" t="s">
        <v>74</v>
      </c>
      <c r="BE924" t="s">
        <v>16613</v>
      </c>
      <c r="BF924" t="str">
        <f>HYPERLINK("http://dx.doi.org/10.1016/j.quascirev.2010.11.020","http://dx.doi.org/10.1016/j.quascirev.2010.11.020")</f>
        <v>http://dx.doi.org/10.1016/j.quascirev.2010.11.020</v>
      </c>
      <c r="BG924" t="s">
        <v>74</v>
      </c>
      <c r="BH924" t="s">
        <v>74</v>
      </c>
      <c r="BI924">
        <v>18</v>
      </c>
      <c r="BJ924" t="s">
        <v>1496</v>
      </c>
      <c r="BK924" t="s">
        <v>100</v>
      </c>
      <c r="BL924" t="s">
        <v>1497</v>
      </c>
      <c r="BM924" t="s">
        <v>15604</v>
      </c>
      <c r="BN924" t="s">
        <v>74</v>
      </c>
      <c r="BO924" t="s">
        <v>74</v>
      </c>
      <c r="BP924" t="s">
        <v>74</v>
      </c>
      <c r="BQ924" t="s">
        <v>74</v>
      </c>
      <c r="BR924" t="s">
        <v>103</v>
      </c>
      <c r="BS924" t="s">
        <v>16614</v>
      </c>
      <c r="BT924" t="str">
        <f>HYPERLINK("https%3A%2F%2Fwww.webofscience.com%2Fwos%2Fwoscc%2Ffull-record%2FWOS:000288840000002","View Full Record in Web of Science")</f>
        <v>View Full Record in Web of Science</v>
      </c>
    </row>
    <row r="925" spans="1:72" x14ac:dyDescent="0.15">
      <c r="A925" t="s">
        <v>72</v>
      </c>
      <c r="B925" t="s">
        <v>16615</v>
      </c>
      <c r="C925" t="s">
        <v>74</v>
      </c>
      <c r="D925" t="s">
        <v>74</v>
      </c>
      <c r="E925" t="s">
        <v>74</v>
      </c>
      <c r="F925" t="s">
        <v>16616</v>
      </c>
      <c r="G925" t="s">
        <v>74</v>
      </c>
      <c r="H925" t="s">
        <v>74</v>
      </c>
      <c r="I925" t="s">
        <v>16617</v>
      </c>
      <c r="J925" t="s">
        <v>16618</v>
      </c>
      <c r="K925" t="s">
        <v>74</v>
      </c>
      <c r="L925" t="s">
        <v>74</v>
      </c>
      <c r="M925" t="s">
        <v>78</v>
      </c>
      <c r="N925" t="s">
        <v>79</v>
      </c>
      <c r="O925" t="s">
        <v>74</v>
      </c>
      <c r="P925" t="s">
        <v>74</v>
      </c>
      <c r="Q925" t="s">
        <v>74</v>
      </c>
      <c r="R925" t="s">
        <v>74</v>
      </c>
      <c r="S925" t="s">
        <v>74</v>
      </c>
      <c r="T925" t="s">
        <v>74</v>
      </c>
      <c r="U925" t="s">
        <v>16619</v>
      </c>
      <c r="V925" t="s">
        <v>16620</v>
      </c>
      <c r="W925" t="s">
        <v>16621</v>
      </c>
      <c r="X925" t="s">
        <v>16622</v>
      </c>
      <c r="Y925" t="s">
        <v>16623</v>
      </c>
      <c r="Z925" t="s">
        <v>16624</v>
      </c>
      <c r="AA925" t="s">
        <v>74</v>
      </c>
      <c r="AB925" t="s">
        <v>16625</v>
      </c>
      <c r="AC925" t="s">
        <v>16626</v>
      </c>
      <c r="AD925" t="s">
        <v>16627</v>
      </c>
      <c r="AE925" t="s">
        <v>16628</v>
      </c>
      <c r="AF925" t="s">
        <v>74</v>
      </c>
      <c r="AG925">
        <v>33</v>
      </c>
      <c r="AH925">
        <v>19</v>
      </c>
      <c r="AI925">
        <v>26</v>
      </c>
      <c r="AJ925">
        <v>0</v>
      </c>
      <c r="AK925">
        <v>10</v>
      </c>
      <c r="AL925" t="s">
        <v>9180</v>
      </c>
      <c r="AM925" t="s">
        <v>9181</v>
      </c>
      <c r="AN925" t="s">
        <v>16629</v>
      </c>
      <c r="AO925" t="s">
        <v>16630</v>
      </c>
      <c r="AP925" t="s">
        <v>16631</v>
      </c>
      <c r="AQ925" t="s">
        <v>74</v>
      </c>
      <c r="AR925" t="s">
        <v>16632</v>
      </c>
      <c r="AS925" t="s">
        <v>16633</v>
      </c>
      <c r="AT925" t="s">
        <v>15286</v>
      </c>
      <c r="AU925">
        <v>2011</v>
      </c>
      <c r="AV925">
        <v>82</v>
      </c>
      <c r="AW925">
        <v>3</v>
      </c>
      <c r="AX925" t="s">
        <v>74</v>
      </c>
      <c r="AY925" t="s">
        <v>74</v>
      </c>
      <c r="AZ925" t="s">
        <v>74</v>
      </c>
      <c r="BA925" t="s">
        <v>74</v>
      </c>
      <c r="BB925" t="s">
        <v>74</v>
      </c>
      <c r="BC925" t="s">
        <v>74</v>
      </c>
      <c r="BD925">
        <v>31301</v>
      </c>
      <c r="BE925" t="s">
        <v>16634</v>
      </c>
      <c r="BF925" t="str">
        <f>HYPERLINK("http://dx.doi.org/10.1063/1.3567309","http://dx.doi.org/10.1063/1.3567309")</f>
        <v>http://dx.doi.org/10.1063/1.3567309</v>
      </c>
      <c r="BG925" t="s">
        <v>74</v>
      </c>
      <c r="BH925" t="s">
        <v>74</v>
      </c>
      <c r="BI925">
        <v>15</v>
      </c>
      <c r="BJ925" t="s">
        <v>16635</v>
      </c>
      <c r="BK925" t="s">
        <v>100</v>
      </c>
      <c r="BL925" t="s">
        <v>16636</v>
      </c>
      <c r="BM925" t="s">
        <v>16637</v>
      </c>
      <c r="BN925">
        <v>21456711</v>
      </c>
      <c r="BO925" t="s">
        <v>273</v>
      </c>
      <c r="BP925" t="s">
        <v>74</v>
      </c>
      <c r="BQ925" t="s">
        <v>74</v>
      </c>
      <c r="BR925" t="s">
        <v>103</v>
      </c>
      <c r="BS925" t="s">
        <v>16638</v>
      </c>
      <c r="BT925" t="str">
        <f>HYPERLINK("https%3A%2F%2Fwww.webofscience.com%2Fwos%2Fwoscc%2Ffull-record%2FWOS:000289149600001","View Full Record in Web of Science")</f>
        <v>View Full Record in Web of Science</v>
      </c>
    </row>
    <row r="926" spans="1:72" x14ac:dyDescent="0.15">
      <c r="A926" t="s">
        <v>72</v>
      </c>
      <c r="B926" t="s">
        <v>14605</v>
      </c>
      <c r="C926" t="s">
        <v>74</v>
      </c>
      <c r="D926" t="s">
        <v>74</v>
      </c>
      <c r="E926" t="s">
        <v>74</v>
      </c>
      <c r="F926" t="s">
        <v>14606</v>
      </c>
      <c r="G926" t="s">
        <v>74</v>
      </c>
      <c r="H926" t="s">
        <v>74</v>
      </c>
      <c r="I926" t="s">
        <v>16639</v>
      </c>
      <c r="J926" t="s">
        <v>16640</v>
      </c>
      <c r="K926" t="s">
        <v>74</v>
      </c>
      <c r="L926" t="s">
        <v>74</v>
      </c>
      <c r="M926" t="s">
        <v>78</v>
      </c>
      <c r="N926" t="s">
        <v>79</v>
      </c>
      <c r="O926" t="s">
        <v>74</v>
      </c>
      <c r="P926" t="s">
        <v>74</v>
      </c>
      <c r="Q926" t="s">
        <v>74</v>
      </c>
      <c r="R926" t="s">
        <v>74</v>
      </c>
      <c r="S926" t="s">
        <v>74</v>
      </c>
      <c r="T926" t="s">
        <v>16641</v>
      </c>
      <c r="U926" t="s">
        <v>16642</v>
      </c>
      <c r="V926" t="s">
        <v>16643</v>
      </c>
      <c r="W926" t="s">
        <v>16644</v>
      </c>
      <c r="X926" t="s">
        <v>16645</v>
      </c>
      <c r="Y926" t="s">
        <v>16646</v>
      </c>
      <c r="Z926" t="s">
        <v>14615</v>
      </c>
      <c r="AA926" t="s">
        <v>74</v>
      </c>
      <c r="AB926" t="s">
        <v>74</v>
      </c>
      <c r="AC926" t="s">
        <v>74</v>
      </c>
      <c r="AD926" t="s">
        <v>74</v>
      </c>
      <c r="AE926" t="s">
        <v>74</v>
      </c>
      <c r="AF926" t="s">
        <v>74</v>
      </c>
      <c r="AG926">
        <v>35</v>
      </c>
      <c r="AH926">
        <v>6</v>
      </c>
      <c r="AI926">
        <v>7</v>
      </c>
      <c r="AJ926">
        <v>0</v>
      </c>
      <c r="AK926">
        <v>3</v>
      </c>
      <c r="AL926" t="s">
        <v>16647</v>
      </c>
      <c r="AM926" t="s">
        <v>16648</v>
      </c>
      <c r="AN926" t="s">
        <v>16649</v>
      </c>
      <c r="AO926" t="s">
        <v>16650</v>
      </c>
      <c r="AP926" t="s">
        <v>16651</v>
      </c>
      <c r="AQ926" t="s">
        <v>74</v>
      </c>
      <c r="AR926" t="s">
        <v>16652</v>
      </c>
      <c r="AS926" t="s">
        <v>16653</v>
      </c>
      <c r="AT926" t="s">
        <v>15286</v>
      </c>
      <c r="AU926">
        <v>2011</v>
      </c>
      <c r="AV926">
        <v>24</v>
      </c>
      <c r="AW926">
        <v>1</v>
      </c>
      <c r="AX926" t="s">
        <v>74</v>
      </c>
      <c r="AY926" t="s">
        <v>74</v>
      </c>
      <c r="AZ926" t="s">
        <v>74</v>
      </c>
      <c r="BA926" t="s">
        <v>74</v>
      </c>
      <c r="BB926">
        <v>3</v>
      </c>
      <c r="BC926">
        <v>10</v>
      </c>
      <c r="BD926" t="s">
        <v>74</v>
      </c>
      <c r="BE926" t="s">
        <v>74</v>
      </c>
      <c r="BF926" t="s">
        <v>74</v>
      </c>
      <c r="BG926" t="s">
        <v>74</v>
      </c>
      <c r="BH926" t="s">
        <v>74</v>
      </c>
      <c r="BI926">
        <v>8</v>
      </c>
      <c r="BJ926" t="s">
        <v>16654</v>
      </c>
      <c r="BK926" t="s">
        <v>100</v>
      </c>
      <c r="BL926" t="s">
        <v>13622</v>
      </c>
      <c r="BM926" t="s">
        <v>16655</v>
      </c>
      <c r="BN926" t="s">
        <v>74</v>
      </c>
      <c r="BO926" t="s">
        <v>74</v>
      </c>
      <c r="BP926" t="s">
        <v>74</v>
      </c>
      <c r="BQ926" t="s">
        <v>74</v>
      </c>
      <c r="BR926" t="s">
        <v>103</v>
      </c>
      <c r="BS926" t="s">
        <v>16656</v>
      </c>
      <c r="BT926" t="str">
        <f>HYPERLINK("https%3A%2F%2Fwww.webofscience.com%2Fwos%2Fwoscc%2Ffull-record%2FWOS:000297851500002","View Full Record in Web of Science")</f>
        <v>View Full Record in Web of Science</v>
      </c>
    </row>
    <row r="927" spans="1:72" x14ac:dyDescent="0.15">
      <c r="A927" t="s">
        <v>72</v>
      </c>
      <c r="B927" t="s">
        <v>16657</v>
      </c>
      <c r="C927" t="s">
        <v>74</v>
      </c>
      <c r="D927" t="s">
        <v>74</v>
      </c>
      <c r="E927" t="s">
        <v>74</v>
      </c>
      <c r="F927" t="s">
        <v>16658</v>
      </c>
      <c r="G927" t="s">
        <v>74</v>
      </c>
      <c r="H927" t="s">
        <v>16659</v>
      </c>
      <c r="I927" t="s">
        <v>16660</v>
      </c>
      <c r="J927" t="s">
        <v>16661</v>
      </c>
      <c r="K927" t="s">
        <v>74</v>
      </c>
      <c r="L927" t="s">
        <v>74</v>
      </c>
      <c r="M927" t="s">
        <v>78</v>
      </c>
      <c r="N927" t="s">
        <v>79</v>
      </c>
      <c r="O927" t="s">
        <v>74</v>
      </c>
      <c r="P927" t="s">
        <v>74</v>
      </c>
      <c r="Q927" t="s">
        <v>74</v>
      </c>
      <c r="R927" t="s">
        <v>74</v>
      </c>
      <c r="S927" t="s">
        <v>74</v>
      </c>
      <c r="T927" t="s">
        <v>74</v>
      </c>
      <c r="U927" t="s">
        <v>16662</v>
      </c>
      <c r="V927" t="s">
        <v>16663</v>
      </c>
      <c r="W927" t="s">
        <v>16664</v>
      </c>
      <c r="X927" t="s">
        <v>16665</v>
      </c>
      <c r="Y927" t="s">
        <v>16666</v>
      </c>
      <c r="Z927" t="s">
        <v>16667</v>
      </c>
      <c r="AA927" t="s">
        <v>16668</v>
      </c>
      <c r="AB927" t="s">
        <v>16669</v>
      </c>
      <c r="AC927" t="s">
        <v>16670</v>
      </c>
      <c r="AD927" t="s">
        <v>16671</v>
      </c>
      <c r="AE927" t="s">
        <v>16672</v>
      </c>
      <c r="AF927" t="s">
        <v>74</v>
      </c>
      <c r="AG927">
        <v>35</v>
      </c>
      <c r="AH927">
        <v>69</v>
      </c>
      <c r="AI927">
        <v>69</v>
      </c>
      <c r="AJ927">
        <v>0</v>
      </c>
      <c r="AK927">
        <v>1</v>
      </c>
      <c r="AL927" t="s">
        <v>16673</v>
      </c>
      <c r="AM927" t="s">
        <v>16674</v>
      </c>
      <c r="AN927" t="s">
        <v>16675</v>
      </c>
      <c r="AO927" t="s">
        <v>16676</v>
      </c>
      <c r="AP927" t="s">
        <v>16677</v>
      </c>
      <c r="AQ927" t="s">
        <v>74</v>
      </c>
      <c r="AR927" t="s">
        <v>16678</v>
      </c>
      <c r="AS927" t="s">
        <v>16679</v>
      </c>
      <c r="AT927" t="s">
        <v>15286</v>
      </c>
      <c r="AU927">
        <v>2011</v>
      </c>
      <c r="AV927">
        <v>11</v>
      </c>
      <c r="AW927" t="s">
        <v>74</v>
      </c>
      <c r="AX927" t="s">
        <v>74</v>
      </c>
      <c r="AY927" t="s">
        <v>74</v>
      </c>
      <c r="AZ927" t="s">
        <v>74</v>
      </c>
      <c r="BA927" t="s">
        <v>74</v>
      </c>
      <c r="BB927">
        <v>29</v>
      </c>
      <c r="BC927">
        <v>40</v>
      </c>
      <c r="BD927" t="s">
        <v>74</v>
      </c>
      <c r="BE927" t="s">
        <v>16680</v>
      </c>
      <c r="BF927" t="str">
        <f>HYPERLINK("http://dx.doi.org/10.2204/iodp.sd.11.03.2011","http://dx.doi.org/10.2204/iodp.sd.11.03.2011")</f>
        <v>http://dx.doi.org/10.2204/iodp.sd.11.03.2011</v>
      </c>
      <c r="BG927" t="s">
        <v>74</v>
      </c>
      <c r="BH927" t="s">
        <v>74</v>
      </c>
      <c r="BI927">
        <v>12</v>
      </c>
      <c r="BJ927" t="s">
        <v>130</v>
      </c>
      <c r="BK927" t="s">
        <v>2132</v>
      </c>
      <c r="BL927" t="s">
        <v>131</v>
      </c>
      <c r="BM927" t="s">
        <v>16681</v>
      </c>
      <c r="BN927" t="s">
        <v>74</v>
      </c>
      <c r="BO927" t="s">
        <v>16682</v>
      </c>
      <c r="BP927" t="s">
        <v>74</v>
      </c>
      <c r="BQ927" t="s">
        <v>74</v>
      </c>
      <c r="BR927" t="s">
        <v>103</v>
      </c>
      <c r="BS927" t="s">
        <v>16683</v>
      </c>
      <c r="BT927" t="str">
        <f>HYPERLINK("https%3A%2F%2Fwww.webofscience.com%2Fwos%2Fwoscc%2Ffull-record%2FWOS:000210343700003","View Full Record in Web of Science")</f>
        <v>View Full Record in Web of Science</v>
      </c>
    </row>
    <row r="928" spans="1:72" x14ac:dyDescent="0.15">
      <c r="A928" t="s">
        <v>72</v>
      </c>
      <c r="B928" t="s">
        <v>16684</v>
      </c>
      <c r="C928" t="s">
        <v>74</v>
      </c>
      <c r="D928" t="s">
        <v>74</v>
      </c>
      <c r="E928" t="s">
        <v>74</v>
      </c>
      <c r="F928" t="s">
        <v>16685</v>
      </c>
      <c r="G928" t="s">
        <v>74</v>
      </c>
      <c r="H928" t="s">
        <v>74</v>
      </c>
      <c r="I928" t="s">
        <v>16686</v>
      </c>
      <c r="J928" t="s">
        <v>15703</v>
      </c>
      <c r="K928" t="s">
        <v>74</v>
      </c>
      <c r="L928" t="s">
        <v>74</v>
      </c>
      <c r="M928" t="s">
        <v>78</v>
      </c>
      <c r="N928" t="s">
        <v>79</v>
      </c>
      <c r="O928" t="s">
        <v>74</v>
      </c>
      <c r="P928" t="s">
        <v>74</v>
      </c>
      <c r="Q928" t="s">
        <v>74</v>
      </c>
      <c r="R928" t="s">
        <v>74</v>
      </c>
      <c r="S928" t="s">
        <v>74</v>
      </c>
      <c r="T928" t="s">
        <v>16687</v>
      </c>
      <c r="U928" t="s">
        <v>16688</v>
      </c>
      <c r="V928" t="s">
        <v>16689</v>
      </c>
      <c r="W928" t="s">
        <v>16690</v>
      </c>
      <c r="X928" t="s">
        <v>16691</v>
      </c>
      <c r="Y928" t="s">
        <v>16692</v>
      </c>
      <c r="Z928" t="s">
        <v>16693</v>
      </c>
      <c r="AA928" t="s">
        <v>74</v>
      </c>
      <c r="AB928" t="s">
        <v>16694</v>
      </c>
      <c r="AC928" t="s">
        <v>16695</v>
      </c>
      <c r="AD928" t="s">
        <v>16696</v>
      </c>
      <c r="AE928" t="s">
        <v>16697</v>
      </c>
      <c r="AF928" t="s">
        <v>74</v>
      </c>
      <c r="AG928">
        <v>22</v>
      </c>
      <c r="AH928">
        <v>39</v>
      </c>
      <c r="AI928">
        <v>45</v>
      </c>
      <c r="AJ928">
        <v>1</v>
      </c>
      <c r="AK928">
        <v>39</v>
      </c>
      <c r="AL928" t="s">
        <v>15714</v>
      </c>
      <c r="AM928" t="s">
        <v>121</v>
      </c>
      <c r="AN928" t="s">
        <v>15715</v>
      </c>
      <c r="AO928" t="s">
        <v>15716</v>
      </c>
      <c r="AP928" t="s">
        <v>74</v>
      </c>
      <c r="AQ928" t="s">
        <v>74</v>
      </c>
      <c r="AR928" t="s">
        <v>15703</v>
      </c>
      <c r="AS928" t="s">
        <v>15718</v>
      </c>
      <c r="AT928" t="s">
        <v>15286</v>
      </c>
      <c r="AU928">
        <v>2011</v>
      </c>
      <c r="AV928">
        <v>34</v>
      </c>
      <c r="AW928">
        <v>1</v>
      </c>
      <c r="AX928" t="s">
        <v>74</v>
      </c>
      <c r="AY928" t="s">
        <v>74</v>
      </c>
      <c r="AZ928" t="s">
        <v>74</v>
      </c>
      <c r="BA928" t="s">
        <v>74</v>
      </c>
      <c r="BB928">
        <v>32</v>
      </c>
      <c r="BC928">
        <v>39</v>
      </c>
      <c r="BD928" t="s">
        <v>74</v>
      </c>
      <c r="BE928" t="s">
        <v>16698</v>
      </c>
      <c r="BF928" t="str">
        <f>HYPERLINK("http://dx.doi.org/10.1675/063.034.0104","http://dx.doi.org/10.1675/063.034.0104")</f>
        <v>http://dx.doi.org/10.1675/063.034.0104</v>
      </c>
      <c r="BG928" t="s">
        <v>74</v>
      </c>
      <c r="BH928" t="s">
        <v>74</v>
      </c>
      <c r="BI928">
        <v>8</v>
      </c>
      <c r="BJ928" t="s">
        <v>4855</v>
      </c>
      <c r="BK928" t="s">
        <v>100</v>
      </c>
      <c r="BL928" t="s">
        <v>3232</v>
      </c>
      <c r="BM928" t="s">
        <v>15720</v>
      </c>
      <c r="BN928" t="s">
        <v>74</v>
      </c>
      <c r="BO928" t="s">
        <v>74</v>
      </c>
      <c r="BP928" t="s">
        <v>74</v>
      </c>
      <c r="BQ928" t="s">
        <v>74</v>
      </c>
      <c r="BR928" t="s">
        <v>103</v>
      </c>
      <c r="BS928" t="s">
        <v>16699</v>
      </c>
      <c r="BT928" t="str">
        <f>HYPERLINK("https%3A%2F%2Fwww.webofscience.com%2Fwos%2Fwoscc%2Ffull-record%2FWOS:000288524800004","View Full Record in Web of Science")</f>
        <v>View Full Record in Web of Science</v>
      </c>
    </row>
    <row r="929" spans="1:72" x14ac:dyDescent="0.15">
      <c r="A929" t="s">
        <v>72</v>
      </c>
      <c r="B929" t="s">
        <v>16700</v>
      </c>
      <c r="C929" t="s">
        <v>74</v>
      </c>
      <c r="D929" t="s">
        <v>74</v>
      </c>
      <c r="E929" t="s">
        <v>74</v>
      </c>
      <c r="F929" t="s">
        <v>16701</v>
      </c>
      <c r="G929" t="s">
        <v>74</v>
      </c>
      <c r="H929" t="s">
        <v>74</v>
      </c>
      <c r="I929" t="s">
        <v>16702</v>
      </c>
      <c r="J929" t="s">
        <v>16703</v>
      </c>
      <c r="K929" t="s">
        <v>74</v>
      </c>
      <c r="L929" t="s">
        <v>74</v>
      </c>
      <c r="M929" t="s">
        <v>78</v>
      </c>
      <c r="N929" t="s">
        <v>79</v>
      </c>
      <c r="O929" t="s">
        <v>74</v>
      </c>
      <c r="P929" t="s">
        <v>74</v>
      </c>
      <c r="Q929" t="s">
        <v>74</v>
      </c>
      <c r="R929" t="s">
        <v>74</v>
      </c>
      <c r="S929" t="s">
        <v>74</v>
      </c>
      <c r="T929" t="s">
        <v>74</v>
      </c>
      <c r="U929" t="s">
        <v>16704</v>
      </c>
      <c r="V929" t="s">
        <v>16705</v>
      </c>
      <c r="W929" t="s">
        <v>16706</v>
      </c>
      <c r="X929" t="s">
        <v>16707</v>
      </c>
      <c r="Y929" t="s">
        <v>16708</v>
      </c>
      <c r="Z929" t="s">
        <v>16709</v>
      </c>
      <c r="AA929" t="s">
        <v>16710</v>
      </c>
      <c r="AB929" t="s">
        <v>16711</v>
      </c>
      <c r="AC929" t="s">
        <v>16712</v>
      </c>
      <c r="AD929" t="s">
        <v>16713</v>
      </c>
      <c r="AE929" t="s">
        <v>16714</v>
      </c>
      <c r="AF929" t="s">
        <v>74</v>
      </c>
      <c r="AG929">
        <v>21</v>
      </c>
      <c r="AH929">
        <v>19</v>
      </c>
      <c r="AI929">
        <v>20</v>
      </c>
      <c r="AJ929">
        <v>0</v>
      </c>
      <c r="AK929">
        <v>40</v>
      </c>
      <c r="AL929" t="s">
        <v>16715</v>
      </c>
      <c r="AM929" t="s">
        <v>5673</v>
      </c>
      <c r="AN929" t="s">
        <v>16716</v>
      </c>
      <c r="AO929" t="s">
        <v>16717</v>
      </c>
      <c r="AP929" t="s">
        <v>74</v>
      </c>
      <c r="AQ929" t="s">
        <v>74</v>
      </c>
      <c r="AR929" t="s">
        <v>16718</v>
      </c>
      <c r="AS929" t="s">
        <v>16719</v>
      </c>
      <c r="AT929" t="s">
        <v>15286</v>
      </c>
      <c r="AU929">
        <v>2011</v>
      </c>
      <c r="AV929">
        <v>123</v>
      </c>
      <c r="AW929">
        <v>1</v>
      </c>
      <c r="AX929" t="s">
        <v>74</v>
      </c>
      <c r="AY929" t="s">
        <v>74</v>
      </c>
      <c r="AZ929" t="s">
        <v>74</v>
      </c>
      <c r="BA929" t="s">
        <v>74</v>
      </c>
      <c r="BB929">
        <v>121</v>
      </c>
      <c r="BC929">
        <v>125</v>
      </c>
      <c r="BD929" t="s">
        <v>74</v>
      </c>
      <c r="BE929" t="s">
        <v>16720</v>
      </c>
      <c r="BF929" t="str">
        <f>HYPERLINK("http://dx.doi.org/10.1676/10-072.1","http://dx.doi.org/10.1676/10-072.1")</f>
        <v>http://dx.doi.org/10.1676/10-072.1</v>
      </c>
      <c r="BG929" t="s">
        <v>74</v>
      </c>
      <c r="BH929" t="s">
        <v>74</v>
      </c>
      <c r="BI929">
        <v>5</v>
      </c>
      <c r="BJ929" t="s">
        <v>4855</v>
      </c>
      <c r="BK929" t="s">
        <v>100</v>
      </c>
      <c r="BL929" t="s">
        <v>3232</v>
      </c>
      <c r="BM929" t="s">
        <v>16721</v>
      </c>
      <c r="BN929" t="s">
        <v>74</v>
      </c>
      <c r="BO929" t="s">
        <v>74</v>
      </c>
      <c r="BP929" t="s">
        <v>74</v>
      </c>
      <c r="BQ929" t="s">
        <v>74</v>
      </c>
      <c r="BR929" t="s">
        <v>103</v>
      </c>
      <c r="BS929" t="s">
        <v>16722</v>
      </c>
      <c r="BT929" t="str">
        <f>HYPERLINK("https%3A%2F%2Fwww.webofscience.com%2Fwos%2Fwoscc%2Ffull-record%2FWOS:000288360100015","View Full Record in Web of Science")</f>
        <v>View Full Record in Web of Science</v>
      </c>
    </row>
    <row r="930" spans="1:72" x14ac:dyDescent="0.15">
      <c r="A930" t="s">
        <v>72</v>
      </c>
      <c r="B930" t="s">
        <v>16723</v>
      </c>
      <c r="C930" t="s">
        <v>74</v>
      </c>
      <c r="D930" t="s">
        <v>74</v>
      </c>
      <c r="E930" t="s">
        <v>74</v>
      </c>
      <c r="F930" t="s">
        <v>16724</v>
      </c>
      <c r="G930" t="s">
        <v>74</v>
      </c>
      <c r="H930" t="s">
        <v>74</v>
      </c>
      <c r="I930" t="s">
        <v>16725</v>
      </c>
      <c r="J930" t="s">
        <v>3023</v>
      </c>
      <c r="K930" t="s">
        <v>74</v>
      </c>
      <c r="L930" t="s">
        <v>74</v>
      </c>
      <c r="M930" t="s">
        <v>78</v>
      </c>
      <c r="N930" t="s">
        <v>79</v>
      </c>
      <c r="O930" t="s">
        <v>74</v>
      </c>
      <c r="P930" t="s">
        <v>74</v>
      </c>
      <c r="Q930" t="s">
        <v>74</v>
      </c>
      <c r="R930" t="s">
        <v>74</v>
      </c>
      <c r="S930" t="s">
        <v>74</v>
      </c>
      <c r="T930" t="s">
        <v>16726</v>
      </c>
      <c r="U930" t="s">
        <v>16727</v>
      </c>
      <c r="V930" t="s">
        <v>16728</v>
      </c>
      <c r="W930" t="s">
        <v>16729</v>
      </c>
      <c r="X930" t="s">
        <v>16730</v>
      </c>
      <c r="Y930" t="s">
        <v>16731</v>
      </c>
      <c r="Z930" t="s">
        <v>16732</v>
      </c>
      <c r="AA930" t="s">
        <v>16733</v>
      </c>
      <c r="AB930" t="s">
        <v>16734</v>
      </c>
      <c r="AC930" t="s">
        <v>16735</v>
      </c>
      <c r="AD930" t="s">
        <v>16736</v>
      </c>
      <c r="AE930" t="s">
        <v>16737</v>
      </c>
      <c r="AF930" t="s">
        <v>74</v>
      </c>
      <c r="AG930">
        <v>65</v>
      </c>
      <c r="AH930">
        <v>35</v>
      </c>
      <c r="AI930">
        <v>36</v>
      </c>
      <c r="AJ930">
        <v>3</v>
      </c>
      <c r="AK930">
        <v>49</v>
      </c>
      <c r="AL930" t="s">
        <v>2669</v>
      </c>
      <c r="AM930" t="s">
        <v>309</v>
      </c>
      <c r="AN930" t="s">
        <v>2670</v>
      </c>
      <c r="AO930" t="s">
        <v>3036</v>
      </c>
      <c r="AP930" t="s">
        <v>11788</v>
      </c>
      <c r="AQ930" t="s">
        <v>74</v>
      </c>
      <c r="AR930" t="s">
        <v>3037</v>
      </c>
      <c r="AS930" t="s">
        <v>3038</v>
      </c>
      <c r="AT930" t="s">
        <v>16738</v>
      </c>
      <c r="AU930">
        <v>2011</v>
      </c>
      <c r="AV930">
        <v>398</v>
      </c>
      <c r="AW930" t="s">
        <v>2154</v>
      </c>
      <c r="AX930" t="s">
        <v>74</v>
      </c>
      <c r="AY930" t="s">
        <v>74</v>
      </c>
      <c r="AZ930" t="s">
        <v>74</v>
      </c>
      <c r="BA930" t="s">
        <v>74</v>
      </c>
      <c r="BB930">
        <v>63</v>
      </c>
      <c r="BC930">
        <v>72</v>
      </c>
      <c r="BD930" t="s">
        <v>74</v>
      </c>
      <c r="BE930" t="s">
        <v>16739</v>
      </c>
      <c r="BF930" t="str">
        <f>HYPERLINK("http://dx.doi.org/10.1016/j.jembe.2010.12.011","http://dx.doi.org/10.1016/j.jembe.2010.12.011")</f>
        <v>http://dx.doi.org/10.1016/j.jembe.2010.12.011</v>
      </c>
      <c r="BG930" t="s">
        <v>74</v>
      </c>
      <c r="BH930" t="s">
        <v>74</v>
      </c>
      <c r="BI930">
        <v>10</v>
      </c>
      <c r="BJ930" t="s">
        <v>3041</v>
      </c>
      <c r="BK930" t="s">
        <v>100</v>
      </c>
      <c r="BL930" t="s">
        <v>3042</v>
      </c>
      <c r="BM930" t="s">
        <v>16740</v>
      </c>
      <c r="BN930" t="s">
        <v>74</v>
      </c>
      <c r="BO930" t="s">
        <v>1557</v>
      </c>
      <c r="BP930" t="s">
        <v>74</v>
      </c>
      <c r="BQ930" t="s">
        <v>74</v>
      </c>
      <c r="BR930" t="s">
        <v>103</v>
      </c>
      <c r="BS930" t="s">
        <v>16741</v>
      </c>
      <c r="BT930" t="str">
        <f>HYPERLINK("https%3A%2F%2Fwww.webofscience.com%2Fwos%2Fwoscc%2Ffull-record%2FWOS:000288046200009","View Full Record in Web of Science")</f>
        <v>View Full Record in Web of Science</v>
      </c>
    </row>
    <row r="931" spans="1:72" x14ac:dyDescent="0.15">
      <c r="A931" t="s">
        <v>72</v>
      </c>
      <c r="B931" t="s">
        <v>16742</v>
      </c>
      <c r="C931" t="s">
        <v>74</v>
      </c>
      <c r="D931" t="s">
        <v>74</v>
      </c>
      <c r="E931" t="s">
        <v>74</v>
      </c>
      <c r="F931" t="s">
        <v>16743</v>
      </c>
      <c r="G931" t="s">
        <v>74</v>
      </c>
      <c r="H931" t="s">
        <v>74</v>
      </c>
      <c r="I931" t="s">
        <v>16744</v>
      </c>
      <c r="J931" t="s">
        <v>3023</v>
      </c>
      <c r="K931" t="s">
        <v>74</v>
      </c>
      <c r="L931" t="s">
        <v>74</v>
      </c>
      <c r="M931" t="s">
        <v>78</v>
      </c>
      <c r="N931" t="s">
        <v>79</v>
      </c>
      <c r="O931" t="s">
        <v>74</v>
      </c>
      <c r="P931" t="s">
        <v>74</v>
      </c>
      <c r="Q931" t="s">
        <v>74</v>
      </c>
      <c r="R931" t="s">
        <v>74</v>
      </c>
      <c r="S931" t="s">
        <v>74</v>
      </c>
      <c r="T931" t="s">
        <v>16745</v>
      </c>
      <c r="U931" t="s">
        <v>16746</v>
      </c>
      <c r="V931" t="s">
        <v>16747</v>
      </c>
      <c r="W931" t="s">
        <v>16748</v>
      </c>
      <c r="X931" t="s">
        <v>16749</v>
      </c>
      <c r="Y931" t="s">
        <v>16750</v>
      </c>
      <c r="Z931" t="s">
        <v>16751</v>
      </c>
      <c r="AA931" t="s">
        <v>16752</v>
      </c>
      <c r="AB931" t="s">
        <v>16753</v>
      </c>
      <c r="AC931" t="s">
        <v>16754</v>
      </c>
      <c r="AD931" t="s">
        <v>6579</v>
      </c>
      <c r="AE931" t="s">
        <v>16755</v>
      </c>
      <c r="AF931" t="s">
        <v>74</v>
      </c>
      <c r="AG931">
        <v>44</v>
      </c>
      <c r="AH931">
        <v>27</v>
      </c>
      <c r="AI931">
        <v>29</v>
      </c>
      <c r="AJ931">
        <v>1</v>
      </c>
      <c r="AK931">
        <v>20</v>
      </c>
      <c r="AL931" t="s">
        <v>308</v>
      </c>
      <c r="AM931" t="s">
        <v>309</v>
      </c>
      <c r="AN931" t="s">
        <v>310</v>
      </c>
      <c r="AO931" t="s">
        <v>3036</v>
      </c>
      <c r="AP931" t="s">
        <v>11788</v>
      </c>
      <c r="AQ931" t="s">
        <v>74</v>
      </c>
      <c r="AR931" t="s">
        <v>3037</v>
      </c>
      <c r="AS931" t="s">
        <v>3038</v>
      </c>
      <c r="AT931" t="s">
        <v>16738</v>
      </c>
      <c r="AU931">
        <v>2011</v>
      </c>
      <c r="AV931">
        <v>398</v>
      </c>
      <c r="AW931" t="s">
        <v>2154</v>
      </c>
      <c r="AX931" t="s">
        <v>74</v>
      </c>
      <c r="AY931" t="s">
        <v>74</v>
      </c>
      <c r="AZ931" t="s">
        <v>74</v>
      </c>
      <c r="BA931" t="s">
        <v>74</v>
      </c>
      <c r="BB931">
        <v>83</v>
      </c>
      <c r="BC931">
        <v>90</v>
      </c>
      <c r="BD931" t="s">
        <v>74</v>
      </c>
      <c r="BE931" t="s">
        <v>16756</v>
      </c>
      <c r="BF931" t="str">
        <f>HYPERLINK("http://dx.doi.org/10.1016/j.jembe.2010.12.013","http://dx.doi.org/10.1016/j.jembe.2010.12.013")</f>
        <v>http://dx.doi.org/10.1016/j.jembe.2010.12.013</v>
      </c>
      <c r="BG931" t="s">
        <v>74</v>
      </c>
      <c r="BH931" t="s">
        <v>74</v>
      </c>
      <c r="BI931">
        <v>8</v>
      </c>
      <c r="BJ931" t="s">
        <v>3041</v>
      </c>
      <c r="BK931" t="s">
        <v>100</v>
      </c>
      <c r="BL931" t="s">
        <v>3042</v>
      </c>
      <c r="BM931" t="s">
        <v>16740</v>
      </c>
      <c r="BN931" t="s">
        <v>74</v>
      </c>
      <c r="BO931" t="s">
        <v>702</v>
      </c>
      <c r="BP931" t="s">
        <v>74</v>
      </c>
      <c r="BQ931" t="s">
        <v>74</v>
      </c>
      <c r="BR931" t="s">
        <v>103</v>
      </c>
      <c r="BS931" t="s">
        <v>16757</v>
      </c>
      <c r="BT931" t="str">
        <f>HYPERLINK("https%3A%2F%2Fwww.webofscience.com%2Fwos%2Fwoscc%2Ffull-record%2FWOS:000288046200011","View Full Record in Web of Science")</f>
        <v>View Full Record in Web of Science</v>
      </c>
    </row>
    <row r="932" spans="1:72" x14ac:dyDescent="0.15">
      <c r="A932" t="s">
        <v>72</v>
      </c>
      <c r="B932" t="s">
        <v>16758</v>
      </c>
      <c r="C932" t="s">
        <v>74</v>
      </c>
      <c r="D932" t="s">
        <v>74</v>
      </c>
      <c r="E932" t="s">
        <v>74</v>
      </c>
      <c r="F932" t="s">
        <v>16759</v>
      </c>
      <c r="G932" t="s">
        <v>74</v>
      </c>
      <c r="H932" t="s">
        <v>74</v>
      </c>
      <c r="I932" t="s">
        <v>16760</v>
      </c>
      <c r="J932" t="s">
        <v>157</v>
      </c>
      <c r="K932" t="s">
        <v>74</v>
      </c>
      <c r="L932" t="s">
        <v>74</v>
      </c>
      <c r="M932" t="s">
        <v>78</v>
      </c>
      <c r="N932" t="s">
        <v>79</v>
      </c>
      <c r="O932" t="s">
        <v>74</v>
      </c>
      <c r="P932" t="s">
        <v>74</v>
      </c>
      <c r="Q932" t="s">
        <v>74</v>
      </c>
      <c r="R932" t="s">
        <v>74</v>
      </c>
      <c r="S932" t="s">
        <v>74</v>
      </c>
      <c r="T932" t="s">
        <v>74</v>
      </c>
      <c r="U932" t="s">
        <v>16761</v>
      </c>
      <c r="V932" t="s">
        <v>16762</v>
      </c>
      <c r="W932" t="s">
        <v>16763</v>
      </c>
      <c r="X932" t="s">
        <v>8619</v>
      </c>
      <c r="Y932" t="s">
        <v>16764</v>
      </c>
      <c r="Z932" t="s">
        <v>16765</v>
      </c>
      <c r="AA932" t="s">
        <v>74</v>
      </c>
      <c r="AB932" t="s">
        <v>74</v>
      </c>
      <c r="AC932" t="s">
        <v>16766</v>
      </c>
      <c r="AD932" t="s">
        <v>16767</v>
      </c>
      <c r="AE932" t="s">
        <v>16768</v>
      </c>
      <c r="AF932" t="s">
        <v>74</v>
      </c>
      <c r="AG932">
        <v>50</v>
      </c>
      <c r="AH932">
        <v>55</v>
      </c>
      <c r="AI932">
        <v>59</v>
      </c>
      <c r="AJ932">
        <v>1</v>
      </c>
      <c r="AK932">
        <v>105</v>
      </c>
      <c r="AL932" t="s">
        <v>169</v>
      </c>
      <c r="AM932" t="s">
        <v>170</v>
      </c>
      <c r="AN932" t="s">
        <v>171</v>
      </c>
      <c r="AO932" t="s">
        <v>172</v>
      </c>
      <c r="AP932" t="s">
        <v>74</v>
      </c>
      <c r="AQ932" t="s">
        <v>74</v>
      </c>
      <c r="AR932" t="s">
        <v>157</v>
      </c>
      <c r="AS932" t="s">
        <v>173</v>
      </c>
      <c r="AT932" t="s">
        <v>16738</v>
      </c>
      <c r="AU932">
        <v>2011</v>
      </c>
      <c r="AV932">
        <v>6</v>
      </c>
      <c r="AW932">
        <v>2</v>
      </c>
      <c r="AX932" t="s">
        <v>74</v>
      </c>
      <c r="AY932" t="s">
        <v>74</v>
      </c>
      <c r="AZ932" t="s">
        <v>74</v>
      </c>
      <c r="BA932" t="s">
        <v>74</v>
      </c>
      <c r="BB932" t="s">
        <v>74</v>
      </c>
      <c r="BC932" t="s">
        <v>74</v>
      </c>
      <c r="BD932" t="s">
        <v>16769</v>
      </c>
      <c r="BE932" t="s">
        <v>16770</v>
      </c>
      <c r="BF932" t="str">
        <f>HYPERLINK("http://dx.doi.org/10.1371/journal.pone.0014738","http://dx.doi.org/10.1371/journal.pone.0014738")</f>
        <v>http://dx.doi.org/10.1371/journal.pone.0014738</v>
      </c>
      <c r="BG932" t="s">
        <v>74</v>
      </c>
      <c r="BH932" t="s">
        <v>74</v>
      </c>
      <c r="BI932">
        <v>11</v>
      </c>
      <c r="BJ932" t="s">
        <v>177</v>
      </c>
      <c r="BK932" t="s">
        <v>100</v>
      </c>
      <c r="BL932" t="s">
        <v>178</v>
      </c>
      <c r="BM932" t="s">
        <v>16771</v>
      </c>
      <c r="BN932">
        <v>21386883</v>
      </c>
      <c r="BO932" t="s">
        <v>16772</v>
      </c>
      <c r="BP932" t="s">
        <v>74</v>
      </c>
      <c r="BQ932" t="s">
        <v>74</v>
      </c>
      <c r="BR932" t="s">
        <v>103</v>
      </c>
      <c r="BS932" t="s">
        <v>16773</v>
      </c>
      <c r="BT932" t="str">
        <f>HYPERLINK("https%3A%2F%2Fwww.webofscience.com%2Fwos%2Fwoscc%2Ffull-record%2FWOS:000287931400003","View Full Record in Web of Science")</f>
        <v>View Full Record in Web of Science</v>
      </c>
    </row>
    <row r="933" spans="1:72" x14ac:dyDescent="0.15">
      <c r="A933" t="s">
        <v>72</v>
      </c>
      <c r="B933" t="s">
        <v>16774</v>
      </c>
      <c r="C933" t="s">
        <v>74</v>
      </c>
      <c r="D933" t="s">
        <v>74</v>
      </c>
      <c r="E933" t="s">
        <v>74</v>
      </c>
      <c r="F933" t="s">
        <v>16775</v>
      </c>
      <c r="G933" t="s">
        <v>74</v>
      </c>
      <c r="H933" t="s">
        <v>74</v>
      </c>
      <c r="I933" t="s">
        <v>16776</v>
      </c>
      <c r="J933" t="s">
        <v>108</v>
      </c>
      <c r="K933" t="s">
        <v>74</v>
      </c>
      <c r="L933" t="s">
        <v>74</v>
      </c>
      <c r="M933" t="s">
        <v>78</v>
      </c>
      <c r="N933" t="s">
        <v>79</v>
      </c>
      <c r="O933" t="s">
        <v>74</v>
      </c>
      <c r="P933" t="s">
        <v>74</v>
      </c>
      <c r="Q933" t="s">
        <v>74</v>
      </c>
      <c r="R933" t="s">
        <v>74</v>
      </c>
      <c r="S933" t="s">
        <v>74</v>
      </c>
      <c r="T933" t="s">
        <v>74</v>
      </c>
      <c r="U933" t="s">
        <v>16777</v>
      </c>
      <c r="V933" t="s">
        <v>16778</v>
      </c>
      <c r="W933" t="s">
        <v>16779</v>
      </c>
      <c r="X933" t="s">
        <v>16780</v>
      </c>
      <c r="Y933" t="s">
        <v>16781</v>
      </c>
      <c r="Z933" t="s">
        <v>16782</v>
      </c>
      <c r="AA933" t="s">
        <v>16783</v>
      </c>
      <c r="AB933" t="s">
        <v>16784</v>
      </c>
      <c r="AC933" t="s">
        <v>16785</v>
      </c>
      <c r="AD933" t="s">
        <v>16786</v>
      </c>
      <c r="AE933" t="s">
        <v>16787</v>
      </c>
      <c r="AF933" t="s">
        <v>74</v>
      </c>
      <c r="AG933">
        <v>35</v>
      </c>
      <c r="AH933">
        <v>18</v>
      </c>
      <c r="AI933">
        <v>19</v>
      </c>
      <c r="AJ933">
        <v>0</v>
      </c>
      <c r="AK933">
        <v>16</v>
      </c>
      <c r="AL933" t="s">
        <v>120</v>
      </c>
      <c r="AM933" t="s">
        <v>121</v>
      </c>
      <c r="AN933" t="s">
        <v>122</v>
      </c>
      <c r="AO933" t="s">
        <v>123</v>
      </c>
      <c r="AP933" t="s">
        <v>124</v>
      </c>
      <c r="AQ933" t="s">
        <v>74</v>
      </c>
      <c r="AR933" t="s">
        <v>125</v>
      </c>
      <c r="AS933" t="s">
        <v>126</v>
      </c>
      <c r="AT933" t="s">
        <v>16788</v>
      </c>
      <c r="AU933">
        <v>2011</v>
      </c>
      <c r="AV933">
        <v>38</v>
      </c>
      <c r="AW933" t="s">
        <v>74</v>
      </c>
      <c r="AX933" t="s">
        <v>74</v>
      </c>
      <c r="AY933" t="s">
        <v>74</v>
      </c>
      <c r="AZ933" t="s">
        <v>74</v>
      </c>
      <c r="BA933" t="s">
        <v>74</v>
      </c>
      <c r="BB933" t="s">
        <v>74</v>
      </c>
      <c r="BC933" t="s">
        <v>74</v>
      </c>
      <c r="BD933" t="s">
        <v>16789</v>
      </c>
      <c r="BE933" t="s">
        <v>16790</v>
      </c>
      <c r="BF933" t="str">
        <f>HYPERLINK("http://dx.doi.org/10.1029/2010GL045992","http://dx.doi.org/10.1029/2010GL045992")</f>
        <v>http://dx.doi.org/10.1029/2010GL045992</v>
      </c>
      <c r="BG933" t="s">
        <v>74</v>
      </c>
      <c r="BH933" t="s">
        <v>74</v>
      </c>
      <c r="BI933">
        <v>5</v>
      </c>
      <c r="BJ933" t="s">
        <v>130</v>
      </c>
      <c r="BK933" t="s">
        <v>100</v>
      </c>
      <c r="BL933" t="s">
        <v>131</v>
      </c>
      <c r="BM933" t="s">
        <v>16791</v>
      </c>
      <c r="BN933" t="s">
        <v>74</v>
      </c>
      <c r="BO933" t="s">
        <v>74</v>
      </c>
      <c r="BP933" t="s">
        <v>74</v>
      </c>
      <c r="BQ933" t="s">
        <v>74</v>
      </c>
      <c r="BR933" t="s">
        <v>103</v>
      </c>
      <c r="BS933" t="s">
        <v>16792</v>
      </c>
      <c r="BT933" t="str">
        <f>HYPERLINK("https%3A%2F%2Fwww.webofscience.com%2Fwos%2Fwoscc%2Ffull-record%2FWOS:000287808400001","View Full Record in Web of Science")</f>
        <v>View Full Record in Web of Science</v>
      </c>
    </row>
    <row r="934" spans="1:72" x14ac:dyDescent="0.15">
      <c r="A934" t="s">
        <v>72</v>
      </c>
      <c r="B934" t="s">
        <v>16793</v>
      </c>
      <c r="C934" t="s">
        <v>74</v>
      </c>
      <c r="D934" t="s">
        <v>74</v>
      </c>
      <c r="E934" t="s">
        <v>74</v>
      </c>
      <c r="F934" t="s">
        <v>16794</v>
      </c>
      <c r="G934" t="s">
        <v>74</v>
      </c>
      <c r="H934" t="s">
        <v>74</v>
      </c>
      <c r="I934" t="s">
        <v>16795</v>
      </c>
      <c r="J934" t="s">
        <v>3214</v>
      </c>
      <c r="K934" t="s">
        <v>74</v>
      </c>
      <c r="L934" t="s">
        <v>74</v>
      </c>
      <c r="M934" t="s">
        <v>78</v>
      </c>
      <c r="N934" t="s">
        <v>79</v>
      </c>
      <c r="O934" t="s">
        <v>74</v>
      </c>
      <c r="P934" t="s">
        <v>74</v>
      </c>
      <c r="Q934" t="s">
        <v>74</v>
      </c>
      <c r="R934" t="s">
        <v>74</v>
      </c>
      <c r="S934" t="s">
        <v>74</v>
      </c>
      <c r="T934" t="s">
        <v>16796</v>
      </c>
      <c r="U934" t="s">
        <v>74</v>
      </c>
      <c r="V934" t="s">
        <v>16797</v>
      </c>
      <c r="W934" t="s">
        <v>16798</v>
      </c>
      <c r="X934" t="s">
        <v>1656</v>
      </c>
      <c r="Y934" t="s">
        <v>16799</v>
      </c>
      <c r="Z934" t="s">
        <v>16800</v>
      </c>
      <c r="AA934" t="s">
        <v>74</v>
      </c>
      <c r="AB934" t="s">
        <v>74</v>
      </c>
      <c r="AC934" t="s">
        <v>16801</v>
      </c>
      <c r="AD934" t="s">
        <v>16802</v>
      </c>
      <c r="AE934" t="s">
        <v>16803</v>
      </c>
      <c r="AF934" t="s">
        <v>74</v>
      </c>
      <c r="AG934">
        <v>21</v>
      </c>
      <c r="AH934">
        <v>0</v>
      </c>
      <c r="AI934">
        <v>0</v>
      </c>
      <c r="AJ934">
        <v>0</v>
      </c>
      <c r="AK934">
        <v>9</v>
      </c>
      <c r="AL934" t="s">
        <v>3225</v>
      </c>
      <c r="AM934" t="s">
        <v>3226</v>
      </c>
      <c r="AN934" t="s">
        <v>3227</v>
      </c>
      <c r="AO934" t="s">
        <v>3228</v>
      </c>
      <c r="AP934" t="s">
        <v>3229</v>
      </c>
      <c r="AQ934" t="s">
        <v>74</v>
      </c>
      <c r="AR934" t="s">
        <v>3214</v>
      </c>
      <c r="AS934" t="s">
        <v>3230</v>
      </c>
      <c r="AT934" t="s">
        <v>16804</v>
      </c>
      <c r="AU934">
        <v>2011</v>
      </c>
      <c r="AV934" t="s">
        <v>74</v>
      </c>
      <c r="AW934">
        <v>2775</v>
      </c>
      <c r="AX934" t="s">
        <v>74</v>
      </c>
      <c r="AY934" t="s">
        <v>74</v>
      </c>
      <c r="AZ934" t="s">
        <v>74</v>
      </c>
      <c r="BA934" t="s">
        <v>74</v>
      </c>
      <c r="BB934" t="s">
        <v>74</v>
      </c>
      <c r="BC934" t="s">
        <v>74</v>
      </c>
      <c r="BD934" t="s">
        <v>74</v>
      </c>
      <c r="BE934" t="s">
        <v>74</v>
      </c>
      <c r="BF934" t="s">
        <v>74</v>
      </c>
      <c r="BG934" t="s">
        <v>74</v>
      </c>
      <c r="BH934" t="s">
        <v>74</v>
      </c>
      <c r="BI934">
        <v>13</v>
      </c>
      <c r="BJ934" t="s">
        <v>3232</v>
      </c>
      <c r="BK934" t="s">
        <v>100</v>
      </c>
      <c r="BL934" t="s">
        <v>3232</v>
      </c>
      <c r="BM934" t="s">
        <v>16805</v>
      </c>
      <c r="BN934" t="s">
        <v>74</v>
      </c>
      <c r="BO934" t="s">
        <v>74</v>
      </c>
      <c r="BP934" t="s">
        <v>74</v>
      </c>
      <c r="BQ934" t="s">
        <v>74</v>
      </c>
      <c r="BR934" t="s">
        <v>103</v>
      </c>
      <c r="BS934" t="s">
        <v>16806</v>
      </c>
      <c r="BT934" t="str">
        <f>HYPERLINK("https%3A%2F%2Fwww.webofscience.com%2Fwos%2Fwoscc%2Ffull-record%2FWOS:000287668700002","View Full Record in Web of Science")</f>
        <v>View Full Record in Web of Science</v>
      </c>
    </row>
    <row r="935" spans="1:72" x14ac:dyDescent="0.15">
      <c r="A935" t="s">
        <v>72</v>
      </c>
      <c r="B935" t="s">
        <v>16807</v>
      </c>
      <c r="C935" t="s">
        <v>74</v>
      </c>
      <c r="D935" t="s">
        <v>74</v>
      </c>
      <c r="E935" t="s">
        <v>74</v>
      </c>
      <c r="F935" t="s">
        <v>16808</v>
      </c>
      <c r="G935" t="s">
        <v>74</v>
      </c>
      <c r="H935" t="s">
        <v>74</v>
      </c>
      <c r="I935" t="s">
        <v>16809</v>
      </c>
      <c r="J935" t="s">
        <v>16810</v>
      </c>
      <c r="K935" t="s">
        <v>74</v>
      </c>
      <c r="L935" t="s">
        <v>74</v>
      </c>
      <c r="M935" t="s">
        <v>78</v>
      </c>
      <c r="N935" t="s">
        <v>79</v>
      </c>
      <c r="O935" t="s">
        <v>74</v>
      </c>
      <c r="P935" t="s">
        <v>74</v>
      </c>
      <c r="Q935" t="s">
        <v>74</v>
      </c>
      <c r="R935" t="s">
        <v>74</v>
      </c>
      <c r="S935" t="s">
        <v>74</v>
      </c>
      <c r="T935" t="s">
        <v>16811</v>
      </c>
      <c r="U935" t="s">
        <v>16812</v>
      </c>
      <c r="V935" t="s">
        <v>16813</v>
      </c>
      <c r="W935" t="s">
        <v>16814</v>
      </c>
      <c r="X935" t="s">
        <v>4642</v>
      </c>
      <c r="Y935" t="s">
        <v>16815</v>
      </c>
      <c r="Z935" t="s">
        <v>16816</v>
      </c>
      <c r="AA935" t="s">
        <v>16817</v>
      </c>
      <c r="AB935" t="s">
        <v>74</v>
      </c>
      <c r="AC935" t="s">
        <v>16818</v>
      </c>
      <c r="AD935" t="s">
        <v>16819</v>
      </c>
      <c r="AE935" t="s">
        <v>16820</v>
      </c>
      <c r="AF935" t="s">
        <v>74</v>
      </c>
      <c r="AG935">
        <v>77</v>
      </c>
      <c r="AH935">
        <v>22</v>
      </c>
      <c r="AI935">
        <v>26</v>
      </c>
      <c r="AJ935">
        <v>0</v>
      </c>
      <c r="AK935">
        <v>19</v>
      </c>
      <c r="AL935" t="s">
        <v>120</v>
      </c>
      <c r="AM935" t="s">
        <v>121</v>
      </c>
      <c r="AN935" t="s">
        <v>122</v>
      </c>
      <c r="AO935" t="s">
        <v>74</v>
      </c>
      <c r="AP935" t="s">
        <v>16821</v>
      </c>
      <c r="AQ935" t="s">
        <v>74</v>
      </c>
      <c r="AR935" t="s">
        <v>16822</v>
      </c>
      <c r="AS935" t="s">
        <v>16823</v>
      </c>
      <c r="AT935" t="s">
        <v>16804</v>
      </c>
      <c r="AU935">
        <v>2011</v>
      </c>
      <c r="AV935">
        <v>12</v>
      </c>
      <c r="AW935" t="s">
        <v>74</v>
      </c>
      <c r="AX935" t="s">
        <v>74</v>
      </c>
      <c r="AY935" t="s">
        <v>74</v>
      </c>
      <c r="AZ935" t="s">
        <v>74</v>
      </c>
      <c r="BA935" t="s">
        <v>74</v>
      </c>
      <c r="BB935" t="s">
        <v>74</v>
      </c>
      <c r="BC935" t="s">
        <v>74</v>
      </c>
      <c r="BD935" t="s">
        <v>16824</v>
      </c>
      <c r="BE935" t="s">
        <v>16825</v>
      </c>
      <c r="BF935" t="str">
        <f>HYPERLINK("http://dx.doi.org/10.1029/2010GC003319","http://dx.doi.org/10.1029/2010GC003319")</f>
        <v>http://dx.doi.org/10.1029/2010GC003319</v>
      </c>
      <c r="BG935" t="s">
        <v>74</v>
      </c>
      <c r="BH935" t="s">
        <v>74</v>
      </c>
      <c r="BI935">
        <v>22</v>
      </c>
      <c r="BJ935" t="s">
        <v>488</v>
      </c>
      <c r="BK935" t="s">
        <v>100</v>
      </c>
      <c r="BL935" t="s">
        <v>488</v>
      </c>
      <c r="BM935" t="s">
        <v>16826</v>
      </c>
      <c r="BN935" t="s">
        <v>74</v>
      </c>
      <c r="BO935" t="s">
        <v>74</v>
      </c>
      <c r="BP935" t="s">
        <v>74</v>
      </c>
      <c r="BQ935" t="s">
        <v>74</v>
      </c>
      <c r="BR935" t="s">
        <v>103</v>
      </c>
      <c r="BS935" t="s">
        <v>16827</v>
      </c>
      <c r="BT935" t="str">
        <f>HYPERLINK("https%3A%2F%2Fwww.webofscience.com%2Fwos%2Fwoscc%2Ffull-record%2FWOS:000287806400001","View Full Record in Web of Science")</f>
        <v>View Full Record in Web of Science</v>
      </c>
    </row>
    <row r="936" spans="1:72" x14ac:dyDescent="0.15">
      <c r="A936" t="s">
        <v>72</v>
      </c>
      <c r="B936" t="s">
        <v>16828</v>
      </c>
      <c r="C936" t="s">
        <v>74</v>
      </c>
      <c r="D936" t="s">
        <v>74</v>
      </c>
      <c r="E936" t="s">
        <v>74</v>
      </c>
      <c r="F936" t="s">
        <v>16829</v>
      </c>
      <c r="G936" t="s">
        <v>74</v>
      </c>
      <c r="H936" t="s">
        <v>74</v>
      </c>
      <c r="I936" t="s">
        <v>16830</v>
      </c>
      <c r="J936" t="s">
        <v>6542</v>
      </c>
      <c r="K936" t="s">
        <v>74</v>
      </c>
      <c r="L936" t="s">
        <v>74</v>
      </c>
      <c r="M936" t="s">
        <v>78</v>
      </c>
      <c r="N936" t="s">
        <v>79</v>
      </c>
      <c r="O936" t="s">
        <v>74</v>
      </c>
      <c r="P936" t="s">
        <v>74</v>
      </c>
      <c r="Q936" t="s">
        <v>74</v>
      </c>
      <c r="R936" t="s">
        <v>74</v>
      </c>
      <c r="S936" t="s">
        <v>74</v>
      </c>
      <c r="T936" t="s">
        <v>16831</v>
      </c>
      <c r="U936" t="s">
        <v>16832</v>
      </c>
      <c r="V936" t="s">
        <v>16833</v>
      </c>
      <c r="W936" t="s">
        <v>16834</v>
      </c>
      <c r="X936" t="s">
        <v>16835</v>
      </c>
      <c r="Y936" t="s">
        <v>16836</v>
      </c>
      <c r="Z936" t="s">
        <v>16837</v>
      </c>
      <c r="AA936" t="s">
        <v>16838</v>
      </c>
      <c r="AB936" t="s">
        <v>16839</v>
      </c>
      <c r="AC936" t="s">
        <v>74</v>
      </c>
      <c r="AD936" t="s">
        <v>74</v>
      </c>
      <c r="AE936" t="s">
        <v>74</v>
      </c>
      <c r="AF936" t="s">
        <v>74</v>
      </c>
      <c r="AG936">
        <v>23</v>
      </c>
      <c r="AH936">
        <v>92</v>
      </c>
      <c r="AI936">
        <v>103</v>
      </c>
      <c r="AJ936">
        <v>1</v>
      </c>
      <c r="AK936">
        <v>66</v>
      </c>
      <c r="AL936" t="s">
        <v>6555</v>
      </c>
      <c r="AM936" t="s">
        <v>1490</v>
      </c>
      <c r="AN936" t="s">
        <v>6556</v>
      </c>
      <c r="AO936" t="s">
        <v>6557</v>
      </c>
      <c r="AP936" t="s">
        <v>6558</v>
      </c>
      <c r="AQ936" t="s">
        <v>74</v>
      </c>
      <c r="AR936" t="s">
        <v>6559</v>
      </c>
      <c r="AS936" t="s">
        <v>6560</v>
      </c>
      <c r="AT936" t="s">
        <v>16840</v>
      </c>
      <c r="AU936">
        <v>2011</v>
      </c>
      <c r="AV936">
        <v>7</v>
      </c>
      <c r="AW936">
        <v>1</v>
      </c>
      <c r="AX936" t="s">
        <v>74</v>
      </c>
      <c r="AY936" t="s">
        <v>74</v>
      </c>
      <c r="AZ936" t="s">
        <v>74</v>
      </c>
      <c r="BA936" t="s">
        <v>74</v>
      </c>
      <c r="BB936">
        <v>116</v>
      </c>
      <c r="BC936">
        <v>118</v>
      </c>
      <c r="BD936" t="s">
        <v>74</v>
      </c>
      <c r="BE936" t="s">
        <v>16841</v>
      </c>
      <c r="BF936" t="str">
        <f>HYPERLINK("http://dx.doi.org/10.1098/rsbl.2010.0638","http://dx.doi.org/10.1098/rsbl.2010.0638")</f>
        <v>http://dx.doi.org/10.1098/rsbl.2010.0638</v>
      </c>
      <c r="BG936" t="s">
        <v>74</v>
      </c>
      <c r="BH936" t="s">
        <v>74</v>
      </c>
      <c r="BI936">
        <v>3</v>
      </c>
      <c r="BJ936" t="s">
        <v>6563</v>
      </c>
      <c r="BK936" t="s">
        <v>100</v>
      </c>
      <c r="BL936" t="s">
        <v>6564</v>
      </c>
      <c r="BM936" t="s">
        <v>16842</v>
      </c>
      <c r="BN936">
        <v>20810427</v>
      </c>
      <c r="BO936" t="s">
        <v>702</v>
      </c>
      <c r="BP936" t="s">
        <v>74</v>
      </c>
      <c r="BQ936" t="s">
        <v>74</v>
      </c>
      <c r="BR936" t="s">
        <v>103</v>
      </c>
      <c r="BS936" t="s">
        <v>16843</v>
      </c>
      <c r="BT936" t="str">
        <f>HYPERLINK("https%3A%2F%2Fwww.webofscience.com%2Fwos%2Fwoscc%2Ffull-record%2FWOS:000286135000035","View Full Record in Web of Science")</f>
        <v>View Full Record in Web of Science</v>
      </c>
    </row>
    <row r="937" spans="1:72" x14ac:dyDescent="0.15">
      <c r="A937" t="s">
        <v>72</v>
      </c>
      <c r="B937" t="s">
        <v>16844</v>
      </c>
      <c r="C937" t="s">
        <v>74</v>
      </c>
      <c r="D937" t="s">
        <v>74</v>
      </c>
      <c r="E937" t="s">
        <v>74</v>
      </c>
      <c r="F937" t="s">
        <v>16845</v>
      </c>
      <c r="G937" t="s">
        <v>74</v>
      </c>
      <c r="H937" t="s">
        <v>74</v>
      </c>
      <c r="I937" t="s">
        <v>16846</v>
      </c>
      <c r="J937" t="s">
        <v>3741</v>
      </c>
      <c r="K937" t="s">
        <v>74</v>
      </c>
      <c r="L937" t="s">
        <v>74</v>
      </c>
      <c r="M937" t="s">
        <v>78</v>
      </c>
      <c r="N937" t="s">
        <v>79</v>
      </c>
      <c r="O937" t="s">
        <v>74</v>
      </c>
      <c r="P937" t="s">
        <v>74</v>
      </c>
      <c r="Q937" t="s">
        <v>74</v>
      </c>
      <c r="R937" t="s">
        <v>74</v>
      </c>
      <c r="S937" t="s">
        <v>74</v>
      </c>
      <c r="T937" t="s">
        <v>16847</v>
      </c>
      <c r="U937" t="s">
        <v>16848</v>
      </c>
      <c r="V937" t="s">
        <v>16849</v>
      </c>
      <c r="W937" t="s">
        <v>16850</v>
      </c>
      <c r="X937" t="s">
        <v>16851</v>
      </c>
      <c r="Y937" t="s">
        <v>16852</v>
      </c>
      <c r="Z937" t="s">
        <v>16853</v>
      </c>
      <c r="AA937" t="s">
        <v>16854</v>
      </c>
      <c r="AB937" t="s">
        <v>16855</v>
      </c>
      <c r="AC937" t="s">
        <v>16856</v>
      </c>
      <c r="AD937" t="s">
        <v>16857</v>
      </c>
      <c r="AE937" t="s">
        <v>16858</v>
      </c>
      <c r="AF937" t="s">
        <v>74</v>
      </c>
      <c r="AG937">
        <v>47</v>
      </c>
      <c r="AH937">
        <v>34</v>
      </c>
      <c r="AI937">
        <v>35</v>
      </c>
      <c r="AJ937">
        <v>0</v>
      </c>
      <c r="AK937">
        <v>13</v>
      </c>
      <c r="AL937" t="s">
        <v>3754</v>
      </c>
      <c r="AM937" t="s">
        <v>121</v>
      </c>
      <c r="AN937" t="s">
        <v>3755</v>
      </c>
      <c r="AO937" t="s">
        <v>3756</v>
      </c>
      <c r="AP937" t="s">
        <v>16859</v>
      </c>
      <c r="AQ937" t="s">
        <v>74</v>
      </c>
      <c r="AR937" t="s">
        <v>3757</v>
      </c>
      <c r="AS937" t="s">
        <v>3758</v>
      </c>
      <c r="AT937" t="s">
        <v>16860</v>
      </c>
      <c r="AU937">
        <v>2011</v>
      </c>
      <c r="AV937">
        <v>108</v>
      </c>
      <c r="AW937">
        <v>8</v>
      </c>
      <c r="AX937" t="s">
        <v>74</v>
      </c>
      <c r="AY937" t="s">
        <v>74</v>
      </c>
      <c r="AZ937" t="s">
        <v>74</v>
      </c>
      <c r="BA937" t="s">
        <v>74</v>
      </c>
      <c r="BB937">
        <v>3181</v>
      </c>
      <c r="BC937">
        <v>3186</v>
      </c>
      <c r="BD937" t="s">
        <v>74</v>
      </c>
      <c r="BE937" t="s">
        <v>16861</v>
      </c>
      <c r="BF937" t="str">
        <f>HYPERLINK("http://dx.doi.org/10.1073/pnas.1019432108","http://dx.doi.org/10.1073/pnas.1019432108")</f>
        <v>http://dx.doi.org/10.1073/pnas.1019432108</v>
      </c>
      <c r="BG937" t="s">
        <v>74</v>
      </c>
      <c r="BH937" t="s">
        <v>74</v>
      </c>
      <c r="BI937">
        <v>6</v>
      </c>
      <c r="BJ937" t="s">
        <v>177</v>
      </c>
      <c r="BK937" t="s">
        <v>100</v>
      </c>
      <c r="BL937" t="s">
        <v>178</v>
      </c>
      <c r="BM937" t="s">
        <v>16862</v>
      </c>
      <c r="BN937">
        <v>21300903</v>
      </c>
      <c r="BO937" t="s">
        <v>702</v>
      </c>
      <c r="BP937" t="s">
        <v>74</v>
      </c>
      <c r="BQ937" t="s">
        <v>74</v>
      </c>
      <c r="BR937" t="s">
        <v>103</v>
      </c>
      <c r="BS937" t="s">
        <v>16863</v>
      </c>
      <c r="BT937" t="str">
        <f>HYPERLINK("https%3A%2F%2Fwww.webofscience.com%2Fwos%2Fwoscc%2Ffull-record%2FWOS:000287580400024","View Full Record in Web of Science")</f>
        <v>View Full Record in Web of Science</v>
      </c>
    </row>
    <row r="938" spans="1:72" x14ac:dyDescent="0.15">
      <c r="A938" t="s">
        <v>72</v>
      </c>
      <c r="B938" t="s">
        <v>16864</v>
      </c>
      <c r="C938" t="s">
        <v>74</v>
      </c>
      <c r="D938" t="s">
        <v>74</v>
      </c>
      <c r="E938" t="s">
        <v>74</v>
      </c>
      <c r="F938" t="s">
        <v>16865</v>
      </c>
      <c r="G938" t="s">
        <v>74</v>
      </c>
      <c r="H938" t="s">
        <v>74</v>
      </c>
      <c r="I938" t="s">
        <v>16866</v>
      </c>
      <c r="J938" t="s">
        <v>6634</v>
      </c>
      <c r="K938" t="s">
        <v>74</v>
      </c>
      <c r="L938" t="s">
        <v>74</v>
      </c>
      <c r="M938" t="s">
        <v>78</v>
      </c>
      <c r="N938" t="s">
        <v>7194</v>
      </c>
      <c r="O938" t="s">
        <v>74</v>
      </c>
      <c r="P938" t="s">
        <v>74</v>
      </c>
      <c r="Q938" t="s">
        <v>74</v>
      </c>
      <c r="R938" t="s">
        <v>74</v>
      </c>
      <c r="S938" t="s">
        <v>74</v>
      </c>
      <c r="T938" t="s">
        <v>74</v>
      </c>
      <c r="U938" t="s">
        <v>16867</v>
      </c>
      <c r="V938" t="s">
        <v>74</v>
      </c>
      <c r="W938" t="s">
        <v>16868</v>
      </c>
      <c r="X938" t="s">
        <v>16869</v>
      </c>
      <c r="Y938" t="s">
        <v>6637</v>
      </c>
      <c r="Z938" t="s">
        <v>2017</v>
      </c>
      <c r="AA938" t="s">
        <v>16870</v>
      </c>
      <c r="AB938" t="s">
        <v>16871</v>
      </c>
      <c r="AC938" t="s">
        <v>6638</v>
      </c>
      <c r="AD938" t="s">
        <v>2067</v>
      </c>
      <c r="AE938" t="s">
        <v>74</v>
      </c>
      <c r="AF938" t="s">
        <v>74</v>
      </c>
      <c r="AG938">
        <v>8</v>
      </c>
      <c r="AH938">
        <v>15</v>
      </c>
      <c r="AI938">
        <v>15</v>
      </c>
      <c r="AJ938">
        <v>0</v>
      </c>
      <c r="AK938">
        <v>13</v>
      </c>
      <c r="AL938" t="s">
        <v>6639</v>
      </c>
      <c r="AM938" t="s">
        <v>1778</v>
      </c>
      <c r="AN938" t="s">
        <v>16872</v>
      </c>
      <c r="AO938" t="s">
        <v>6641</v>
      </c>
      <c r="AP938" t="s">
        <v>16873</v>
      </c>
      <c r="AQ938" t="s">
        <v>74</v>
      </c>
      <c r="AR938" t="s">
        <v>6642</v>
      </c>
      <c r="AS938" t="s">
        <v>6643</v>
      </c>
      <c r="AT938" t="s">
        <v>16860</v>
      </c>
      <c r="AU938">
        <v>2011</v>
      </c>
      <c r="AV938">
        <v>21</v>
      </c>
      <c r="AW938">
        <v>4</v>
      </c>
      <c r="AX938" t="s">
        <v>74</v>
      </c>
      <c r="AY938" t="s">
        <v>74</v>
      </c>
      <c r="AZ938" t="s">
        <v>74</v>
      </c>
      <c r="BA938" t="s">
        <v>74</v>
      </c>
      <c r="BB938" t="s">
        <v>16874</v>
      </c>
      <c r="BC938" t="s">
        <v>16875</v>
      </c>
      <c r="BD938" t="s">
        <v>74</v>
      </c>
      <c r="BE938" t="s">
        <v>16876</v>
      </c>
      <c r="BF938" t="str">
        <f>HYPERLINK("http://dx.doi.org/10.1016/j.cub.2011.01.033","http://dx.doi.org/10.1016/j.cub.2011.01.033")</f>
        <v>http://dx.doi.org/10.1016/j.cub.2011.01.033</v>
      </c>
      <c r="BG938" t="s">
        <v>74</v>
      </c>
      <c r="BH938" t="s">
        <v>74</v>
      </c>
      <c r="BI938">
        <v>2</v>
      </c>
      <c r="BJ938" t="s">
        <v>6647</v>
      </c>
      <c r="BK938" t="s">
        <v>100</v>
      </c>
      <c r="BL938" t="s">
        <v>6648</v>
      </c>
      <c r="BM938" t="s">
        <v>16877</v>
      </c>
      <c r="BN938">
        <v>21334291</v>
      </c>
      <c r="BO938" t="s">
        <v>1284</v>
      </c>
      <c r="BP938" t="s">
        <v>74</v>
      </c>
      <c r="BQ938" t="s">
        <v>74</v>
      </c>
      <c r="BR938" t="s">
        <v>103</v>
      </c>
      <c r="BS938" t="s">
        <v>16878</v>
      </c>
      <c r="BT938" t="str">
        <f>HYPERLINK("https%3A%2F%2Fwww.webofscience.com%2Fwos%2Fwoscc%2Ffull-record%2FWOS:000287767600006","View Full Record in Web of Science")</f>
        <v>View Full Record in Web of Science</v>
      </c>
    </row>
    <row r="939" spans="1:72" x14ac:dyDescent="0.15">
      <c r="A939" t="s">
        <v>72</v>
      </c>
      <c r="B939" t="s">
        <v>16879</v>
      </c>
      <c r="C939" t="s">
        <v>74</v>
      </c>
      <c r="D939" t="s">
        <v>74</v>
      </c>
      <c r="E939" t="s">
        <v>74</v>
      </c>
      <c r="F939" t="s">
        <v>16880</v>
      </c>
      <c r="G939" t="s">
        <v>74</v>
      </c>
      <c r="H939" t="s">
        <v>74</v>
      </c>
      <c r="I939" t="s">
        <v>16881</v>
      </c>
      <c r="J939" t="s">
        <v>230</v>
      </c>
      <c r="K939" t="s">
        <v>74</v>
      </c>
      <c r="L939" t="s">
        <v>74</v>
      </c>
      <c r="M939" t="s">
        <v>78</v>
      </c>
      <c r="N939" t="s">
        <v>79</v>
      </c>
      <c r="O939" t="s">
        <v>74</v>
      </c>
      <c r="P939" t="s">
        <v>74</v>
      </c>
      <c r="Q939" t="s">
        <v>74</v>
      </c>
      <c r="R939" t="s">
        <v>74</v>
      </c>
      <c r="S939" t="s">
        <v>74</v>
      </c>
      <c r="T939" t="s">
        <v>74</v>
      </c>
      <c r="U939" t="s">
        <v>16882</v>
      </c>
      <c r="V939" t="s">
        <v>16883</v>
      </c>
      <c r="W939" t="s">
        <v>16884</v>
      </c>
      <c r="X939" t="s">
        <v>16885</v>
      </c>
      <c r="Y939" t="s">
        <v>16886</v>
      </c>
      <c r="Z939" t="s">
        <v>16887</v>
      </c>
      <c r="AA939" t="s">
        <v>16888</v>
      </c>
      <c r="AB939" t="s">
        <v>16889</v>
      </c>
      <c r="AC939" t="s">
        <v>16890</v>
      </c>
      <c r="AD939" t="s">
        <v>16891</v>
      </c>
      <c r="AE939" t="s">
        <v>16892</v>
      </c>
      <c r="AF939" t="s">
        <v>74</v>
      </c>
      <c r="AG939">
        <v>57</v>
      </c>
      <c r="AH939">
        <v>43</v>
      </c>
      <c r="AI939">
        <v>46</v>
      </c>
      <c r="AJ939">
        <v>0</v>
      </c>
      <c r="AK939">
        <v>14</v>
      </c>
      <c r="AL939" t="s">
        <v>120</v>
      </c>
      <c r="AM939" t="s">
        <v>121</v>
      </c>
      <c r="AN939" t="s">
        <v>122</v>
      </c>
      <c r="AO939" t="s">
        <v>242</v>
      </c>
      <c r="AP939" t="s">
        <v>243</v>
      </c>
      <c r="AQ939" t="s">
        <v>74</v>
      </c>
      <c r="AR939" t="s">
        <v>244</v>
      </c>
      <c r="AS939" t="s">
        <v>245</v>
      </c>
      <c r="AT939" t="s">
        <v>16860</v>
      </c>
      <c r="AU939">
        <v>2011</v>
      </c>
      <c r="AV939">
        <v>116</v>
      </c>
      <c r="AW939" t="s">
        <v>74</v>
      </c>
      <c r="AX939" t="s">
        <v>74</v>
      </c>
      <c r="AY939" t="s">
        <v>74</v>
      </c>
      <c r="AZ939" t="s">
        <v>74</v>
      </c>
      <c r="BA939" t="s">
        <v>74</v>
      </c>
      <c r="BB939" t="s">
        <v>74</v>
      </c>
      <c r="BC939" t="s">
        <v>74</v>
      </c>
      <c r="BD939" t="s">
        <v>16893</v>
      </c>
      <c r="BE939" t="s">
        <v>16894</v>
      </c>
      <c r="BF939" t="str">
        <f>HYPERLINK("http://dx.doi.org/10.1029/2010JD013889","http://dx.doi.org/10.1029/2010JD013889")</f>
        <v>http://dx.doi.org/10.1029/2010JD013889</v>
      </c>
      <c r="BG939" t="s">
        <v>74</v>
      </c>
      <c r="BH939" t="s">
        <v>74</v>
      </c>
      <c r="BI939">
        <v>18</v>
      </c>
      <c r="BJ939" t="s">
        <v>248</v>
      </c>
      <c r="BK939" t="s">
        <v>100</v>
      </c>
      <c r="BL939" t="s">
        <v>248</v>
      </c>
      <c r="BM939" t="s">
        <v>16895</v>
      </c>
      <c r="BN939" t="s">
        <v>74</v>
      </c>
      <c r="BO939" t="s">
        <v>74</v>
      </c>
      <c r="BP939" t="s">
        <v>74</v>
      </c>
      <c r="BQ939" t="s">
        <v>74</v>
      </c>
      <c r="BR939" t="s">
        <v>103</v>
      </c>
      <c r="BS939" t="s">
        <v>16896</v>
      </c>
      <c r="BT939" t="str">
        <f>HYPERLINK("https%3A%2F%2Fwww.webofscience.com%2Fwos%2Fwoscc%2Ffull-record%2FWOS:000287808700001","View Full Record in Web of Science")</f>
        <v>View Full Record in Web of Science</v>
      </c>
    </row>
    <row r="940" spans="1:72" x14ac:dyDescent="0.15">
      <c r="A940" t="s">
        <v>72</v>
      </c>
      <c r="B940" t="s">
        <v>16897</v>
      </c>
      <c r="C940" t="s">
        <v>74</v>
      </c>
      <c r="D940" t="s">
        <v>74</v>
      </c>
      <c r="E940" t="s">
        <v>74</v>
      </c>
      <c r="F940" t="s">
        <v>16898</v>
      </c>
      <c r="G940" t="s">
        <v>74</v>
      </c>
      <c r="H940" t="s">
        <v>74</v>
      </c>
      <c r="I940" t="s">
        <v>16899</v>
      </c>
      <c r="J940" t="s">
        <v>16810</v>
      </c>
      <c r="K940" t="s">
        <v>74</v>
      </c>
      <c r="L940" t="s">
        <v>74</v>
      </c>
      <c r="M940" t="s">
        <v>78</v>
      </c>
      <c r="N940" t="s">
        <v>79</v>
      </c>
      <c r="O940" t="s">
        <v>74</v>
      </c>
      <c r="P940" t="s">
        <v>74</v>
      </c>
      <c r="Q940" t="s">
        <v>74</v>
      </c>
      <c r="R940" t="s">
        <v>74</v>
      </c>
      <c r="S940" t="s">
        <v>74</v>
      </c>
      <c r="T940" t="s">
        <v>16900</v>
      </c>
      <c r="U940" t="s">
        <v>16901</v>
      </c>
      <c r="V940" t="s">
        <v>16902</v>
      </c>
      <c r="W940" t="s">
        <v>16903</v>
      </c>
      <c r="X940" t="s">
        <v>16904</v>
      </c>
      <c r="Y940" t="s">
        <v>16905</v>
      </c>
      <c r="Z940" t="s">
        <v>16906</v>
      </c>
      <c r="AA940" t="s">
        <v>16907</v>
      </c>
      <c r="AB940" t="s">
        <v>16908</v>
      </c>
      <c r="AC940" t="s">
        <v>74</v>
      </c>
      <c r="AD940" t="s">
        <v>74</v>
      </c>
      <c r="AE940" t="s">
        <v>74</v>
      </c>
      <c r="AF940" t="s">
        <v>74</v>
      </c>
      <c r="AG940">
        <v>109</v>
      </c>
      <c r="AH940">
        <v>45</v>
      </c>
      <c r="AI940">
        <v>48</v>
      </c>
      <c r="AJ940">
        <v>1</v>
      </c>
      <c r="AK940">
        <v>17</v>
      </c>
      <c r="AL940" t="s">
        <v>120</v>
      </c>
      <c r="AM940" t="s">
        <v>121</v>
      </c>
      <c r="AN940" t="s">
        <v>122</v>
      </c>
      <c r="AO940" t="s">
        <v>74</v>
      </c>
      <c r="AP940" t="s">
        <v>16821</v>
      </c>
      <c r="AQ940" t="s">
        <v>74</v>
      </c>
      <c r="AR940" t="s">
        <v>16822</v>
      </c>
      <c r="AS940" t="s">
        <v>16823</v>
      </c>
      <c r="AT940" t="s">
        <v>16909</v>
      </c>
      <c r="AU940">
        <v>2011</v>
      </c>
      <c r="AV940">
        <v>12</v>
      </c>
      <c r="AW940" t="s">
        <v>74</v>
      </c>
      <c r="AX940" t="s">
        <v>74</v>
      </c>
      <c r="AY940" t="s">
        <v>74</v>
      </c>
      <c r="AZ940" t="s">
        <v>74</v>
      </c>
      <c r="BA940" t="s">
        <v>74</v>
      </c>
      <c r="BB940" t="s">
        <v>74</v>
      </c>
      <c r="BC940" t="s">
        <v>74</v>
      </c>
      <c r="BD940" t="s">
        <v>16910</v>
      </c>
      <c r="BE940" t="s">
        <v>16911</v>
      </c>
      <c r="BF940" t="str">
        <f>HYPERLINK("http://dx.doi.org/10.1029/2010GC003306","http://dx.doi.org/10.1029/2010GC003306")</f>
        <v>http://dx.doi.org/10.1029/2010GC003306</v>
      </c>
      <c r="BG940" t="s">
        <v>74</v>
      </c>
      <c r="BH940" t="s">
        <v>74</v>
      </c>
      <c r="BI940">
        <v>29</v>
      </c>
      <c r="BJ940" t="s">
        <v>488</v>
      </c>
      <c r="BK940" t="s">
        <v>100</v>
      </c>
      <c r="BL940" t="s">
        <v>488</v>
      </c>
      <c r="BM940" t="s">
        <v>16912</v>
      </c>
      <c r="BN940" t="s">
        <v>74</v>
      </c>
      <c r="BO940" t="s">
        <v>152</v>
      </c>
      <c r="BP940" t="s">
        <v>74</v>
      </c>
      <c r="BQ940" t="s">
        <v>74</v>
      </c>
      <c r="BR940" t="s">
        <v>103</v>
      </c>
      <c r="BS940" t="s">
        <v>16913</v>
      </c>
      <c r="BT940" t="str">
        <f>HYPERLINK("https%3A%2F%2Fwww.webofscience.com%2Fwos%2Fwoscc%2Ffull-record%2FWOS:000287519900001","View Full Record in Web of Science")</f>
        <v>View Full Record in Web of Science</v>
      </c>
    </row>
    <row r="941" spans="1:72" x14ac:dyDescent="0.15">
      <c r="A941" t="s">
        <v>72</v>
      </c>
      <c r="B941" t="s">
        <v>16914</v>
      </c>
      <c r="C941" t="s">
        <v>74</v>
      </c>
      <c r="D941" t="s">
        <v>74</v>
      </c>
      <c r="E941" t="s">
        <v>74</v>
      </c>
      <c r="F941" t="s">
        <v>16915</v>
      </c>
      <c r="G941" t="s">
        <v>74</v>
      </c>
      <c r="H941" t="s">
        <v>74</v>
      </c>
      <c r="I941" t="s">
        <v>16916</v>
      </c>
      <c r="J941" t="s">
        <v>521</v>
      </c>
      <c r="K941" t="s">
        <v>74</v>
      </c>
      <c r="L941" t="s">
        <v>74</v>
      </c>
      <c r="M941" t="s">
        <v>78</v>
      </c>
      <c r="N941" t="s">
        <v>79</v>
      </c>
      <c r="O941" t="s">
        <v>74</v>
      </c>
      <c r="P941" t="s">
        <v>74</v>
      </c>
      <c r="Q941" t="s">
        <v>74</v>
      </c>
      <c r="R941" t="s">
        <v>74</v>
      </c>
      <c r="S941" t="s">
        <v>74</v>
      </c>
      <c r="T941" t="s">
        <v>74</v>
      </c>
      <c r="U941" t="s">
        <v>16917</v>
      </c>
      <c r="V941" t="s">
        <v>16918</v>
      </c>
      <c r="W941" t="s">
        <v>16919</v>
      </c>
      <c r="X941" t="s">
        <v>16920</v>
      </c>
      <c r="Y941" t="s">
        <v>16921</v>
      </c>
      <c r="Z941" t="s">
        <v>16922</v>
      </c>
      <c r="AA941" t="s">
        <v>16923</v>
      </c>
      <c r="AB941" t="s">
        <v>16924</v>
      </c>
      <c r="AC941" t="s">
        <v>16925</v>
      </c>
      <c r="AD941" t="s">
        <v>16926</v>
      </c>
      <c r="AE941" t="s">
        <v>16927</v>
      </c>
      <c r="AF941" t="s">
        <v>74</v>
      </c>
      <c r="AG941">
        <v>74</v>
      </c>
      <c r="AH941">
        <v>33</v>
      </c>
      <c r="AI941">
        <v>39</v>
      </c>
      <c r="AJ941">
        <v>0</v>
      </c>
      <c r="AK941">
        <v>58</v>
      </c>
      <c r="AL941" t="s">
        <v>120</v>
      </c>
      <c r="AM941" t="s">
        <v>121</v>
      </c>
      <c r="AN941" t="s">
        <v>122</v>
      </c>
      <c r="AO941" t="s">
        <v>531</v>
      </c>
      <c r="AP941" t="s">
        <v>571</v>
      </c>
      <c r="AQ941" t="s">
        <v>74</v>
      </c>
      <c r="AR941" t="s">
        <v>521</v>
      </c>
      <c r="AS941" t="s">
        <v>532</v>
      </c>
      <c r="AT941" t="s">
        <v>16909</v>
      </c>
      <c r="AU941">
        <v>2011</v>
      </c>
      <c r="AV941">
        <v>26</v>
      </c>
      <c r="AW941" t="s">
        <v>74</v>
      </c>
      <c r="AX941" t="s">
        <v>74</v>
      </c>
      <c r="AY941" t="s">
        <v>74</v>
      </c>
      <c r="AZ941" t="s">
        <v>74</v>
      </c>
      <c r="BA941" t="s">
        <v>74</v>
      </c>
      <c r="BB941" t="s">
        <v>74</v>
      </c>
      <c r="BC941" t="s">
        <v>74</v>
      </c>
      <c r="BD941" t="s">
        <v>16928</v>
      </c>
      <c r="BE941" t="s">
        <v>16929</v>
      </c>
      <c r="BF941" t="str">
        <f>HYPERLINK("http://dx.doi.org/10.1029/2010PA002008","http://dx.doi.org/10.1029/2010PA002008")</f>
        <v>http://dx.doi.org/10.1029/2010PA002008</v>
      </c>
      <c r="BG941" t="s">
        <v>74</v>
      </c>
      <c r="BH941" t="s">
        <v>74</v>
      </c>
      <c r="BI941">
        <v>12</v>
      </c>
      <c r="BJ941" t="s">
        <v>535</v>
      </c>
      <c r="BK941" t="s">
        <v>100</v>
      </c>
      <c r="BL941" t="s">
        <v>536</v>
      </c>
      <c r="BM941" t="s">
        <v>16930</v>
      </c>
      <c r="BN941" t="s">
        <v>74</v>
      </c>
      <c r="BO941" t="s">
        <v>152</v>
      </c>
      <c r="BP941" t="s">
        <v>74</v>
      </c>
      <c r="BQ941" t="s">
        <v>74</v>
      </c>
      <c r="BR941" t="s">
        <v>103</v>
      </c>
      <c r="BS941" t="s">
        <v>16931</v>
      </c>
      <c r="BT941" t="str">
        <f>HYPERLINK("https%3A%2F%2Fwww.webofscience.com%2Fwos%2Fwoscc%2Ffull-record%2FWOS:000287535700001","View Full Record in Web of Science")</f>
        <v>View Full Record in Web of Science</v>
      </c>
    </row>
    <row r="942" spans="1:72" x14ac:dyDescent="0.15">
      <c r="A942" t="s">
        <v>72</v>
      </c>
      <c r="B942" t="s">
        <v>16932</v>
      </c>
      <c r="C942" t="s">
        <v>74</v>
      </c>
      <c r="D942" t="s">
        <v>74</v>
      </c>
      <c r="E942" t="s">
        <v>74</v>
      </c>
      <c r="F942" t="s">
        <v>16933</v>
      </c>
      <c r="G942" t="s">
        <v>74</v>
      </c>
      <c r="H942" t="s">
        <v>74</v>
      </c>
      <c r="I942" t="s">
        <v>16934</v>
      </c>
      <c r="J942" t="s">
        <v>254</v>
      </c>
      <c r="K942" t="s">
        <v>74</v>
      </c>
      <c r="L942" t="s">
        <v>74</v>
      </c>
      <c r="M942" t="s">
        <v>78</v>
      </c>
      <c r="N942" t="s">
        <v>79</v>
      </c>
      <c r="O942" t="s">
        <v>74</v>
      </c>
      <c r="P942" t="s">
        <v>74</v>
      </c>
      <c r="Q942" t="s">
        <v>74</v>
      </c>
      <c r="R942" t="s">
        <v>74</v>
      </c>
      <c r="S942" t="s">
        <v>74</v>
      </c>
      <c r="T942" t="s">
        <v>74</v>
      </c>
      <c r="U942" t="s">
        <v>16935</v>
      </c>
      <c r="V942" t="s">
        <v>16936</v>
      </c>
      <c r="W942" t="s">
        <v>16937</v>
      </c>
      <c r="X942" t="s">
        <v>16938</v>
      </c>
      <c r="Y942" t="s">
        <v>16939</v>
      </c>
      <c r="Z942" t="s">
        <v>16940</v>
      </c>
      <c r="AA942" t="s">
        <v>16941</v>
      </c>
      <c r="AB942" t="s">
        <v>16942</v>
      </c>
      <c r="AC942" t="s">
        <v>16943</v>
      </c>
      <c r="AD942" t="s">
        <v>16944</v>
      </c>
      <c r="AE942" t="s">
        <v>16945</v>
      </c>
      <c r="AF942" t="s">
        <v>74</v>
      </c>
      <c r="AG942">
        <v>45</v>
      </c>
      <c r="AH942">
        <v>22</v>
      </c>
      <c r="AI942">
        <v>22</v>
      </c>
      <c r="AJ942">
        <v>1</v>
      </c>
      <c r="AK942">
        <v>12</v>
      </c>
      <c r="AL942" t="s">
        <v>120</v>
      </c>
      <c r="AM942" t="s">
        <v>121</v>
      </c>
      <c r="AN942" t="s">
        <v>122</v>
      </c>
      <c r="AO942" t="s">
        <v>265</v>
      </c>
      <c r="AP942" t="s">
        <v>266</v>
      </c>
      <c r="AQ942" t="s">
        <v>74</v>
      </c>
      <c r="AR942" t="s">
        <v>267</v>
      </c>
      <c r="AS942" t="s">
        <v>268</v>
      </c>
      <c r="AT942" t="s">
        <v>16946</v>
      </c>
      <c r="AU942">
        <v>2011</v>
      </c>
      <c r="AV942">
        <v>116</v>
      </c>
      <c r="AW942" t="s">
        <v>74</v>
      </c>
      <c r="AX942" t="s">
        <v>74</v>
      </c>
      <c r="AY942" t="s">
        <v>74</v>
      </c>
      <c r="AZ942" t="s">
        <v>74</v>
      </c>
      <c r="BA942" t="s">
        <v>74</v>
      </c>
      <c r="BB942" t="s">
        <v>74</v>
      </c>
      <c r="BC942" t="s">
        <v>74</v>
      </c>
      <c r="BD942" t="s">
        <v>16947</v>
      </c>
      <c r="BE942" t="s">
        <v>16948</v>
      </c>
      <c r="BF942" t="str">
        <f>HYPERLINK("http://dx.doi.org/10.1029/2010JC006587","http://dx.doi.org/10.1029/2010JC006587")</f>
        <v>http://dx.doi.org/10.1029/2010JC006587</v>
      </c>
      <c r="BG942" t="s">
        <v>74</v>
      </c>
      <c r="BH942" t="s">
        <v>74</v>
      </c>
      <c r="BI942">
        <v>14</v>
      </c>
      <c r="BJ942" t="s">
        <v>271</v>
      </c>
      <c r="BK942" t="s">
        <v>100</v>
      </c>
      <c r="BL942" t="s">
        <v>271</v>
      </c>
      <c r="BM942" t="s">
        <v>16949</v>
      </c>
      <c r="BN942" t="s">
        <v>74</v>
      </c>
      <c r="BO942" t="s">
        <v>368</v>
      </c>
      <c r="BP942" t="s">
        <v>74</v>
      </c>
      <c r="BQ942" t="s">
        <v>74</v>
      </c>
      <c r="BR942" t="s">
        <v>103</v>
      </c>
      <c r="BS942" t="s">
        <v>16950</v>
      </c>
      <c r="BT942" t="str">
        <f>HYPERLINK("https%3A%2F%2Fwww.webofscience.com%2Fwos%2Fwoscc%2Ffull-record%2FWOS:000287523000003","View Full Record in Web of Science")</f>
        <v>View Full Record in Web of Science</v>
      </c>
    </row>
    <row r="943" spans="1:72" x14ac:dyDescent="0.15">
      <c r="A943" t="s">
        <v>72</v>
      </c>
      <c r="B943" t="s">
        <v>16951</v>
      </c>
      <c r="C943" t="s">
        <v>74</v>
      </c>
      <c r="D943" t="s">
        <v>74</v>
      </c>
      <c r="E943" t="s">
        <v>74</v>
      </c>
      <c r="F943" t="s">
        <v>16952</v>
      </c>
      <c r="G943" t="s">
        <v>74</v>
      </c>
      <c r="H943" t="s">
        <v>74</v>
      </c>
      <c r="I943" t="s">
        <v>16953</v>
      </c>
      <c r="J943" t="s">
        <v>108</v>
      </c>
      <c r="K943" t="s">
        <v>74</v>
      </c>
      <c r="L943" t="s">
        <v>74</v>
      </c>
      <c r="M943" t="s">
        <v>78</v>
      </c>
      <c r="N943" t="s">
        <v>79</v>
      </c>
      <c r="O943" t="s">
        <v>74</v>
      </c>
      <c r="P943" t="s">
        <v>74</v>
      </c>
      <c r="Q943" t="s">
        <v>74</v>
      </c>
      <c r="R943" t="s">
        <v>74</v>
      </c>
      <c r="S943" t="s">
        <v>74</v>
      </c>
      <c r="T943" t="s">
        <v>74</v>
      </c>
      <c r="U943" t="s">
        <v>16954</v>
      </c>
      <c r="V943" t="s">
        <v>16955</v>
      </c>
      <c r="W943" t="s">
        <v>16956</v>
      </c>
      <c r="X943" t="s">
        <v>2015</v>
      </c>
      <c r="Y943" t="s">
        <v>16957</v>
      </c>
      <c r="Z943" t="s">
        <v>14982</v>
      </c>
      <c r="AA943" t="s">
        <v>16958</v>
      </c>
      <c r="AB943" t="s">
        <v>16959</v>
      </c>
      <c r="AC943" t="s">
        <v>16960</v>
      </c>
      <c r="AD943" t="s">
        <v>16961</v>
      </c>
      <c r="AE943" t="s">
        <v>16962</v>
      </c>
      <c r="AF943" t="s">
        <v>74</v>
      </c>
      <c r="AG943">
        <v>39</v>
      </c>
      <c r="AH943">
        <v>9</v>
      </c>
      <c r="AI943">
        <v>11</v>
      </c>
      <c r="AJ943">
        <v>1</v>
      </c>
      <c r="AK943">
        <v>15</v>
      </c>
      <c r="AL943" t="s">
        <v>120</v>
      </c>
      <c r="AM943" t="s">
        <v>121</v>
      </c>
      <c r="AN943" t="s">
        <v>122</v>
      </c>
      <c r="AO943" t="s">
        <v>123</v>
      </c>
      <c r="AP943" t="s">
        <v>124</v>
      </c>
      <c r="AQ943" t="s">
        <v>74</v>
      </c>
      <c r="AR943" t="s">
        <v>125</v>
      </c>
      <c r="AS943" t="s">
        <v>126</v>
      </c>
      <c r="AT943" t="s">
        <v>16946</v>
      </c>
      <c r="AU943">
        <v>2011</v>
      </c>
      <c r="AV943">
        <v>38</v>
      </c>
      <c r="AW943" t="s">
        <v>74</v>
      </c>
      <c r="AX943" t="s">
        <v>74</v>
      </c>
      <c r="AY943" t="s">
        <v>74</v>
      </c>
      <c r="AZ943" t="s">
        <v>74</v>
      </c>
      <c r="BA943" t="s">
        <v>74</v>
      </c>
      <c r="BB943" t="s">
        <v>74</v>
      </c>
      <c r="BC943" t="s">
        <v>74</v>
      </c>
      <c r="BD943" t="s">
        <v>16963</v>
      </c>
      <c r="BE943" t="s">
        <v>16964</v>
      </c>
      <c r="BF943" t="str">
        <f>HYPERLINK("http://dx.doi.org/10.1029/2010GL046122","http://dx.doi.org/10.1029/2010GL046122")</f>
        <v>http://dx.doi.org/10.1029/2010GL046122</v>
      </c>
      <c r="BG943" t="s">
        <v>74</v>
      </c>
      <c r="BH943" t="s">
        <v>74</v>
      </c>
      <c r="BI943">
        <v>6</v>
      </c>
      <c r="BJ943" t="s">
        <v>130</v>
      </c>
      <c r="BK943" t="s">
        <v>100</v>
      </c>
      <c r="BL943" t="s">
        <v>131</v>
      </c>
      <c r="BM943" t="s">
        <v>16965</v>
      </c>
      <c r="BN943" t="s">
        <v>74</v>
      </c>
      <c r="BO943" t="s">
        <v>393</v>
      </c>
      <c r="BP943" t="s">
        <v>74</v>
      </c>
      <c r="BQ943" t="s">
        <v>74</v>
      </c>
      <c r="BR943" t="s">
        <v>103</v>
      </c>
      <c r="BS943" t="s">
        <v>16966</v>
      </c>
      <c r="BT943" t="str">
        <f>HYPERLINK("https%3A%2F%2Fwww.webofscience.com%2Fwos%2Fwoscc%2Ffull-record%2FWOS:000287521700005","View Full Record in Web of Science")</f>
        <v>View Full Record in Web of Science</v>
      </c>
    </row>
    <row r="944" spans="1:72" x14ac:dyDescent="0.15">
      <c r="A944" t="s">
        <v>72</v>
      </c>
      <c r="B944" t="s">
        <v>16967</v>
      </c>
      <c r="C944" t="s">
        <v>74</v>
      </c>
      <c r="D944" t="s">
        <v>74</v>
      </c>
      <c r="E944" t="s">
        <v>74</v>
      </c>
      <c r="F944" t="s">
        <v>16968</v>
      </c>
      <c r="G944" t="s">
        <v>74</v>
      </c>
      <c r="H944" t="s">
        <v>74</v>
      </c>
      <c r="I944" t="s">
        <v>16969</v>
      </c>
      <c r="J944" t="s">
        <v>5885</v>
      </c>
      <c r="K944" t="s">
        <v>74</v>
      </c>
      <c r="L944" t="s">
        <v>74</v>
      </c>
      <c r="M944" t="s">
        <v>78</v>
      </c>
      <c r="N944" t="s">
        <v>79</v>
      </c>
      <c r="O944" t="s">
        <v>74</v>
      </c>
      <c r="P944" t="s">
        <v>74</v>
      </c>
      <c r="Q944" t="s">
        <v>74</v>
      </c>
      <c r="R944" t="s">
        <v>74</v>
      </c>
      <c r="S944" t="s">
        <v>74</v>
      </c>
      <c r="T944" t="s">
        <v>16970</v>
      </c>
      <c r="U944" t="s">
        <v>16971</v>
      </c>
      <c r="V944" t="s">
        <v>16972</v>
      </c>
      <c r="W944" t="s">
        <v>16973</v>
      </c>
      <c r="X944" t="s">
        <v>16974</v>
      </c>
      <c r="Y944" t="s">
        <v>16975</v>
      </c>
      <c r="Z944" t="s">
        <v>16976</v>
      </c>
      <c r="AA944" t="s">
        <v>16977</v>
      </c>
      <c r="AB944" t="s">
        <v>16978</v>
      </c>
      <c r="AC944" t="s">
        <v>16979</v>
      </c>
      <c r="AD944" t="s">
        <v>16980</v>
      </c>
      <c r="AE944" t="s">
        <v>16981</v>
      </c>
      <c r="AF944" t="s">
        <v>74</v>
      </c>
      <c r="AG944">
        <v>117</v>
      </c>
      <c r="AH944">
        <v>30</v>
      </c>
      <c r="AI944">
        <v>35</v>
      </c>
      <c r="AJ944">
        <v>1</v>
      </c>
      <c r="AK944">
        <v>25</v>
      </c>
      <c r="AL944" t="s">
        <v>308</v>
      </c>
      <c r="AM944" t="s">
        <v>309</v>
      </c>
      <c r="AN944" t="s">
        <v>310</v>
      </c>
      <c r="AO944" t="s">
        <v>5895</v>
      </c>
      <c r="AP944" t="s">
        <v>5896</v>
      </c>
      <c r="AQ944" t="s">
        <v>74</v>
      </c>
      <c r="AR944" t="s">
        <v>5897</v>
      </c>
      <c r="AS944" t="s">
        <v>5898</v>
      </c>
      <c r="AT944" t="s">
        <v>16982</v>
      </c>
      <c r="AU944">
        <v>2011</v>
      </c>
      <c r="AV944">
        <v>301</v>
      </c>
      <c r="AW944" t="s">
        <v>3418</v>
      </c>
      <c r="AX944" t="s">
        <v>74</v>
      </c>
      <c r="AY944" t="s">
        <v>74</v>
      </c>
      <c r="AZ944" t="s">
        <v>74</v>
      </c>
      <c r="BA944" t="s">
        <v>74</v>
      </c>
      <c r="BB944">
        <v>75</v>
      </c>
      <c r="BC944">
        <v>85</v>
      </c>
      <c r="BD944" t="s">
        <v>74</v>
      </c>
      <c r="BE944" t="s">
        <v>16983</v>
      </c>
      <c r="BF944" t="str">
        <f>HYPERLINK("http://dx.doi.org/10.1016/j.palaeo.2010.12.027","http://dx.doi.org/10.1016/j.palaeo.2010.12.027")</f>
        <v>http://dx.doi.org/10.1016/j.palaeo.2010.12.027</v>
      </c>
      <c r="BG944" t="s">
        <v>74</v>
      </c>
      <c r="BH944" t="s">
        <v>74</v>
      </c>
      <c r="BI944">
        <v>11</v>
      </c>
      <c r="BJ944" t="s">
        <v>5900</v>
      </c>
      <c r="BK944" t="s">
        <v>100</v>
      </c>
      <c r="BL944" t="s">
        <v>5901</v>
      </c>
      <c r="BM944" t="s">
        <v>16984</v>
      </c>
      <c r="BN944" t="s">
        <v>74</v>
      </c>
      <c r="BO944" t="s">
        <v>74</v>
      </c>
      <c r="BP944" t="s">
        <v>74</v>
      </c>
      <c r="BQ944" t="s">
        <v>74</v>
      </c>
      <c r="BR944" t="s">
        <v>103</v>
      </c>
      <c r="BS944" t="s">
        <v>16985</v>
      </c>
      <c r="BT944" t="str">
        <f>HYPERLINK("https%3A%2F%2Fwww.webofscience.com%2Fwos%2Fwoscc%2Ffull-record%2FWOS:000288773500006","View Full Record in Web of Science")</f>
        <v>View Full Record in Web of Science</v>
      </c>
    </row>
    <row r="945" spans="1:72" x14ac:dyDescent="0.15">
      <c r="A945" t="s">
        <v>72</v>
      </c>
      <c r="B945" t="s">
        <v>16986</v>
      </c>
      <c r="C945" t="s">
        <v>74</v>
      </c>
      <c r="D945" t="s">
        <v>74</v>
      </c>
      <c r="E945" t="s">
        <v>74</v>
      </c>
      <c r="F945" t="s">
        <v>16987</v>
      </c>
      <c r="G945" t="s">
        <v>74</v>
      </c>
      <c r="H945" t="s">
        <v>74</v>
      </c>
      <c r="I945" t="s">
        <v>16988</v>
      </c>
      <c r="J945" t="s">
        <v>1263</v>
      </c>
      <c r="K945" t="s">
        <v>74</v>
      </c>
      <c r="L945" t="s">
        <v>74</v>
      </c>
      <c r="M945" t="s">
        <v>78</v>
      </c>
      <c r="N945" t="s">
        <v>79</v>
      </c>
      <c r="O945" t="s">
        <v>74</v>
      </c>
      <c r="P945" t="s">
        <v>74</v>
      </c>
      <c r="Q945" t="s">
        <v>74</v>
      </c>
      <c r="R945" t="s">
        <v>74</v>
      </c>
      <c r="S945" t="s">
        <v>74</v>
      </c>
      <c r="T945" t="s">
        <v>74</v>
      </c>
      <c r="U945" t="s">
        <v>16989</v>
      </c>
      <c r="V945" t="s">
        <v>16990</v>
      </c>
      <c r="W945" t="s">
        <v>16991</v>
      </c>
      <c r="X945" t="s">
        <v>16992</v>
      </c>
      <c r="Y945" t="s">
        <v>16993</v>
      </c>
      <c r="Z945" t="s">
        <v>16994</v>
      </c>
      <c r="AA945" t="s">
        <v>16995</v>
      </c>
      <c r="AB945" t="s">
        <v>16996</v>
      </c>
      <c r="AC945" t="s">
        <v>16997</v>
      </c>
      <c r="AD945" t="s">
        <v>16998</v>
      </c>
      <c r="AE945" t="s">
        <v>16999</v>
      </c>
      <c r="AF945" t="s">
        <v>74</v>
      </c>
      <c r="AG945">
        <v>33</v>
      </c>
      <c r="AH945">
        <v>23</v>
      </c>
      <c r="AI945">
        <v>25</v>
      </c>
      <c r="AJ945">
        <v>1</v>
      </c>
      <c r="AK945">
        <v>22</v>
      </c>
      <c r="AL945" t="s">
        <v>1275</v>
      </c>
      <c r="AM945" t="s">
        <v>1276</v>
      </c>
      <c r="AN945" t="s">
        <v>1277</v>
      </c>
      <c r="AO945" t="s">
        <v>1278</v>
      </c>
      <c r="AP945" t="s">
        <v>1279</v>
      </c>
      <c r="AQ945" t="s">
        <v>74</v>
      </c>
      <c r="AR945" t="s">
        <v>1280</v>
      </c>
      <c r="AS945" t="s">
        <v>1281</v>
      </c>
      <c r="AT945" t="s">
        <v>16982</v>
      </c>
      <c r="AU945">
        <v>2011</v>
      </c>
      <c r="AV945">
        <v>24</v>
      </c>
      <c r="AW945">
        <v>4</v>
      </c>
      <c r="AX945" t="s">
        <v>74</v>
      </c>
      <c r="AY945" t="s">
        <v>74</v>
      </c>
      <c r="AZ945" t="s">
        <v>74</v>
      </c>
      <c r="BA945" t="s">
        <v>74</v>
      </c>
      <c r="BB945">
        <v>1198</v>
      </c>
      <c r="BC945">
        <v>1211</v>
      </c>
      <c r="BD945" t="s">
        <v>74</v>
      </c>
      <c r="BE945" t="s">
        <v>17000</v>
      </c>
      <c r="BF945" t="str">
        <f>HYPERLINK("http://dx.doi.org/10.1175/2010JCLI3699.1","http://dx.doi.org/10.1175/2010JCLI3699.1")</f>
        <v>http://dx.doi.org/10.1175/2010JCLI3699.1</v>
      </c>
      <c r="BG945" t="s">
        <v>74</v>
      </c>
      <c r="BH945" t="s">
        <v>74</v>
      </c>
      <c r="BI945">
        <v>14</v>
      </c>
      <c r="BJ945" t="s">
        <v>248</v>
      </c>
      <c r="BK945" t="s">
        <v>100</v>
      </c>
      <c r="BL945" t="s">
        <v>248</v>
      </c>
      <c r="BM945" t="s">
        <v>17001</v>
      </c>
      <c r="BN945" t="s">
        <v>74</v>
      </c>
      <c r="BO945" t="s">
        <v>1284</v>
      </c>
      <c r="BP945" t="s">
        <v>74</v>
      </c>
      <c r="BQ945" t="s">
        <v>74</v>
      </c>
      <c r="BR945" t="s">
        <v>103</v>
      </c>
      <c r="BS945" t="s">
        <v>17002</v>
      </c>
      <c r="BT945" t="str">
        <f>HYPERLINK("https%3A%2F%2Fwww.webofscience.com%2Fwos%2Fwoscc%2Ffull-record%2FWOS:000288304700014","View Full Record in Web of Science")</f>
        <v>View Full Record in Web of Science</v>
      </c>
    </row>
    <row r="946" spans="1:72" x14ac:dyDescent="0.15">
      <c r="A946" t="s">
        <v>72</v>
      </c>
      <c r="B946" t="s">
        <v>17003</v>
      </c>
      <c r="C946" t="s">
        <v>74</v>
      </c>
      <c r="D946" t="s">
        <v>74</v>
      </c>
      <c r="E946" t="s">
        <v>74</v>
      </c>
      <c r="F946" t="s">
        <v>17004</v>
      </c>
      <c r="G946" t="s">
        <v>74</v>
      </c>
      <c r="H946" t="s">
        <v>74</v>
      </c>
      <c r="I946" t="s">
        <v>17005</v>
      </c>
      <c r="J946" t="s">
        <v>254</v>
      </c>
      <c r="K946" t="s">
        <v>74</v>
      </c>
      <c r="L946" t="s">
        <v>74</v>
      </c>
      <c r="M946" t="s">
        <v>78</v>
      </c>
      <c r="N946" t="s">
        <v>79</v>
      </c>
      <c r="O946" t="s">
        <v>74</v>
      </c>
      <c r="P946" t="s">
        <v>74</v>
      </c>
      <c r="Q946" t="s">
        <v>74</v>
      </c>
      <c r="R946" t="s">
        <v>74</v>
      </c>
      <c r="S946" t="s">
        <v>74</v>
      </c>
      <c r="T946" t="s">
        <v>74</v>
      </c>
      <c r="U946" t="s">
        <v>17006</v>
      </c>
      <c r="V946" t="s">
        <v>17007</v>
      </c>
      <c r="W946" t="s">
        <v>17008</v>
      </c>
      <c r="X946" t="s">
        <v>17009</v>
      </c>
      <c r="Y946" t="s">
        <v>17010</v>
      </c>
      <c r="Z946" t="s">
        <v>17011</v>
      </c>
      <c r="AA946" t="s">
        <v>17012</v>
      </c>
      <c r="AB946" t="s">
        <v>17013</v>
      </c>
      <c r="AC946" t="s">
        <v>17014</v>
      </c>
      <c r="AD946" t="s">
        <v>17015</v>
      </c>
      <c r="AE946" t="s">
        <v>17016</v>
      </c>
      <c r="AF946" t="s">
        <v>74</v>
      </c>
      <c r="AG946">
        <v>61</v>
      </c>
      <c r="AH946">
        <v>36</v>
      </c>
      <c r="AI946">
        <v>40</v>
      </c>
      <c r="AJ946">
        <v>1</v>
      </c>
      <c r="AK946">
        <v>37</v>
      </c>
      <c r="AL946" t="s">
        <v>120</v>
      </c>
      <c r="AM946" t="s">
        <v>121</v>
      </c>
      <c r="AN946" t="s">
        <v>122</v>
      </c>
      <c r="AO946" t="s">
        <v>265</v>
      </c>
      <c r="AP946" t="s">
        <v>266</v>
      </c>
      <c r="AQ946" t="s">
        <v>74</v>
      </c>
      <c r="AR946" t="s">
        <v>267</v>
      </c>
      <c r="AS946" t="s">
        <v>268</v>
      </c>
      <c r="AT946" t="s">
        <v>16982</v>
      </c>
      <c r="AU946">
        <v>2011</v>
      </c>
      <c r="AV946">
        <v>116</v>
      </c>
      <c r="AW946" t="s">
        <v>74</v>
      </c>
      <c r="AX946" t="s">
        <v>74</v>
      </c>
      <c r="AY946" t="s">
        <v>74</v>
      </c>
      <c r="AZ946" t="s">
        <v>74</v>
      </c>
      <c r="BA946" t="s">
        <v>74</v>
      </c>
      <c r="BB946" t="s">
        <v>74</v>
      </c>
      <c r="BC946" t="s">
        <v>74</v>
      </c>
      <c r="BD946" t="s">
        <v>17017</v>
      </c>
      <c r="BE946" t="s">
        <v>17018</v>
      </c>
      <c r="BF946" t="str">
        <f>HYPERLINK("http://dx.doi.org/10.1029/2010JC006601","http://dx.doi.org/10.1029/2010JC006601")</f>
        <v>http://dx.doi.org/10.1029/2010JC006601</v>
      </c>
      <c r="BG946" t="s">
        <v>74</v>
      </c>
      <c r="BH946" t="s">
        <v>74</v>
      </c>
      <c r="BI946">
        <v>16</v>
      </c>
      <c r="BJ946" t="s">
        <v>271</v>
      </c>
      <c r="BK946" t="s">
        <v>100</v>
      </c>
      <c r="BL946" t="s">
        <v>271</v>
      </c>
      <c r="BM946" t="s">
        <v>17019</v>
      </c>
      <c r="BN946" t="s">
        <v>74</v>
      </c>
      <c r="BO946" t="s">
        <v>152</v>
      </c>
      <c r="BP946" t="s">
        <v>74</v>
      </c>
      <c r="BQ946" t="s">
        <v>74</v>
      </c>
      <c r="BR946" t="s">
        <v>103</v>
      </c>
      <c r="BS946" t="s">
        <v>17020</v>
      </c>
      <c r="BT946" t="str">
        <f>HYPERLINK("https%3A%2F%2Fwww.webofscience.com%2Fwos%2Fwoscc%2Ffull-record%2FWOS:000287520800002","View Full Record in Web of Science")</f>
        <v>View Full Record in Web of Science</v>
      </c>
    </row>
    <row r="947" spans="1:72" x14ac:dyDescent="0.15">
      <c r="A947" t="s">
        <v>72</v>
      </c>
      <c r="B947" t="s">
        <v>17021</v>
      </c>
      <c r="C947" t="s">
        <v>74</v>
      </c>
      <c r="D947" t="s">
        <v>74</v>
      </c>
      <c r="E947" t="s">
        <v>74</v>
      </c>
      <c r="F947" t="s">
        <v>17022</v>
      </c>
      <c r="G947" t="s">
        <v>74</v>
      </c>
      <c r="H947" t="s">
        <v>74</v>
      </c>
      <c r="I947" t="s">
        <v>17023</v>
      </c>
      <c r="J947" t="s">
        <v>494</v>
      </c>
      <c r="K947" t="s">
        <v>74</v>
      </c>
      <c r="L947" t="s">
        <v>74</v>
      </c>
      <c r="M947" t="s">
        <v>78</v>
      </c>
      <c r="N947" t="s">
        <v>79</v>
      </c>
      <c r="O947" t="s">
        <v>74</v>
      </c>
      <c r="P947" t="s">
        <v>74</v>
      </c>
      <c r="Q947" t="s">
        <v>74</v>
      </c>
      <c r="R947" t="s">
        <v>74</v>
      </c>
      <c r="S947" t="s">
        <v>74</v>
      </c>
      <c r="T947" t="s">
        <v>17024</v>
      </c>
      <c r="U947" t="s">
        <v>17025</v>
      </c>
      <c r="V947" t="s">
        <v>17026</v>
      </c>
      <c r="W947" t="s">
        <v>17027</v>
      </c>
      <c r="X947" t="s">
        <v>17028</v>
      </c>
      <c r="Y947" t="s">
        <v>17029</v>
      </c>
      <c r="Z947" t="s">
        <v>13025</v>
      </c>
      <c r="AA947" t="s">
        <v>17030</v>
      </c>
      <c r="AB947" t="s">
        <v>17031</v>
      </c>
      <c r="AC947" t="s">
        <v>74</v>
      </c>
      <c r="AD947" t="s">
        <v>74</v>
      </c>
      <c r="AE947" t="s">
        <v>74</v>
      </c>
      <c r="AF947" t="s">
        <v>74</v>
      </c>
      <c r="AG947">
        <v>26</v>
      </c>
      <c r="AH947">
        <v>17</v>
      </c>
      <c r="AI947">
        <v>20</v>
      </c>
      <c r="AJ947">
        <v>0</v>
      </c>
      <c r="AK947">
        <v>4</v>
      </c>
      <c r="AL947" t="s">
        <v>507</v>
      </c>
      <c r="AM947" t="s">
        <v>508</v>
      </c>
      <c r="AN947" t="s">
        <v>509</v>
      </c>
      <c r="AO947" t="s">
        <v>510</v>
      </c>
      <c r="AP947" t="s">
        <v>74</v>
      </c>
      <c r="AQ947" t="s">
        <v>74</v>
      </c>
      <c r="AR947" t="s">
        <v>511</v>
      </c>
      <c r="AS947" t="s">
        <v>512</v>
      </c>
      <c r="AT947" t="s">
        <v>16982</v>
      </c>
      <c r="AU947">
        <v>2011</v>
      </c>
      <c r="AV947">
        <v>47</v>
      </c>
      <c r="AW947">
        <v>4</v>
      </c>
      <c r="AX947" t="s">
        <v>74</v>
      </c>
      <c r="AY947" t="s">
        <v>74</v>
      </c>
      <c r="AZ947" t="s">
        <v>74</v>
      </c>
      <c r="BA947" t="s">
        <v>74</v>
      </c>
      <c r="BB947">
        <v>702</v>
      </c>
      <c r="BC947">
        <v>709</v>
      </c>
      <c r="BD947" t="s">
        <v>74</v>
      </c>
      <c r="BE947" t="s">
        <v>17032</v>
      </c>
      <c r="BF947" t="str">
        <f>HYPERLINK("http://dx.doi.org/10.1016/j.asr.2010.09.026","http://dx.doi.org/10.1016/j.asr.2010.09.026")</f>
        <v>http://dx.doi.org/10.1016/j.asr.2010.09.026</v>
      </c>
      <c r="BG947" t="s">
        <v>74</v>
      </c>
      <c r="BH947" t="s">
        <v>74</v>
      </c>
      <c r="BI947">
        <v>8</v>
      </c>
      <c r="BJ947" t="s">
        <v>514</v>
      </c>
      <c r="BK947" t="s">
        <v>100</v>
      </c>
      <c r="BL947" t="s">
        <v>515</v>
      </c>
      <c r="BM947" t="s">
        <v>17033</v>
      </c>
      <c r="BN947" t="s">
        <v>74</v>
      </c>
      <c r="BO947" t="s">
        <v>74</v>
      </c>
      <c r="BP947" t="s">
        <v>74</v>
      </c>
      <c r="BQ947" t="s">
        <v>74</v>
      </c>
      <c r="BR947" t="s">
        <v>103</v>
      </c>
      <c r="BS947" t="s">
        <v>17034</v>
      </c>
      <c r="BT947" t="str">
        <f>HYPERLINK("https%3A%2F%2Fwww.webofscience.com%2Fwos%2Fwoscc%2Ffull-record%2FWOS:000287433100015","View Full Record in Web of Science")</f>
        <v>View Full Record in Web of Science</v>
      </c>
    </row>
    <row r="948" spans="1:72" x14ac:dyDescent="0.15">
      <c r="A948" t="s">
        <v>72</v>
      </c>
      <c r="B948" t="s">
        <v>17035</v>
      </c>
      <c r="C948" t="s">
        <v>74</v>
      </c>
      <c r="D948" t="s">
        <v>74</v>
      </c>
      <c r="E948" t="s">
        <v>74</v>
      </c>
      <c r="F948" t="s">
        <v>17036</v>
      </c>
      <c r="G948" t="s">
        <v>74</v>
      </c>
      <c r="H948" t="s">
        <v>74</v>
      </c>
      <c r="I948" t="s">
        <v>17037</v>
      </c>
      <c r="J948" t="s">
        <v>1263</v>
      </c>
      <c r="K948" t="s">
        <v>74</v>
      </c>
      <c r="L948" t="s">
        <v>74</v>
      </c>
      <c r="M948" t="s">
        <v>78</v>
      </c>
      <c r="N948" t="s">
        <v>79</v>
      </c>
      <c r="O948" t="s">
        <v>74</v>
      </c>
      <c r="P948" t="s">
        <v>74</v>
      </c>
      <c r="Q948" t="s">
        <v>74</v>
      </c>
      <c r="R948" t="s">
        <v>74</v>
      </c>
      <c r="S948" t="s">
        <v>74</v>
      </c>
      <c r="T948" t="s">
        <v>74</v>
      </c>
      <c r="U948" t="s">
        <v>17038</v>
      </c>
      <c r="V948" t="s">
        <v>17039</v>
      </c>
      <c r="W948" t="s">
        <v>17040</v>
      </c>
      <c r="X948" t="s">
        <v>17041</v>
      </c>
      <c r="Y948" t="s">
        <v>17042</v>
      </c>
      <c r="Z948" t="s">
        <v>7811</v>
      </c>
      <c r="AA948" t="s">
        <v>74</v>
      </c>
      <c r="AB948" t="s">
        <v>74</v>
      </c>
      <c r="AC948" t="s">
        <v>17043</v>
      </c>
      <c r="AD948" t="s">
        <v>17044</v>
      </c>
      <c r="AE948" t="s">
        <v>17045</v>
      </c>
      <c r="AF948" t="s">
        <v>74</v>
      </c>
      <c r="AG948">
        <v>58</v>
      </c>
      <c r="AH948">
        <v>27</v>
      </c>
      <c r="AI948">
        <v>30</v>
      </c>
      <c r="AJ948">
        <v>1</v>
      </c>
      <c r="AK948">
        <v>16</v>
      </c>
      <c r="AL948" t="s">
        <v>1275</v>
      </c>
      <c r="AM948" t="s">
        <v>1276</v>
      </c>
      <c r="AN948" t="s">
        <v>1277</v>
      </c>
      <c r="AO948" t="s">
        <v>1278</v>
      </c>
      <c r="AP948" t="s">
        <v>1279</v>
      </c>
      <c r="AQ948" t="s">
        <v>74</v>
      </c>
      <c r="AR948" t="s">
        <v>1280</v>
      </c>
      <c r="AS948" t="s">
        <v>1281</v>
      </c>
      <c r="AT948" t="s">
        <v>16982</v>
      </c>
      <c r="AU948">
        <v>2011</v>
      </c>
      <c r="AV948">
        <v>24</v>
      </c>
      <c r="AW948">
        <v>4</v>
      </c>
      <c r="AX948" t="s">
        <v>74</v>
      </c>
      <c r="AY948" t="s">
        <v>74</v>
      </c>
      <c r="AZ948" t="s">
        <v>74</v>
      </c>
      <c r="BA948" t="s">
        <v>74</v>
      </c>
      <c r="BB948">
        <v>1071</v>
      </c>
      <c r="BC948">
        <v>1088</v>
      </c>
      <c r="BD948" t="s">
        <v>74</v>
      </c>
      <c r="BE948" t="s">
        <v>17046</v>
      </c>
      <c r="BF948" t="str">
        <f>HYPERLINK("http://dx.doi.org/10.1175/2010JCLI3634.1","http://dx.doi.org/10.1175/2010JCLI3634.1")</f>
        <v>http://dx.doi.org/10.1175/2010JCLI3634.1</v>
      </c>
      <c r="BG948" t="s">
        <v>74</v>
      </c>
      <c r="BH948" t="s">
        <v>74</v>
      </c>
      <c r="BI948">
        <v>18</v>
      </c>
      <c r="BJ948" t="s">
        <v>248</v>
      </c>
      <c r="BK948" t="s">
        <v>100</v>
      </c>
      <c r="BL948" t="s">
        <v>248</v>
      </c>
      <c r="BM948" t="s">
        <v>17001</v>
      </c>
      <c r="BN948" t="s">
        <v>74</v>
      </c>
      <c r="BO948" t="s">
        <v>1284</v>
      </c>
      <c r="BP948" t="s">
        <v>74</v>
      </c>
      <c r="BQ948" t="s">
        <v>74</v>
      </c>
      <c r="BR948" t="s">
        <v>103</v>
      </c>
      <c r="BS948" t="s">
        <v>17047</v>
      </c>
      <c r="BT948" t="str">
        <f>HYPERLINK("https%3A%2F%2Fwww.webofscience.com%2Fwos%2Fwoscc%2Ffull-record%2FWOS:000288304700006","View Full Record in Web of Science")</f>
        <v>View Full Record in Web of Science</v>
      </c>
    </row>
    <row r="949" spans="1:72" x14ac:dyDescent="0.15">
      <c r="A949" t="s">
        <v>72</v>
      </c>
      <c r="B949" t="s">
        <v>17048</v>
      </c>
      <c r="C949" t="s">
        <v>74</v>
      </c>
      <c r="D949" t="s">
        <v>74</v>
      </c>
      <c r="E949" t="s">
        <v>74</v>
      </c>
      <c r="F949" t="s">
        <v>17049</v>
      </c>
      <c r="G949" t="s">
        <v>74</v>
      </c>
      <c r="H949" t="s">
        <v>74</v>
      </c>
      <c r="I949" t="s">
        <v>17050</v>
      </c>
      <c r="J949" t="s">
        <v>521</v>
      </c>
      <c r="K949" t="s">
        <v>74</v>
      </c>
      <c r="L949" t="s">
        <v>74</v>
      </c>
      <c r="M949" t="s">
        <v>78</v>
      </c>
      <c r="N949" t="s">
        <v>79</v>
      </c>
      <c r="O949" t="s">
        <v>74</v>
      </c>
      <c r="P949" t="s">
        <v>74</v>
      </c>
      <c r="Q949" t="s">
        <v>74</v>
      </c>
      <c r="R949" t="s">
        <v>74</v>
      </c>
      <c r="S949" t="s">
        <v>74</v>
      </c>
      <c r="T949" t="s">
        <v>74</v>
      </c>
      <c r="U949" t="s">
        <v>17051</v>
      </c>
      <c r="V949" t="s">
        <v>17052</v>
      </c>
      <c r="W949" t="s">
        <v>17053</v>
      </c>
      <c r="X949" t="s">
        <v>17054</v>
      </c>
      <c r="Y949" t="s">
        <v>17055</v>
      </c>
      <c r="Z949" t="s">
        <v>17056</v>
      </c>
      <c r="AA949" t="s">
        <v>17057</v>
      </c>
      <c r="AB949" t="s">
        <v>17058</v>
      </c>
      <c r="AC949" t="s">
        <v>17059</v>
      </c>
      <c r="AD949" t="s">
        <v>13523</v>
      </c>
      <c r="AE949" t="s">
        <v>17060</v>
      </c>
      <c r="AF949" t="s">
        <v>74</v>
      </c>
      <c r="AG949">
        <v>76</v>
      </c>
      <c r="AH949">
        <v>59</v>
      </c>
      <c r="AI949">
        <v>65</v>
      </c>
      <c r="AJ949">
        <v>1</v>
      </c>
      <c r="AK949">
        <v>45</v>
      </c>
      <c r="AL949" t="s">
        <v>120</v>
      </c>
      <c r="AM949" t="s">
        <v>121</v>
      </c>
      <c r="AN949" t="s">
        <v>122</v>
      </c>
      <c r="AO949" t="s">
        <v>531</v>
      </c>
      <c r="AP949" t="s">
        <v>571</v>
      </c>
      <c r="AQ949" t="s">
        <v>74</v>
      </c>
      <c r="AR949" t="s">
        <v>521</v>
      </c>
      <c r="AS949" t="s">
        <v>532</v>
      </c>
      <c r="AT949" t="s">
        <v>16982</v>
      </c>
      <c r="AU949">
        <v>2011</v>
      </c>
      <c r="AV949">
        <v>26</v>
      </c>
      <c r="AW949" t="s">
        <v>74</v>
      </c>
      <c r="AX949" t="s">
        <v>74</v>
      </c>
      <c r="AY949" t="s">
        <v>74</v>
      </c>
      <c r="AZ949" t="s">
        <v>74</v>
      </c>
      <c r="BA949" t="s">
        <v>74</v>
      </c>
      <c r="BB949" t="s">
        <v>74</v>
      </c>
      <c r="BC949" t="s">
        <v>74</v>
      </c>
      <c r="BD949" t="s">
        <v>17061</v>
      </c>
      <c r="BE949" t="s">
        <v>17062</v>
      </c>
      <c r="BF949" t="str">
        <f>HYPERLINK("http://dx.doi.org/10.1029/2009PA001901","http://dx.doi.org/10.1029/2009PA001901")</f>
        <v>http://dx.doi.org/10.1029/2009PA001901</v>
      </c>
      <c r="BG949" t="s">
        <v>74</v>
      </c>
      <c r="BH949" t="s">
        <v>74</v>
      </c>
      <c r="BI949">
        <v>19</v>
      </c>
      <c r="BJ949" t="s">
        <v>535</v>
      </c>
      <c r="BK949" t="s">
        <v>100</v>
      </c>
      <c r="BL949" t="s">
        <v>536</v>
      </c>
      <c r="BM949" t="s">
        <v>17063</v>
      </c>
      <c r="BN949" t="s">
        <v>74</v>
      </c>
      <c r="BO949" t="s">
        <v>152</v>
      </c>
      <c r="BP949" t="s">
        <v>74</v>
      </c>
      <c r="BQ949" t="s">
        <v>74</v>
      </c>
      <c r="BR949" t="s">
        <v>103</v>
      </c>
      <c r="BS949" t="s">
        <v>17064</v>
      </c>
      <c r="BT949" t="str">
        <f>HYPERLINK("https%3A%2F%2Fwww.webofscience.com%2Fwos%2Fwoscc%2Ffull-record%2FWOS:000287690900001","View Full Record in Web of Science")</f>
        <v>View Full Record in Web of Science</v>
      </c>
    </row>
    <row r="950" spans="1:72" x14ac:dyDescent="0.15">
      <c r="A950" t="s">
        <v>72</v>
      </c>
      <c r="B950" t="s">
        <v>17065</v>
      </c>
      <c r="C950" t="s">
        <v>74</v>
      </c>
      <c r="D950" t="s">
        <v>74</v>
      </c>
      <c r="E950" t="s">
        <v>74</v>
      </c>
      <c r="F950" t="s">
        <v>17066</v>
      </c>
      <c r="G950" t="s">
        <v>74</v>
      </c>
      <c r="H950" t="s">
        <v>74</v>
      </c>
      <c r="I950" t="s">
        <v>17067</v>
      </c>
      <c r="J950" t="s">
        <v>14821</v>
      </c>
      <c r="K950" t="s">
        <v>74</v>
      </c>
      <c r="L950" t="s">
        <v>74</v>
      </c>
      <c r="M950" t="s">
        <v>78</v>
      </c>
      <c r="N950" t="s">
        <v>79</v>
      </c>
      <c r="O950" t="s">
        <v>74</v>
      </c>
      <c r="P950" t="s">
        <v>74</v>
      </c>
      <c r="Q950" t="s">
        <v>74</v>
      </c>
      <c r="R950" t="s">
        <v>74</v>
      </c>
      <c r="S950" t="s">
        <v>74</v>
      </c>
      <c r="T950" t="s">
        <v>74</v>
      </c>
      <c r="U950" t="s">
        <v>17068</v>
      </c>
      <c r="V950" t="s">
        <v>17069</v>
      </c>
      <c r="W950" t="s">
        <v>17070</v>
      </c>
      <c r="X950" t="s">
        <v>17071</v>
      </c>
      <c r="Y950" t="s">
        <v>17072</v>
      </c>
      <c r="Z950" t="s">
        <v>17073</v>
      </c>
      <c r="AA950" t="s">
        <v>17074</v>
      </c>
      <c r="AB950" t="s">
        <v>17075</v>
      </c>
      <c r="AC950" t="s">
        <v>74</v>
      </c>
      <c r="AD950" t="s">
        <v>74</v>
      </c>
      <c r="AE950" t="s">
        <v>74</v>
      </c>
      <c r="AF950" t="s">
        <v>74</v>
      </c>
      <c r="AG950">
        <v>20</v>
      </c>
      <c r="AH950">
        <v>365</v>
      </c>
      <c r="AI950">
        <v>372</v>
      </c>
      <c r="AJ950">
        <v>2</v>
      </c>
      <c r="AK950">
        <v>38</v>
      </c>
      <c r="AL950" t="s">
        <v>926</v>
      </c>
      <c r="AM950" t="s">
        <v>508</v>
      </c>
      <c r="AN950" t="s">
        <v>927</v>
      </c>
      <c r="AO950" t="s">
        <v>14831</v>
      </c>
      <c r="AP950" t="s">
        <v>14832</v>
      </c>
      <c r="AQ950" t="s">
        <v>74</v>
      </c>
      <c r="AR950" t="s">
        <v>14833</v>
      </c>
      <c r="AS950" t="s">
        <v>14834</v>
      </c>
      <c r="AT950" t="s">
        <v>16982</v>
      </c>
      <c r="AU950">
        <v>2011</v>
      </c>
      <c r="AV950">
        <v>232</v>
      </c>
      <c r="AW950" t="s">
        <v>74</v>
      </c>
      <c r="AX950" t="s">
        <v>74</v>
      </c>
      <c r="AY950" t="s">
        <v>74</v>
      </c>
      <c r="AZ950" t="s">
        <v>864</v>
      </c>
      <c r="BA950" t="s">
        <v>74</v>
      </c>
      <c r="BB950">
        <v>250</v>
      </c>
      <c r="BC950">
        <v>257</v>
      </c>
      <c r="BD950" t="s">
        <v>74</v>
      </c>
      <c r="BE950" t="s">
        <v>17076</v>
      </c>
      <c r="BF950" t="str">
        <f>HYPERLINK("http://dx.doi.org/10.1016/j.quaint.2010.04.026","http://dx.doi.org/10.1016/j.quaint.2010.04.026")</f>
        <v>http://dx.doi.org/10.1016/j.quaint.2010.04.026</v>
      </c>
      <c r="BG950" t="s">
        <v>74</v>
      </c>
      <c r="BH950" t="s">
        <v>74</v>
      </c>
      <c r="BI950">
        <v>8</v>
      </c>
      <c r="BJ950" t="s">
        <v>1496</v>
      </c>
      <c r="BK950" t="s">
        <v>100</v>
      </c>
      <c r="BL950" t="s">
        <v>1497</v>
      </c>
      <c r="BM950" t="s">
        <v>17077</v>
      </c>
      <c r="BN950" t="s">
        <v>74</v>
      </c>
      <c r="BO950" t="s">
        <v>74</v>
      </c>
      <c r="BP950" t="s">
        <v>74</v>
      </c>
      <c r="BQ950" t="s">
        <v>74</v>
      </c>
      <c r="BR950" t="s">
        <v>103</v>
      </c>
      <c r="BS950" t="s">
        <v>17078</v>
      </c>
      <c r="BT950" t="str">
        <f>HYPERLINK("https%3A%2F%2Fwww.webofscience.com%2Fwos%2Fwoscc%2Ffull-record%2FWOS:000288775100024","View Full Record in Web of Science")</f>
        <v>View Full Record in Web of Science</v>
      </c>
    </row>
    <row r="951" spans="1:72" x14ac:dyDescent="0.15">
      <c r="A951" t="s">
        <v>72</v>
      </c>
      <c r="B951" t="s">
        <v>17079</v>
      </c>
      <c r="C951" t="s">
        <v>74</v>
      </c>
      <c r="D951" t="s">
        <v>74</v>
      </c>
      <c r="E951" t="s">
        <v>74</v>
      </c>
      <c r="F951" t="s">
        <v>17080</v>
      </c>
      <c r="G951" t="s">
        <v>74</v>
      </c>
      <c r="H951" t="s">
        <v>74</v>
      </c>
      <c r="I951" t="s">
        <v>17081</v>
      </c>
      <c r="J951" t="s">
        <v>17082</v>
      </c>
      <c r="K951" t="s">
        <v>74</v>
      </c>
      <c r="L951" t="s">
        <v>74</v>
      </c>
      <c r="M951" t="s">
        <v>78</v>
      </c>
      <c r="N951" t="s">
        <v>79</v>
      </c>
      <c r="O951" t="s">
        <v>74</v>
      </c>
      <c r="P951" t="s">
        <v>74</v>
      </c>
      <c r="Q951" t="s">
        <v>74</v>
      </c>
      <c r="R951" t="s">
        <v>74</v>
      </c>
      <c r="S951" t="s">
        <v>74</v>
      </c>
      <c r="T951" t="s">
        <v>74</v>
      </c>
      <c r="U951" t="s">
        <v>17083</v>
      </c>
      <c r="V951" t="s">
        <v>17084</v>
      </c>
      <c r="W951" t="s">
        <v>17085</v>
      </c>
      <c r="X951" t="s">
        <v>17086</v>
      </c>
      <c r="Y951" t="s">
        <v>17087</v>
      </c>
      <c r="Z951" t="s">
        <v>17088</v>
      </c>
      <c r="AA951" t="s">
        <v>74</v>
      </c>
      <c r="AB951" t="s">
        <v>74</v>
      </c>
      <c r="AC951" t="s">
        <v>17089</v>
      </c>
      <c r="AD951" t="s">
        <v>17089</v>
      </c>
      <c r="AE951" t="s">
        <v>17090</v>
      </c>
      <c r="AF951" t="s">
        <v>74</v>
      </c>
      <c r="AG951">
        <v>18</v>
      </c>
      <c r="AH951">
        <v>17</v>
      </c>
      <c r="AI951">
        <v>20</v>
      </c>
      <c r="AJ951">
        <v>1</v>
      </c>
      <c r="AK951">
        <v>12</v>
      </c>
      <c r="AL951" t="s">
        <v>1826</v>
      </c>
      <c r="AM951" t="s">
        <v>121</v>
      </c>
      <c r="AN951" t="s">
        <v>1827</v>
      </c>
      <c r="AO951" t="s">
        <v>17091</v>
      </c>
      <c r="AP951" t="s">
        <v>74</v>
      </c>
      <c r="AQ951" t="s">
        <v>74</v>
      </c>
      <c r="AR951" t="s">
        <v>17092</v>
      </c>
      <c r="AS951" t="s">
        <v>17093</v>
      </c>
      <c r="AT951" t="s">
        <v>17094</v>
      </c>
      <c r="AU951">
        <v>2011</v>
      </c>
      <c r="AV951">
        <v>19</v>
      </c>
      <c r="AW951">
        <v>4</v>
      </c>
      <c r="AX951" t="s">
        <v>74</v>
      </c>
      <c r="AY951" t="s">
        <v>74</v>
      </c>
      <c r="AZ951" t="s">
        <v>74</v>
      </c>
      <c r="BA951" t="s">
        <v>74</v>
      </c>
      <c r="BB951">
        <v>3553</v>
      </c>
      <c r="BC951">
        <v>3561</v>
      </c>
      <c r="BD951" t="s">
        <v>74</v>
      </c>
      <c r="BE951" t="s">
        <v>17095</v>
      </c>
      <c r="BF951" t="str">
        <f>HYPERLINK("http://dx.doi.org/10.1364/OE.19.003553","http://dx.doi.org/10.1364/OE.19.003553")</f>
        <v>http://dx.doi.org/10.1364/OE.19.003553</v>
      </c>
      <c r="BG951" t="s">
        <v>74</v>
      </c>
      <c r="BH951" t="s">
        <v>74</v>
      </c>
      <c r="BI951">
        <v>9</v>
      </c>
      <c r="BJ951" t="s">
        <v>1833</v>
      </c>
      <c r="BK951" t="s">
        <v>100</v>
      </c>
      <c r="BL951" t="s">
        <v>1833</v>
      </c>
      <c r="BM951" t="s">
        <v>17096</v>
      </c>
      <c r="BN951">
        <v>21369179</v>
      </c>
      <c r="BO951" t="s">
        <v>7272</v>
      </c>
      <c r="BP951" t="s">
        <v>74</v>
      </c>
      <c r="BQ951" t="s">
        <v>74</v>
      </c>
      <c r="BR951" t="s">
        <v>103</v>
      </c>
      <c r="BS951" t="s">
        <v>17097</v>
      </c>
      <c r="BT951" t="str">
        <f>HYPERLINK("https%3A%2F%2Fwww.webofscience.com%2Fwos%2Fwoscc%2Ffull-record%2FWOS:000288860000075","View Full Record in Web of Science")</f>
        <v>View Full Record in Web of Science</v>
      </c>
    </row>
    <row r="952" spans="1:72" x14ac:dyDescent="0.15">
      <c r="A952" t="s">
        <v>72</v>
      </c>
      <c r="B952" t="s">
        <v>17098</v>
      </c>
      <c r="C952" t="s">
        <v>74</v>
      </c>
      <c r="D952" t="s">
        <v>74</v>
      </c>
      <c r="E952" t="s">
        <v>74</v>
      </c>
      <c r="F952" t="s">
        <v>17099</v>
      </c>
      <c r="G952" t="s">
        <v>74</v>
      </c>
      <c r="H952" t="s">
        <v>74</v>
      </c>
      <c r="I952" t="s">
        <v>17100</v>
      </c>
      <c r="J952" t="s">
        <v>9865</v>
      </c>
      <c r="K952" t="s">
        <v>74</v>
      </c>
      <c r="L952" t="s">
        <v>74</v>
      </c>
      <c r="M952" t="s">
        <v>78</v>
      </c>
      <c r="N952" t="s">
        <v>79</v>
      </c>
      <c r="O952" t="s">
        <v>74</v>
      </c>
      <c r="P952" t="s">
        <v>74</v>
      </c>
      <c r="Q952" t="s">
        <v>74</v>
      </c>
      <c r="R952" t="s">
        <v>74</v>
      </c>
      <c r="S952" t="s">
        <v>74</v>
      </c>
      <c r="T952" t="s">
        <v>17101</v>
      </c>
      <c r="U952" t="s">
        <v>17102</v>
      </c>
      <c r="V952" t="s">
        <v>17103</v>
      </c>
      <c r="W952" t="s">
        <v>17104</v>
      </c>
      <c r="X952" t="s">
        <v>17105</v>
      </c>
      <c r="Y952" t="s">
        <v>17106</v>
      </c>
      <c r="Z952" t="s">
        <v>17107</v>
      </c>
      <c r="AA952" t="s">
        <v>17108</v>
      </c>
      <c r="AB952" t="s">
        <v>17109</v>
      </c>
      <c r="AC952" t="s">
        <v>17110</v>
      </c>
      <c r="AD952" t="s">
        <v>17111</v>
      </c>
      <c r="AE952" t="s">
        <v>17112</v>
      </c>
      <c r="AF952" t="s">
        <v>74</v>
      </c>
      <c r="AG952">
        <v>93</v>
      </c>
      <c r="AH952">
        <v>18</v>
      </c>
      <c r="AI952">
        <v>19</v>
      </c>
      <c r="AJ952">
        <v>0</v>
      </c>
      <c r="AK952">
        <v>23</v>
      </c>
      <c r="AL952" t="s">
        <v>9877</v>
      </c>
      <c r="AM952" t="s">
        <v>1490</v>
      </c>
      <c r="AN952" t="s">
        <v>9878</v>
      </c>
      <c r="AO952" t="s">
        <v>9879</v>
      </c>
      <c r="AP952" t="s">
        <v>9880</v>
      </c>
      <c r="AQ952" t="s">
        <v>74</v>
      </c>
      <c r="AR952" t="s">
        <v>9881</v>
      </c>
      <c r="AS952" t="s">
        <v>9882</v>
      </c>
      <c r="AT952" t="s">
        <v>17113</v>
      </c>
      <c r="AU952">
        <v>2011</v>
      </c>
      <c r="AV952">
        <v>91</v>
      </c>
      <c r="AW952">
        <v>3</v>
      </c>
      <c r="AX952" t="s">
        <v>74</v>
      </c>
      <c r="AY952" t="s">
        <v>74</v>
      </c>
      <c r="AZ952" t="s">
        <v>74</v>
      </c>
      <c r="BA952" t="s">
        <v>74</v>
      </c>
      <c r="BB952">
        <v>442</v>
      </c>
      <c r="BC952">
        <v>449</v>
      </c>
      <c r="BD952" t="s">
        <v>74</v>
      </c>
      <c r="BE952" t="s">
        <v>17114</v>
      </c>
      <c r="BF952" t="str">
        <f>HYPERLINK("http://dx.doi.org/10.1016/j.ecss.2010.11.007","http://dx.doi.org/10.1016/j.ecss.2010.11.007")</f>
        <v>http://dx.doi.org/10.1016/j.ecss.2010.11.007</v>
      </c>
      <c r="BG952" t="s">
        <v>74</v>
      </c>
      <c r="BH952" t="s">
        <v>74</v>
      </c>
      <c r="BI952">
        <v>8</v>
      </c>
      <c r="BJ952" t="s">
        <v>5605</v>
      </c>
      <c r="BK952" t="s">
        <v>100</v>
      </c>
      <c r="BL952" t="s">
        <v>5605</v>
      </c>
      <c r="BM952" t="s">
        <v>17115</v>
      </c>
      <c r="BN952" t="s">
        <v>74</v>
      </c>
      <c r="BO952" t="s">
        <v>74</v>
      </c>
      <c r="BP952" t="s">
        <v>74</v>
      </c>
      <c r="BQ952" t="s">
        <v>74</v>
      </c>
      <c r="BR952" t="s">
        <v>103</v>
      </c>
      <c r="BS952" t="s">
        <v>17116</v>
      </c>
      <c r="BT952" t="str">
        <f>HYPERLINK("https%3A%2F%2Fwww.webofscience.com%2Fwos%2Fwoscc%2Ffull-record%2FWOS:000287290500011","View Full Record in Web of Science")</f>
        <v>View Full Record in Web of Science</v>
      </c>
    </row>
    <row r="953" spans="1:72" x14ac:dyDescent="0.15">
      <c r="A953" t="s">
        <v>72</v>
      </c>
      <c r="B953" t="s">
        <v>17117</v>
      </c>
      <c r="C953" t="s">
        <v>74</v>
      </c>
      <c r="D953" t="s">
        <v>74</v>
      </c>
      <c r="E953" t="s">
        <v>74</v>
      </c>
      <c r="F953" t="s">
        <v>17118</v>
      </c>
      <c r="G953" t="s">
        <v>74</v>
      </c>
      <c r="H953" t="s">
        <v>74</v>
      </c>
      <c r="I953" t="s">
        <v>17119</v>
      </c>
      <c r="J953" t="s">
        <v>6981</v>
      </c>
      <c r="K953" t="s">
        <v>74</v>
      </c>
      <c r="L953" t="s">
        <v>74</v>
      </c>
      <c r="M953" t="s">
        <v>78</v>
      </c>
      <c r="N953" t="s">
        <v>2002</v>
      </c>
      <c r="O953" t="s">
        <v>74</v>
      </c>
      <c r="P953" t="s">
        <v>74</v>
      </c>
      <c r="Q953" t="s">
        <v>74</v>
      </c>
      <c r="R953" t="s">
        <v>74</v>
      </c>
      <c r="S953" t="s">
        <v>74</v>
      </c>
      <c r="T953" t="s">
        <v>74</v>
      </c>
      <c r="U953" t="s">
        <v>17120</v>
      </c>
      <c r="V953" t="s">
        <v>74</v>
      </c>
      <c r="W953" t="s">
        <v>17121</v>
      </c>
      <c r="X953" t="s">
        <v>17122</v>
      </c>
      <c r="Y953" t="s">
        <v>17123</v>
      </c>
      <c r="Z953" t="s">
        <v>17124</v>
      </c>
      <c r="AA953" t="s">
        <v>74</v>
      </c>
      <c r="AB953" t="s">
        <v>17125</v>
      </c>
      <c r="AC953" t="s">
        <v>17126</v>
      </c>
      <c r="AD953" t="s">
        <v>2005</v>
      </c>
      <c r="AE953" t="s">
        <v>74</v>
      </c>
      <c r="AF953" t="s">
        <v>74</v>
      </c>
      <c r="AG953">
        <v>9</v>
      </c>
      <c r="AH953">
        <v>1</v>
      </c>
      <c r="AI953">
        <v>1</v>
      </c>
      <c r="AJ953">
        <v>0</v>
      </c>
      <c r="AK953">
        <v>1</v>
      </c>
      <c r="AL953" t="s">
        <v>2577</v>
      </c>
      <c r="AM953" t="s">
        <v>1490</v>
      </c>
      <c r="AN953" t="s">
        <v>6989</v>
      </c>
      <c r="AO953" t="s">
        <v>6990</v>
      </c>
      <c r="AP953" t="s">
        <v>74</v>
      </c>
      <c r="AQ953" t="s">
        <v>74</v>
      </c>
      <c r="AR953" t="s">
        <v>6981</v>
      </c>
      <c r="AS953" t="s">
        <v>6991</v>
      </c>
      <c r="AT953" t="s">
        <v>17113</v>
      </c>
      <c r="AU953">
        <v>2011</v>
      </c>
      <c r="AV953">
        <v>470</v>
      </c>
      <c r="AW953">
        <v>7333</v>
      </c>
      <c r="AX953" t="s">
        <v>74</v>
      </c>
      <c r="AY953" t="s">
        <v>74</v>
      </c>
      <c r="AZ953" t="s">
        <v>74</v>
      </c>
      <c r="BA953" t="s">
        <v>74</v>
      </c>
      <c r="BB953">
        <v>181</v>
      </c>
      <c r="BC953">
        <v>182</v>
      </c>
      <c r="BD953" t="s">
        <v>74</v>
      </c>
      <c r="BE953" t="s">
        <v>17127</v>
      </c>
      <c r="BF953" t="str">
        <f>HYPERLINK("http://dx.doi.org/10.1038/470181a","http://dx.doi.org/10.1038/470181a")</f>
        <v>http://dx.doi.org/10.1038/470181a</v>
      </c>
      <c r="BG953" t="s">
        <v>74</v>
      </c>
      <c r="BH953" t="s">
        <v>74</v>
      </c>
      <c r="BI953">
        <v>2</v>
      </c>
      <c r="BJ953" t="s">
        <v>177</v>
      </c>
      <c r="BK953" t="s">
        <v>100</v>
      </c>
      <c r="BL953" t="s">
        <v>178</v>
      </c>
      <c r="BM953" t="s">
        <v>17128</v>
      </c>
      <c r="BN953">
        <v>21307928</v>
      </c>
      <c r="BO953" t="s">
        <v>152</v>
      </c>
      <c r="BP953" t="s">
        <v>74</v>
      </c>
      <c r="BQ953" t="s">
        <v>74</v>
      </c>
      <c r="BR953" t="s">
        <v>103</v>
      </c>
      <c r="BS953" t="s">
        <v>17129</v>
      </c>
      <c r="BT953" t="str">
        <f>HYPERLINK("https%3A%2F%2Fwww.webofscience.com%2Fwos%2Fwoscc%2Ffull-record%2FWOS:000287144200029","View Full Record in Web of Science")</f>
        <v>View Full Record in Web of Science</v>
      </c>
    </row>
    <row r="954" spans="1:72" x14ac:dyDescent="0.15">
      <c r="A954" t="s">
        <v>72</v>
      </c>
      <c r="B954" t="s">
        <v>12318</v>
      </c>
      <c r="C954" t="s">
        <v>74</v>
      </c>
      <c r="D954" t="s">
        <v>74</v>
      </c>
      <c r="E954" t="s">
        <v>74</v>
      </c>
      <c r="F954" t="s">
        <v>12319</v>
      </c>
      <c r="G954" t="s">
        <v>74</v>
      </c>
      <c r="H954" t="s">
        <v>74</v>
      </c>
      <c r="I954" t="s">
        <v>17130</v>
      </c>
      <c r="J954" t="s">
        <v>6981</v>
      </c>
      <c r="K954" t="s">
        <v>74</v>
      </c>
      <c r="L954" t="s">
        <v>74</v>
      </c>
      <c r="M954" t="s">
        <v>78</v>
      </c>
      <c r="N954" t="s">
        <v>79</v>
      </c>
      <c r="O954" t="s">
        <v>74</v>
      </c>
      <c r="P954" t="s">
        <v>74</v>
      </c>
      <c r="Q954" t="s">
        <v>74</v>
      </c>
      <c r="R954" t="s">
        <v>74</v>
      </c>
      <c r="S954" t="s">
        <v>74</v>
      </c>
      <c r="T954" t="s">
        <v>74</v>
      </c>
      <c r="U954" t="s">
        <v>17131</v>
      </c>
      <c r="V954" t="s">
        <v>17132</v>
      </c>
      <c r="W954" t="s">
        <v>17133</v>
      </c>
      <c r="X954" t="s">
        <v>17134</v>
      </c>
      <c r="Y954" t="s">
        <v>17135</v>
      </c>
      <c r="Z954" t="s">
        <v>17136</v>
      </c>
      <c r="AA954" t="s">
        <v>17137</v>
      </c>
      <c r="AB954" t="s">
        <v>17138</v>
      </c>
      <c r="AC954" t="s">
        <v>17139</v>
      </c>
      <c r="AD954" t="s">
        <v>2421</v>
      </c>
      <c r="AE954" t="s">
        <v>17140</v>
      </c>
      <c r="AF954" t="s">
        <v>74</v>
      </c>
      <c r="AG954">
        <v>32</v>
      </c>
      <c r="AH954">
        <v>158</v>
      </c>
      <c r="AI954">
        <v>180</v>
      </c>
      <c r="AJ954">
        <v>5</v>
      </c>
      <c r="AK954">
        <v>109</v>
      </c>
      <c r="AL954" t="s">
        <v>2577</v>
      </c>
      <c r="AM954" t="s">
        <v>1490</v>
      </c>
      <c r="AN954" t="s">
        <v>6989</v>
      </c>
      <c r="AO954" t="s">
        <v>6990</v>
      </c>
      <c r="AP954" t="s">
        <v>74</v>
      </c>
      <c r="AQ954" t="s">
        <v>74</v>
      </c>
      <c r="AR954" t="s">
        <v>6981</v>
      </c>
      <c r="AS954" t="s">
        <v>6991</v>
      </c>
      <c r="AT954" t="s">
        <v>17113</v>
      </c>
      <c r="AU954">
        <v>2011</v>
      </c>
      <c r="AV954">
        <v>470</v>
      </c>
      <c r="AW954">
        <v>7333</v>
      </c>
      <c r="AX954" t="s">
        <v>74</v>
      </c>
      <c r="AY954" t="s">
        <v>74</v>
      </c>
      <c r="AZ954" t="s">
        <v>74</v>
      </c>
      <c r="BA954" t="s">
        <v>74</v>
      </c>
      <c r="BB954">
        <v>250</v>
      </c>
      <c r="BC954">
        <v>254</v>
      </c>
      <c r="BD954" t="s">
        <v>74</v>
      </c>
      <c r="BE954" t="s">
        <v>17141</v>
      </c>
      <c r="BF954" t="str">
        <f>HYPERLINK("http://dx.doi.org/10.1038/nature09751","http://dx.doi.org/10.1038/nature09751")</f>
        <v>http://dx.doi.org/10.1038/nature09751</v>
      </c>
      <c r="BG954" t="s">
        <v>74</v>
      </c>
      <c r="BH954" t="s">
        <v>74</v>
      </c>
      <c r="BI954">
        <v>5</v>
      </c>
      <c r="BJ954" t="s">
        <v>177</v>
      </c>
      <c r="BK954" t="s">
        <v>100</v>
      </c>
      <c r="BL954" t="s">
        <v>178</v>
      </c>
      <c r="BM954" t="s">
        <v>17128</v>
      </c>
      <c r="BN954">
        <v>21307939</v>
      </c>
      <c r="BO954" t="s">
        <v>74</v>
      </c>
      <c r="BP954" t="s">
        <v>74</v>
      </c>
      <c r="BQ954" t="s">
        <v>74</v>
      </c>
      <c r="BR954" t="s">
        <v>103</v>
      </c>
      <c r="BS954" t="s">
        <v>17142</v>
      </c>
      <c r="BT954" t="str">
        <f>HYPERLINK("https%3A%2F%2Fwww.webofscience.com%2Fwos%2Fwoscc%2Ffull-record%2FWOS:000287144200042","View Full Record in Web of Science")</f>
        <v>View Full Record in Web of Science</v>
      </c>
    </row>
    <row r="955" spans="1:72" x14ac:dyDescent="0.15">
      <c r="A955" t="s">
        <v>72</v>
      </c>
      <c r="B955" t="s">
        <v>17143</v>
      </c>
      <c r="C955" t="s">
        <v>74</v>
      </c>
      <c r="D955" t="s">
        <v>74</v>
      </c>
      <c r="E955" t="s">
        <v>74</v>
      </c>
      <c r="F955" t="s">
        <v>17144</v>
      </c>
      <c r="G955" t="s">
        <v>74</v>
      </c>
      <c r="H955" t="s">
        <v>74</v>
      </c>
      <c r="I955" t="s">
        <v>17145</v>
      </c>
      <c r="J955" t="s">
        <v>108</v>
      </c>
      <c r="K955" t="s">
        <v>74</v>
      </c>
      <c r="L955" t="s">
        <v>74</v>
      </c>
      <c r="M955" t="s">
        <v>78</v>
      </c>
      <c r="N955" t="s">
        <v>79</v>
      </c>
      <c r="O955" t="s">
        <v>74</v>
      </c>
      <c r="P955" t="s">
        <v>74</v>
      </c>
      <c r="Q955" t="s">
        <v>74</v>
      </c>
      <c r="R955" t="s">
        <v>74</v>
      </c>
      <c r="S955" t="s">
        <v>74</v>
      </c>
      <c r="T955" t="s">
        <v>74</v>
      </c>
      <c r="U955" t="s">
        <v>17146</v>
      </c>
      <c r="V955" t="s">
        <v>17147</v>
      </c>
      <c r="W955" t="s">
        <v>17148</v>
      </c>
      <c r="X955" t="s">
        <v>17149</v>
      </c>
      <c r="Y955" t="s">
        <v>17150</v>
      </c>
      <c r="Z955" t="s">
        <v>17151</v>
      </c>
      <c r="AA955" t="s">
        <v>3696</v>
      </c>
      <c r="AB955" t="s">
        <v>17152</v>
      </c>
      <c r="AC955" t="s">
        <v>74</v>
      </c>
      <c r="AD955" t="s">
        <v>74</v>
      </c>
      <c r="AE955" t="s">
        <v>74</v>
      </c>
      <c r="AF955" t="s">
        <v>74</v>
      </c>
      <c r="AG955">
        <v>18</v>
      </c>
      <c r="AH955">
        <v>18</v>
      </c>
      <c r="AI955">
        <v>19</v>
      </c>
      <c r="AJ955">
        <v>0</v>
      </c>
      <c r="AK955">
        <v>1</v>
      </c>
      <c r="AL955" t="s">
        <v>120</v>
      </c>
      <c r="AM955" t="s">
        <v>121</v>
      </c>
      <c r="AN955" t="s">
        <v>122</v>
      </c>
      <c r="AO955" t="s">
        <v>123</v>
      </c>
      <c r="AP955" t="s">
        <v>124</v>
      </c>
      <c r="AQ955" t="s">
        <v>74</v>
      </c>
      <c r="AR955" t="s">
        <v>125</v>
      </c>
      <c r="AS955" t="s">
        <v>126</v>
      </c>
      <c r="AT955" t="s">
        <v>17153</v>
      </c>
      <c r="AU955">
        <v>2011</v>
      </c>
      <c r="AV955">
        <v>38</v>
      </c>
      <c r="AW955" t="s">
        <v>74</v>
      </c>
      <c r="AX955" t="s">
        <v>74</v>
      </c>
      <c r="AY955" t="s">
        <v>74</v>
      </c>
      <c r="AZ955" t="s">
        <v>74</v>
      </c>
      <c r="BA955" t="s">
        <v>74</v>
      </c>
      <c r="BB955" t="s">
        <v>74</v>
      </c>
      <c r="BC955" t="s">
        <v>74</v>
      </c>
      <c r="BD955" t="s">
        <v>17154</v>
      </c>
      <c r="BE955" t="s">
        <v>17155</v>
      </c>
      <c r="BF955" t="str">
        <f>HYPERLINK("http://dx.doi.org/10.1029/2010GL046298","http://dx.doi.org/10.1029/2010GL046298")</f>
        <v>http://dx.doi.org/10.1029/2010GL046298</v>
      </c>
      <c r="BG955" t="s">
        <v>74</v>
      </c>
      <c r="BH955" t="s">
        <v>74</v>
      </c>
      <c r="BI955">
        <v>6</v>
      </c>
      <c r="BJ955" t="s">
        <v>130</v>
      </c>
      <c r="BK955" t="s">
        <v>100</v>
      </c>
      <c r="BL955" t="s">
        <v>131</v>
      </c>
      <c r="BM955" t="s">
        <v>17156</v>
      </c>
      <c r="BN955" t="s">
        <v>74</v>
      </c>
      <c r="BO955" t="s">
        <v>74</v>
      </c>
      <c r="BP955" t="s">
        <v>74</v>
      </c>
      <c r="BQ955" t="s">
        <v>74</v>
      </c>
      <c r="BR955" t="s">
        <v>103</v>
      </c>
      <c r="BS955" t="s">
        <v>17157</v>
      </c>
      <c r="BT955" t="str">
        <f>HYPERLINK("https%3A%2F%2Fwww.webofscience.com%2Fwos%2Fwoscc%2Ffull-record%2FWOS:000287321000006","View Full Record in Web of Science")</f>
        <v>View Full Record in Web of Science</v>
      </c>
    </row>
    <row r="956" spans="1:72" x14ac:dyDescent="0.15">
      <c r="A956" t="s">
        <v>72</v>
      </c>
      <c r="B956" t="s">
        <v>17158</v>
      </c>
      <c r="C956" t="s">
        <v>74</v>
      </c>
      <c r="D956" t="s">
        <v>74</v>
      </c>
      <c r="E956" t="s">
        <v>74</v>
      </c>
      <c r="F956" t="s">
        <v>17159</v>
      </c>
      <c r="G956" t="s">
        <v>74</v>
      </c>
      <c r="H956" t="s">
        <v>74</v>
      </c>
      <c r="I956" t="s">
        <v>17160</v>
      </c>
      <c r="J956" t="s">
        <v>6634</v>
      </c>
      <c r="K956" t="s">
        <v>74</v>
      </c>
      <c r="L956" t="s">
        <v>74</v>
      </c>
      <c r="M956" t="s">
        <v>78</v>
      </c>
      <c r="N956" t="s">
        <v>79</v>
      </c>
      <c r="O956" t="s">
        <v>74</v>
      </c>
      <c r="P956" t="s">
        <v>74</v>
      </c>
      <c r="Q956" t="s">
        <v>74</v>
      </c>
      <c r="R956" t="s">
        <v>74</v>
      </c>
      <c r="S956" t="s">
        <v>74</v>
      </c>
      <c r="T956" t="s">
        <v>74</v>
      </c>
      <c r="U956" t="s">
        <v>17161</v>
      </c>
      <c r="V956" t="s">
        <v>17162</v>
      </c>
      <c r="W956" t="s">
        <v>17163</v>
      </c>
      <c r="X956" t="s">
        <v>17164</v>
      </c>
      <c r="Y956" t="s">
        <v>17165</v>
      </c>
      <c r="Z956" t="s">
        <v>17166</v>
      </c>
      <c r="AA956" t="s">
        <v>17167</v>
      </c>
      <c r="AB956" t="s">
        <v>17168</v>
      </c>
      <c r="AC956" t="s">
        <v>17169</v>
      </c>
      <c r="AD956" t="s">
        <v>17170</v>
      </c>
      <c r="AE956" t="s">
        <v>17171</v>
      </c>
      <c r="AF956" t="s">
        <v>74</v>
      </c>
      <c r="AG956">
        <v>49</v>
      </c>
      <c r="AH956">
        <v>69</v>
      </c>
      <c r="AI956">
        <v>76</v>
      </c>
      <c r="AJ956">
        <v>1</v>
      </c>
      <c r="AK956">
        <v>19</v>
      </c>
      <c r="AL956" t="s">
        <v>6639</v>
      </c>
      <c r="AM956" t="s">
        <v>1778</v>
      </c>
      <c r="AN956" t="s">
        <v>16872</v>
      </c>
      <c r="AO956" t="s">
        <v>6641</v>
      </c>
      <c r="AP956" t="s">
        <v>16873</v>
      </c>
      <c r="AQ956" t="s">
        <v>74</v>
      </c>
      <c r="AR956" t="s">
        <v>6642</v>
      </c>
      <c r="AS956" t="s">
        <v>6643</v>
      </c>
      <c r="AT956" t="s">
        <v>17153</v>
      </c>
      <c r="AU956">
        <v>2011</v>
      </c>
      <c r="AV956">
        <v>21</v>
      </c>
      <c r="AW956">
        <v>3</v>
      </c>
      <c r="AX956" t="s">
        <v>74</v>
      </c>
      <c r="AY956" t="s">
        <v>74</v>
      </c>
      <c r="AZ956" t="s">
        <v>74</v>
      </c>
      <c r="BA956" t="s">
        <v>74</v>
      </c>
      <c r="BB956">
        <v>226</v>
      </c>
      <c r="BC956">
        <v>230</v>
      </c>
      <c r="BD956" t="s">
        <v>74</v>
      </c>
      <c r="BE956" t="s">
        <v>17172</v>
      </c>
      <c r="BF956" t="str">
        <f>HYPERLINK("http://dx.doi.org/10.1016/j.cub.2011.01.002","http://dx.doi.org/10.1016/j.cub.2011.01.002")</f>
        <v>http://dx.doi.org/10.1016/j.cub.2011.01.002</v>
      </c>
      <c r="BG956" t="s">
        <v>74</v>
      </c>
      <c r="BH956" t="s">
        <v>74</v>
      </c>
      <c r="BI956">
        <v>5</v>
      </c>
      <c r="BJ956" t="s">
        <v>6647</v>
      </c>
      <c r="BK956" t="s">
        <v>100</v>
      </c>
      <c r="BL956" t="s">
        <v>6648</v>
      </c>
      <c r="BM956" t="s">
        <v>17173</v>
      </c>
      <c r="BN956">
        <v>21256017</v>
      </c>
      <c r="BO956" t="s">
        <v>17174</v>
      </c>
      <c r="BP956" t="s">
        <v>74</v>
      </c>
      <c r="BQ956" t="s">
        <v>74</v>
      </c>
      <c r="BR956" t="s">
        <v>103</v>
      </c>
      <c r="BS956" t="s">
        <v>17175</v>
      </c>
      <c r="BT956" t="str">
        <f>HYPERLINK("https%3A%2F%2Fwww.webofscience.com%2Fwos%2Fwoscc%2Ffull-record%2FWOS:000287259600025","View Full Record in Web of Science")</f>
        <v>View Full Record in Web of Science</v>
      </c>
    </row>
    <row r="957" spans="1:72" x14ac:dyDescent="0.15">
      <c r="A957" t="s">
        <v>72</v>
      </c>
      <c r="B957" t="s">
        <v>17176</v>
      </c>
      <c r="C957" t="s">
        <v>74</v>
      </c>
      <c r="D957" t="s">
        <v>74</v>
      </c>
      <c r="E957" t="s">
        <v>74</v>
      </c>
      <c r="F957" t="s">
        <v>17177</v>
      </c>
      <c r="G957" t="s">
        <v>74</v>
      </c>
      <c r="H957" t="s">
        <v>74</v>
      </c>
      <c r="I957" t="s">
        <v>17178</v>
      </c>
      <c r="J957" t="s">
        <v>6414</v>
      </c>
      <c r="K957" t="s">
        <v>74</v>
      </c>
      <c r="L957" t="s">
        <v>74</v>
      </c>
      <c r="M957" t="s">
        <v>78</v>
      </c>
      <c r="N957" t="s">
        <v>79</v>
      </c>
      <c r="O957" t="s">
        <v>74</v>
      </c>
      <c r="P957" t="s">
        <v>74</v>
      </c>
      <c r="Q957" t="s">
        <v>74</v>
      </c>
      <c r="R957" t="s">
        <v>74</v>
      </c>
      <c r="S957" t="s">
        <v>74</v>
      </c>
      <c r="T957" t="s">
        <v>74</v>
      </c>
      <c r="U957" t="s">
        <v>17179</v>
      </c>
      <c r="V957" t="s">
        <v>17180</v>
      </c>
      <c r="W957" t="s">
        <v>17181</v>
      </c>
      <c r="X957" t="s">
        <v>17182</v>
      </c>
      <c r="Y957" t="s">
        <v>17183</v>
      </c>
      <c r="Z957" t="s">
        <v>17184</v>
      </c>
      <c r="AA957" t="s">
        <v>17185</v>
      </c>
      <c r="AB957" t="s">
        <v>74</v>
      </c>
      <c r="AC957" t="s">
        <v>17186</v>
      </c>
      <c r="AD957" t="s">
        <v>17187</v>
      </c>
      <c r="AE957" t="s">
        <v>17188</v>
      </c>
      <c r="AF957" t="s">
        <v>74</v>
      </c>
      <c r="AG957">
        <v>97</v>
      </c>
      <c r="AH957">
        <v>99</v>
      </c>
      <c r="AI957">
        <v>104</v>
      </c>
      <c r="AJ957">
        <v>0</v>
      </c>
      <c r="AK957">
        <v>15</v>
      </c>
      <c r="AL957" t="s">
        <v>120</v>
      </c>
      <c r="AM957" t="s">
        <v>121</v>
      </c>
      <c r="AN957" t="s">
        <v>122</v>
      </c>
      <c r="AO957" t="s">
        <v>6425</v>
      </c>
      <c r="AP957" t="s">
        <v>6426</v>
      </c>
      <c r="AQ957" t="s">
        <v>74</v>
      </c>
      <c r="AR957" t="s">
        <v>6427</v>
      </c>
      <c r="AS957" t="s">
        <v>6428</v>
      </c>
      <c r="AT957" t="s">
        <v>17153</v>
      </c>
      <c r="AU957">
        <v>2011</v>
      </c>
      <c r="AV957">
        <v>116</v>
      </c>
      <c r="AW957" t="s">
        <v>74</v>
      </c>
      <c r="AX957" t="s">
        <v>74</v>
      </c>
      <c r="AY957" t="s">
        <v>74</v>
      </c>
      <c r="AZ957" t="s">
        <v>74</v>
      </c>
      <c r="BA957" t="s">
        <v>74</v>
      </c>
      <c r="BB957" t="s">
        <v>74</v>
      </c>
      <c r="BC957" t="s">
        <v>74</v>
      </c>
      <c r="BD957" t="s">
        <v>17189</v>
      </c>
      <c r="BE957" t="s">
        <v>17190</v>
      </c>
      <c r="BF957" t="str">
        <f>HYPERLINK("http://dx.doi.org/10.1029/2010JB007607","http://dx.doi.org/10.1029/2010JB007607")</f>
        <v>http://dx.doi.org/10.1029/2010JB007607</v>
      </c>
      <c r="BG957" t="s">
        <v>74</v>
      </c>
      <c r="BH957" t="s">
        <v>74</v>
      </c>
      <c r="BI957">
        <v>24</v>
      </c>
      <c r="BJ957" t="s">
        <v>488</v>
      </c>
      <c r="BK957" t="s">
        <v>100</v>
      </c>
      <c r="BL957" t="s">
        <v>488</v>
      </c>
      <c r="BM957" t="s">
        <v>17191</v>
      </c>
      <c r="BN957" t="s">
        <v>74</v>
      </c>
      <c r="BO957" t="s">
        <v>273</v>
      </c>
      <c r="BP957" t="s">
        <v>74</v>
      </c>
      <c r="BQ957" t="s">
        <v>74</v>
      </c>
      <c r="BR957" t="s">
        <v>103</v>
      </c>
      <c r="BS957" t="s">
        <v>17192</v>
      </c>
      <c r="BT957" t="str">
        <f>HYPERLINK("https%3A%2F%2Fwww.webofscience.com%2Fwos%2Fwoscc%2Ffull-record%2FWOS:000287324800001","View Full Record in Web of Science")</f>
        <v>View Full Record in Web of Science</v>
      </c>
    </row>
    <row r="958" spans="1:72" x14ac:dyDescent="0.15">
      <c r="A958" t="s">
        <v>72</v>
      </c>
      <c r="B958" t="s">
        <v>17193</v>
      </c>
      <c r="C958" t="s">
        <v>74</v>
      </c>
      <c r="D958" t="s">
        <v>74</v>
      </c>
      <c r="E958" t="s">
        <v>74</v>
      </c>
      <c r="F958" t="s">
        <v>17194</v>
      </c>
      <c r="G958" t="s">
        <v>74</v>
      </c>
      <c r="H958" t="s">
        <v>74</v>
      </c>
      <c r="I958" t="s">
        <v>17195</v>
      </c>
      <c r="J958" t="s">
        <v>3214</v>
      </c>
      <c r="K958" t="s">
        <v>74</v>
      </c>
      <c r="L958" t="s">
        <v>74</v>
      </c>
      <c r="M958" t="s">
        <v>78</v>
      </c>
      <c r="N958" t="s">
        <v>79</v>
      </c>
      <c r="O958" t="s">
        <v>74</v>
      </c>
      <c r="P958" t="s">
        <v>74</v>
      </c>
      <c r="Q958" t="s">
        <v>74</v>
      </c>
      <c r="R958" t="s">
        <v>74</v>
      </c>
      <c r="S958" t="s">
        <v>74</v>
      </c>
      <c r="T958" t="s">
        <v>17196</v>
      </c>
      <c r="U958" t="s">
        <v>17197</v>
      </c>
      <c r="V958" t="s">
        <v>17198</v>
      </c>
      <c r="W958" t="s">
        <v>17199</v>
      </c>
      <c r="X958" t="s">
        <v>3328</v>
      </c>
      <c r="Y958" t="s">
        <v>17200</v>
      </c>
      <c r="Z958" t="s">
        <v>6154</v>
      </c>
      <c r="AA958" t="s">
        <v>74</v>
      </c>
      <c r="AB958" t="s">
        <v>74</v>
      </c>
      <c r="AC958" t="s">
        <v>17201</v>
      </c>
      <c r="AD958" t="s">
        <v>17202</v>
      </c>
      <c r="AE958" t="s">
        <v>17203</v>
      </c>
      <c r="AF958" t="s">
        <v>74</v>
      </c>
      <c r="AG958">
        <v>42</v>
      </c>
      <c r="AH958">
        <v>11</v>
      </c>
      <c r="AI958">
        <v>11</v>
      </c>
      <c r="AJ958">
        <v>0</v>
      </c>
      <c r="AK958">
        <v>2</v>
      </c>
      <c r="AL958" t="s">
        <v>3225</v>
      </c>
      <c r="AM958" t="s">
        <v>3226</v>
      </c>
      <c r="AN958" t="s">
        <v>3227</v>
      </c>
      <c r="AO958" t="s">
        <v>3228</v>
      </c>
      <c r="AP958" t="s">
        <v>3229</v>
      </c>
      <c r="AQ958" t="s">
        <v>74</v>
      </c>
      <c r="AR958" t="s">
        <v>3214</v>
      </c>
      <c r="AS958" t="s">
        <v>3230</v>
      </c>
      <c r="AT958" t="s">
        <v>17204</v>
      </c>
      <c r="AU958">
        <v>2011</v>
      </c>
      <c r="AV958" t="s">
        <v>74</v>
      </c>
      <c r="AW958">
        <v>2759</v>
      </c>
      <c r="AX958" t="s">
        <v>74</v>
      </c>
      <c r="AY958" t="s">
        <v>74</v>
      </c>
      <c r="AZ958" t="s">
        <v>74</v>
      </c>
      <c r="BA958" t="s">
        <v>74</v>
      </c>
      <c r="BB958">
        <v>1</v>
      </c>
      <c r="BC958">
        <v>48</v>
      </c>
      <c r="BD958" t="s">
        <v>74</v>
      </c>
      <c r="BE958" t="s">
        <v>74</v>
      </c>
      <c r="BF958" t="s">
        <v>74</v>
      </c>
      <c r="BG958" t="s">
        <v>74</v>
      </c>
      <c r="BH958" t="s">
        <v>74</v>
      </c>
      <c r="BI958">
        <v>48</v>
      </c>
      <c r="BJ958" t="s">
        <v>3232</v>
      </c>
      <c r="BK958" t="s">
        <v>100</v>
      </c>
      <c r="BL958" t="s">
        <v>3232</v>
      </c>
      <c r="BM958" t="s">
        <v>17205</v>
      </c>
      <c r="BN958" t="s">
        <v>74</v>
      </c>
      <c r="BO958" t="s">
        <v>74</v>
      </c>
      <c r="BP958" t="s">
        <v>74</v>
      </c>
      <c r="BQ958" t="s">
        <v>74</v>
      </c>
      <c r="BR958" t="s">
        <v>103</v>
      </c>
      <c r="BS958" t="s">
        <v>17206</v>
      </c>
      <c r="BT958" t="str">
        <f>HYPERLINK("https%3A%2F%2Fwww.webofscience.com%2Fwos%2Fwoscc%2Ffull-record%2FWOS:000286980700001","View Full Record in Web of Science")</f>
        <v>View Full Record in Web of Science</v>
      </c>
    </row>
    <row r="959" spans="1:72" x14ac:dyDescent="0.15">
      <c r="A959" t="s">
        <v>72</v>
      </c>
      <c r="B959" t="s">
        <v>17207</v>
      </c>
      <c r="C959" t="s">
        <v>74</v>
      </c>
      <c r="D959" t="s">
        <v>74</v>
      </c>
      <c r="E959" t="s">
        <v>74</v>
      </c>
      <c r="F959" t="s">
        <v>17208</v>
      </c>
      <c r="G959" t="s">
        <v>74</v>
      </c>
      <c r="H959" t="s">
        <v>74</v>
      </c>
      <c r="I959" t="s">
        <v>17209</v>
      </c>
      <c r="J959" t="s">
        <v>108</v>
      </c>
      <c r="K959" t="s">
        <v>74</v>
      </c>
      <c r="L959" t="s">
        <v>74</v>
      </c>
      <c r="M959" t="s">
        <v>78</v>
      </c>
      <c r="N959" t="s">
        <v>79</v>
      </c>
      <c r="O959" t="s">
        <v>74</v>
      </c>
      <c r="P959" t="s">
        <v>74</v>
      </c>
      <c r="Q959" t="s">
        <v>74</v>
      </c>
      <c r="R959" t="s">
        <v>74</v>
      </c>
      <c r="S959" t="s">
        <v>74</v>
      </c>
      <c r="T959" t="s">
        <v>74</v>
      </c>
      <c r="U959" t="s">
        <v>17210</v>
      </c>
      <c r="V959" t="s">
        <v>17211</v>
      </c>
      <c r="W959" t="s">
        <v>17212</v>
      </c>
      <c r="X959" t="s">
        <v>17213</v>
      </c>
      <c r="Y959" t="s">
        <v>17214</v>
      </c>
      <c r="Z959" t="s">
        <v>17215</v>
      </c>
      <c r="AA959" t="s">
        <v>17216</v>
      </c>
      <c r="AB959" t="s">
        <v>74</v>
      </c>
      <c r="AC959" t="s">
        <v>17217</v>
      </c>
      <c r="AD959" t="s">
        <v>17218</v>
      </c>
      <c r="AE959" t="s">
        <v>17219</v>
      </c>
      <c r="AF959" t="s">
        <v>74</v>
      </c>
      <c r="AG959">
        <v>36</v>
      </c>
      <c r="AH959">
        <v>31</v>
      </c>
      <c r="AI959">
        <v>32</v>
      </c>
      <c r="AJ959">
        <v>1</v>
      </c>
      <c r="AK959">
        <v>11</v>
      </c>
      <c r="AL959" t="s">
        <v>120</v>
      </c>
      <c r="AM959" t="s">
        <v>121</v>
      </c>
      <c r="AN959" t="s">
        <v>122</v>
      </c>
      <c r="AO959" t="s">
        <v>123</v>
      </c>
      <c r="AP959" t="s">
        <v>124</v>
      </c>
      <c r="AQ959" t="s">
        <v>74</v>
      </c>
      <c r="AR959" t="s">
        <v>125</v>
      </c>
      <c r="AS959" t="s">
        <v>126</v>
      </c>
      <c r="AT959" t="s">
        <v>17220</v>
      </c>
      <c r="AU959">
        <v>2011</v>
      </c>
      <c r="AV959">
        <v>38</v>
      </c>
      <c r="AW959" t="s">
        <v>74</v>
      </c>
      <c r="AX959" t="s">
        <v>74</v>
      </c>
      <c r="AY959" t="s">
        <v>74</v>
      </c>
      <c r="AZ959" t="s">
        <v>74</v>
      </c>
      <c r="BA959" t="s">
        <v>74</v>
      </c>
      <c r="BB959" t="s">
        <v>74</v>
      </c>
      <c r="BC959" t="s">
        <v>74</v>
      </c>
      <c r="BD959" t="s">
        <v>17221</v>
      </c>
      <c r="BE959" t="s">
        <v>17222</v>
      </c>
      <c r="BF959" t="str">
        <f>HYPERLINK("http://dx.doi.org/10.1029/2010GL045972","http://dx.doi.org/10.1029/2010GL045972")</f>
        <v>http://dx.doi.org/10.1029/2010GL045972</v>
      </c>
      <c r="BG959" t="s">
        <v>74</v>
      </c>
      <c r="BH959" t="s">
        <v>74</v>
      </c>
      <c r="BI959">
        <v>5</v>
      </c>
      <c r="BJ959" t="s">
        <v>130</v>
      </c>
      <c r="BK959" t="s">
        <v>100</v>
      </c>
      <c r="BL959" t="s">
        <v>131</v>
      </c>
      <c r="BM959" t="s">
        <v>17223</v>
      </c>
      <c r="BN959" t="s">
        <v>74</v>
      </c>
      <c r="BO959" t="s">
        <v>393</v>
      </c>
      <c r="BP959" t="s">
        <v>74</v>
      </c>
      <c r="BQ959" t="s">
        <v>74</v>
      </c>
      <c r="BR959" t="s">
        <v>103</v>
      </c>
      <c r="BS959" t="s">
        <v>17224</v>
      </c>
      <c r="BT959" t="str">
        <f>HYPERLINK("https%3A%2F%2Fwww.webofscience.com%2Fwos%2Fwoscc%2Ffull-record%2FWOS:000287038300002","View Full Record in Web of Science")</f>
        <v>View Full Record in Web of Science</v>
      </c>
    </row>
    <row r="960" spans="1:72" x14ac:dyDescent="0.15">
      <c r="A960" t="s">
        <v>72</v>
      </c>
      <c r="B960" t="s">
        <v>17225</v>
      </c>
      <c r="C960" t="s">
        <v>74</v>
      </c>
      <c r="D960" t="s">
        <v>74</v>
      </c>
      <c r="E960" t="s">
        <v>74</v>
      </c>
      <c r="F960" t="s">
        <v>17226</v>
      </c>
      <c r="G960" t="s">
        <v>74</v>
      </c>
      <c r="H960" t="s">
        <v>74</v>
      </c>
      <c r="I960" t="s">
        <v>17227</v>
      </c>
      <c r="J960" t="s">
        <v>108</v>
      </c>
      <c r="K960" t="s">
        <v>74</v>
      </c>
      <c r="L960" t="s">
        <v>74</v>
      </c>
      <c r="M960" t="s">
        <v>78</v>
      </c>
      <c r="N960" t="s">
        <v>79</v>
      </c>
      <c r="O960" t="s">
        <v>74</v>
      </c>
      <c r="P960" t="s">
        <v>74</v>
      </c>
      <c r="Q960" t="s">
        <v>74</v>
      </c>
      <c r="R960" t="s">
        <v>74</v>
      </c>
      <c r="S960" t="s">
        <v>74</v>
      </c>
      <c r="T960" t="s">
        <v>74</v>
      </c>
      <c r="U960" t="s">
        <v>17228</v>
      </c>
      <c r="V960" t="s">
        <v>17229</v>
      </c>
      <c r="W960" t="s">
        <v>17230</v>
      </c>
      <c r="X960" t="s">
        <v>17231</v>
      </c>
      <c r="Y960" t="s">
        <v>5085</v>
      </c>
      <c r="Z960" t="s">
        <v>5086</v>
      </c>
      <c r="AA960" t="s">
        <v>17232</v>
      </c>
      <c r="AB960" t="s">
        <v>17233</v>
      </c>
      <c r="AC960" t="s">
        <v>17234</v>
      </c>
      <c r="AD960" t="s">
        <v>17235</v>
      </c>
      <c r="AE960" t="s">
        <v>17236</v>
      </c>
      <c r="AF960" t="s">
        <v>74</v>
      </c>
      <c r="AG960">
        <v>22</v>
      </c>
      <c r="AH960">
        <v>43</v>
      </c>
      <c r="AI960">
        <v>47</v>
      </c>
      <c r="AJ960">
        <v>0</v>
      </c>
      <c r="AK960">
        <v>13</v>
      </c>
      <c r="AL960" t="s">
        <v>120</v>
      </c>
      <c r="AM960" t="s">
        <v>121</v>
      </c>
      <c r="AN960" t="s">
        <v>122</v>
      </c>
      <c r="AO960" t="s">
        <v>123</v>
      </c>
      <c r="AP960" t="s">
        <v>74</v>
      </c>
      <c r="AQ960" t="s">
        <v>74</v>
      </c>
      <c r="AR960" t="s">
        <v>125</v>
      </c>
      <c r="AS960" t="s">
        <v>126</v>
      </c>
      <c r="AT960" t="s">
        <v>17220</v>
      </c>
      <c r="AU960">
        <v>2011</v>
      </c>
      <c r="AV960">
        <v>38</v>
      </c>
      <c r="AW960" t="s">
        <v>74</v>
      </c>
      <c r="AX960" t="s">
        <v>74</v>
      </c>
      <c r="AY960" t="s">
        <v>74</v>
      </c>
      <c r="AZ960" t="s">
        <v>74</v>
      </c>
      <c r="BA960" t="s">
        <v>74</v>
      </c>
      <c r="BB960" t="s">
        <v>74</v>
      </c>
      <c r="BC960" t="s">
        <v>74</v>
      </c>
      <c r="BD960" t="s">
        <v>17237</v>
      </c>
      <c r="BE960" t="s">
        <v>17238</v>
      </c>
      <c r="BF960" t="str">
        <f>HYPERLINK("http://dx.doi.org/10.1029/2010GL046265","http://dx.doi.org/10.1029/2010GL046265")</f>
        <v>http://dx.doi.org/10.1029/2010GL046265</v>
      </c>
      <c r="BG960" t="s">
        <v>74</v>
      </c>
      <c r="BH960" t="s">
        <v>74</v>
      </c>
      <c r="BI960">
        <v>4</v>
      </c>
      <c r="BJ960" t="s">
        <v>130</v>
      </c>
      <c r="BK960" t="s">
        <v>100</v>
      </c>
      <c r="BL960" t="s">
        <v>131</v>
      </c>
      <c r="BM960" t="s">
        <v>17223</v>
      </c>
      <c r="BN960" t="s">
        <v>74</v>
      </c>
      <c r="BO960" t="s">
        <v>594</v>
      </c>
      <c r="BP960" t="s">
        <v>74</v>
      </c>
      <c r="BQ960" t="s">
        <v>74</v>
      </c>
      <c r="BR960" t="s">
        <v>103</v>
      </c>
      <c r="BS960" t="s">
        <v>17239</v>
      </c>
      <c r="BT960" t="str">
        <f>HYPERLINK("https%3A%2F%2Fwww.webofscience.com%2Fwos%2Fwoscc%2Ffull-record%2FWOS:000287038300005","View Full Record in Web of Science")</f>
        <v>View Full Record in Web of Science</v>
      </c>
    </row>
    <row r="961" spans="1:72" x14ac:dyDescent="0.15">
      <c r="A961" t="s">
        <v>72</v>
      </c>
      <c r="B961" t="s">
        <v>9233</v>
      </c>
      <c r="C961" t="s">
        <v>74</v>
      </c>
      <c r="D961" t="s">
        <v>74</v>
      </c>
      <c r="E961" t="s">
        <v>74</v>
      </c>
      <c r="F961" t="s">
        <v>9234</v>
      </c>
      <c r="G961" t="s">
        <v>74</v>
      </c>
      <c r="H961" t="s">
        <v>74</v>
      </c>
      <c r="I961" t="s">
        <v>17240</v>
      </c>
      <c r="J961" t="s">
        <v>6981</v>
      </c>
      <c r="K961" t="s">
        <v>74</v>
      </c>
      <c r="L961" t="s">
        <v>74</v>
      </c>
      <c r="M961" t="s">
        <v>78</v>
      </c>
      <c r="N961" t="s">
        <v>2002</v>
      </c>
      <c r="O961" t="s">
        <v>74</v>
      </c>
      <c r="P961" t="s">
        <v>74</v>
      </c>
      <c r="Q961" t="s">
        <v>74</v>
      </c>
      <c r="R961" t="s">
        <v>74</v>
      </c>
      <c r="S961" t="s">
        <v>74</v>
      </c>
      <c r="T961" t="s">
        <v>74</v>
      </c>
      <c r="U961" t="s">
        <v>74</v>
      </c>
      <c r="V961" t="s">
        <v>74</v>
      </c>
      <c r="W961" t="s">
        <v>2437</v>
      </c>
      <c r="X961" t="s">
        <v>2015</v>
      </c>
      <c r="Y961" t="s">
        <v>17241</v>
      </c>
      <c r="Z961" t="s">
        <v>9240</v>
      </c>
      <c r="AA961" t="s">
        <v>6703</v>
      </c>
      <c r="AB961" t="s">
        <v>6704</v>
      </c>
      <c r="AC961" t="s">
        <v>17242</v>
      </c>
      <c r="AD961" t="s">
        <v>2067</v>
      </c>
      <c r="AE961" t="s">
        <v>74</v>
      </c>
      <c r="AF961" t="s">
        <v>74</v>
      </c>
      <c r="AG961">
        <v>10</v>
      </c>
      <c r="AH961">
        <v>6</v>
      </c>
      <c r="AI961">
        <v>7</v>
      </c>
      <c r="AJ961">
        <v>2</v>
      </c>
      <c r="AK961">
        <v>29</v>
      </c>
      <c r="AL961" t="s">
        <v>2577</v>
      </c>
      <c r="AM961" t="s">
        <v>1490</v>
      </c>
      <c r="AN961" t="s">
        <v>6989</v>
      </c>
      <c r="AO961" t="s">
        <v>6990</v>
      </c>
      <c r="AP961" t="s">
        <v>74</v>
      </c>
      <c r="AQ961" t="s">
        <v>74</v>
      </c>
      <c r="AR961" t="s">
        <v>6981</v>
      </c>
      <c r="AS961" t="s">
        <v>6991</v>
      </c>
      <c r="AT961" t="s">
        <v>17220</v>
      </c>
      <c r="AU961">
        <v>2011</v>
      </c>
      <c r="AV961">
        <v>470</v>
      </c>
      <c r="AW961">
        <v>7332</v>
      </c>
      <c r="AX961" t="s">
        <v>74</v>
      </c>
      <c r="AY961" t="s">
        <v>74</v>
      </c>
      <c r="AZ961" t="s">
        <v>74</v>
      </c>
      <c r="BA961" t="s">
        <v>74</v>
      </c>
      <c r="BB961">
        <v>49</v>
      </c>
      <c r="BC961">
        <v>50</v>
      </c>
      <c r="BD961" t="s">
        <v>74</v>
      </c>
      <c r="BE961" t="s">
        <v>17243</v>
      </c>
      <c r="BF961" t="str">
        <f>HYPERLINK("http://dx.doi.org/10.1038/470049a","http://dx.doi.org/10.1038/470049a")</f>
        <v>http://dx.doi.org/10.1038/470049a</v>
      </c>
      <c r="BG961" t="s">
        <v>74</v>
      </c>
      <c r="BH961" t="s">
        <v>74</v>
      </c>
      <c r="BI961">
        <v>2</v>
      </c>
      <c r="BJ961" t="s">
        <v>177</v>
      </c>
      <c r="BK961" t="s">
        <v>100</v>
      </c>
      <c r="BL961" t="s">
        <v>178</v>
      </c>
      <c r="BM961" t="s">
        <v>17244</v>
      </c>
      <c r="BN961">
        <v>21293369</v>
      </c>
      <c r="BO961" t="s">
        <v>152</v>
      </c>
      <c r="BP961" t="s">
        <v>74</v>
      </c>
      <c r="BQ961" t="s">
        <v>74</v>
      </c>
      <c r="BR961" t="s">
        <v>103</v>
      </c>
      <c r="BS961" t="s">
        <v>17245</v>
      </c>
      <c r="BT961" t="str">
        <f>HYPERLINK("https%3A%2F%2Fwww.webofscience.com%2Fwos%2Fwoscc%2Ffull-record%2FWOS:000286886400030","View Full Record in Web of Science")</f>
        <v>View Full Record in Web of Science</v>
      </c>
    </row>
    <row r="962" spans="1:72" x14ac:dyDescent="0.15">
      <c r="A962" t="s">
        <v>72</v>
      </c>
      <c r="B962" t="s">
        <v>17246</v>
      </c>
      <c r="C962" t="s">
        <v>74</v>
      </c>
      <c r="D962" t="s">
        <v>74</v>
      </c>
      <c r="E962" t="s">
        <v>74</v>
      </c>
      <c r="F962" t="s">
        <v>17247</v>
      </c>
      <c r="G962" t="s">
        <v>74</v>
      </c>
      <c r="H962" t="s">
        <v>74</v>
      </c>
      <c r="I962" t="s">
        <v>17248</v>
      </c>
      <c r="J962" t="s">
        <v>157</v>
      </c>
      <c r="K962" t="s">
        <v>74</v>
      </c>
      <c r="L962" t="s">
        <v>74</v>
      </c>
      <c r="M962" t="s">
        <v>78</v>
      </c>
      <c r="N962" t="s">
        <v>79</v>
      </c>
      <c r="O962" t="s">
        <v>74</v>
      </c>
      <c r="P962" t="s">
        <v>74</v>
      </c>
      <c r="Q962" t="s">
        <v>74</v>
      </c>
      <c r="R962" t="s">
        <v>74</v>
      </c>
      <c r="S962" t="s">
        <v>74</v>
      </c>
      <c r="T962" t="s">
        <v>74</v>
      </c>
      <c r="U962" t="s">
        <v>17249</v>
      </c>
      <c r="V962" t="s">
        <v>17250</v>
      </c>
      <c r="W962" t="s">
        <v>17251</v>
      </c>
      <c r="X962" t="s">
        <v>6268</v>
      </c>
      <c r="Y962" t="s">
        <v>17252</v>
      </c>
      <c r="Z962" t="s">
        <v>17253</v>
      </c>
      <c r="AA962" t="s">
        <v>17254</v>
      </c>
      <c r="AB962" t="s">
        <v>17255</v>
      </c>
      <c r="AC962" t="s">
        <v>17256</v>
      </c>
      <c r="AD962" t="s">
        <v>17257</v>
      </c>
      <c r="AE962" t="s">
        <v>17258</v>
      </c>
      <c r="AF962" t="s">
        <v>74</v>
      </c>
      <c r="AG962">
        <v>43</v>
      </c>
      <c r="AH962">
        <v>36</v>
      </c>
      <c r="AI962">
        <v>38</v>
      </c>
      <c r="AJ962">
        <v>0</v>
      </c>
      <c r="AK962">
        <v>25</v>
      </c>
      <c r="AL962" t="s">
        <v>169</v>
      </c>
      <c r="AM962" t="s">
        <v>170</v>
      </c>
      <c r="AN962" t="s">
        <v>17259</v>
      </c>
      <c r="AO962" t="s">
        <v>172</v>
      </c>
      <c r="AP962" t="s">
        <v>74</v>
      </c>
      <c r="AQ962" t="s">
        <v>74</v>
      </c>
      <c r="AR962" t="s">
        <v>157</v>
      </c>
      <c r="AS962" t="s">
        <v>173</v>
      </c>
      <c r="AT962" t="s">
        <v>17260</v>
      </c>
      <c r="AU962">
        <v>2011</v>
      </c>
      <c r="AV962">
        <v>6</v>
      </c>
      <c r="AW962">
        <v>2</v>
      </c>
      <c r="AX962" t="s">
        <v>74</v>
      </c>
      <c r="AY962" t="s">
        <v>74</v>
      </c>
      <c r="AZ962" t="s">
        <v>74</v>
      </c>
      <c r="BA962" t="s">
        <v>74</v>
      </c>
      <c r="BB962" t="s">
        <v>74</v>
      </c>
      <c r="BC962" t="s">
        <v>74</v>
      </c>
      <c r="BD962" t="s">
        <v>17261</v>
      </c>
      <c r="BE962" t="s">
        <v>17262</v>
      </c>
      <c r="BF962" t="str">
        <f>HYPERLINK("http://dx.doi.org/10.1371/journal.pone.0016484","http://dx.doi.org/10.1371/journal.pone.0016484")</f>
        <v>http://dx.doi.org/10.1371/journal.pone.0016484</v>
      </c>
      <c r="BG962" t="s">
        <v>74</v>
      </c>
      <c r="BH962" t="s">
        <v>74</v>
      </c>
      <c r="BI962">
        <v>7</v>
      </c>
      <c r="BJ962" t="s">
        <v>177</v>
      </c>
      <c r="BK962" t="s">
        <v>100</v>
      </c>
      <c r="BL962" t="s">
        <v>178</v>
      </c>
      <c r="BM962" t="s">
        <v>17263</v>
      </c>
      <c r="BN962" t="s">
        <v>74</v>
      </c>
      <c r="BO962" t="s">
        <v>198</v>
      </c>
      <c r="BP962" t="s">
        <v>74</v>
      </c>
      <c r="BQ962" t="s">
        <v>74</v>
      </c>
      <c r="BR962" t="s">
        <v>103</v>
      </c>
      <c r="BS962" t="s">
        <v>17264</v>
      </c>
      <c r="BT962" t="str">
        <f>HYPERLINK("https%3A%2F%2Fwww.webofscience.com%2Fwos%2Fwoscc%2Ffull-record%2FWOS:000287036200017","View Full Record in Web of Science")</f>
        <v>View Full Record in Web of Science</v>
      </c>
    </row>
    <row r="963" spans="1:72" x14ac:dyDescent="0.15">
      <c r="A963" t="s">
        <v>72</v>
      </c>
      <c r="B963" t="s">
        <v>17265</v>
      </c>
      <c r="C963" t="s">
        <v>74</v>
      </c>
      <c r="D963" t="s">
        <v>74</v>
      </c>
      <c r="E963" t="s">
        <v>74</v>
      </c>
      <c r="F963" t="s">
        <v>17266</v>
      </c>
      <c r="G963" t="s">
        <v>74</v>
      </c>
      <c r="H963" t="s">
        <v>74</v>
      </c>
      <c r="I963" t="s">
        <v>17267</v>
      </c>
      <c r="J963" t="s">
        <v>2229</v>
      </c>
      <c r="K963" t="s">
        <v>74</v>
      </c>
      <c r="L963" t="s">
        <v>74</v>
      </c>
      <c r="M963" t="s">
        <v>78</v>
      </c>
      <c r="N963" t="s">
        <v>79</v>
      </c>
      <c r="O963" t="s">
        <v>74</v>
      </c>
      <c r="P963" t="s">
        <v>74</v>
      </c>
      <c r="Q963" t="s">
        <v>74</v>
      </c>
      <c r="R963" t="s">
        <v>74</v>
      </c>
      <c r="S963" t="s">
        <v>74</v>
      </c>
      <c r="T963" t="s">
        <v>17268</v>
      </c>
      <c r="U963" t="s">
        <v>17269</v>
      </c>
      <c r="V963" t="s">
        <v>17270</v>
      </c>
      <c r="W963" t="s">
        <v>17271</v>
      </c>
      <c r="X963" t="s">
        <v>17272</v>
      </c>
      <c r="Y963" t="s">
        <v>17273</v>
      </c>
      <c r="Z963" t="s">
        <v>17274</v>
      </c>
      <c r="AA963" t="s">
        <v>17275</v>
      </c>
      <c r="AB963" t="s">
        <v>17276</v>
      </c>
      <c r="AC963" t="s">
        <v>17277</v>
      </c>
      <c r="AD963" t="s">
        <v>17278</v>
      </c>
      <c r="AE963" t="s">
        <v>17279</v>
      </c>
      <c r="AF963" t="s">
        <v>74</v>
      </c>
      <c r="AG963">
        <v>79</v>
      </c>
      <c r="AH963">
        <v>30</v>
      </c>
      <c r="AI963">
        <v>33</v>
      </c>
      <c r="AJ963">
        <v>0</v>
      </c>
      <c r="AK963">
        <v>37</v>
      </c>
      <c r="AL963" t="s">
        <v>308</v>
      </c>
      <c r="AM963" t="s">
        <v>309</v>
      </c>
      <c r="AN963" t="s">
        <v>310</v>
      </c>
      <c r="AO963" t="s">
        <v>2242</v>
      </c>
      <c r="AP963" t="s">
        <v>2243</v>
      </c>
      <c r="AQ963" t="s">
        <v>74</v>
      </c>
      <c r="AR963" t="s">
        <v>2244</v>
      </c>
      <c r="AS963" t="s">
        <v>2245</v>
      </c>
      <c r="AT963" t="s">
        <v>17280</v>
      </c>
      <c r="AU963">
        <v>2011</v>
      </c>
      <c r="AV963">
        <v>302</v>
      </c>
      <c r="AW963" t="s">
        <v>2154</v>
      </c>
      <c r="AX963" t="s">
        <v>74</v>
      </c>
      <c r="AY963" t="s">
        <v>74</v>
      </c>
      <c r="AZ963" t="s">
        <v>74</v>
      </c>
      <c r="BA963" t="s">
        <v>74</v>
      </c>
      <c r="BB963">
        <v>1</v>
      </c>
      <c r="BC963">
        <v>13</v>
      </c>
      <c r="BD963" t="s">
        <v>74</v>
      </c>
      <c r="BE963" t="s">
        <v>17281</v>
      </c>
      <c r="BF963" t="str">
        <f>HYPERLINK("http://dx.doi.org/10.1016/j.epsl.2010.11.011","http://dx.doi.org/10.1016/j.epsl.2010.11.011")</f>
        <v>http://dx.doi.org/10.1016/j.epsl.2010.11.011</v>
      </c>
      <c r="BG963" t="s">
        <v>74</v>
      </c>
      <c r="BH963" t="s">
        <v>74</v>
      </c>
      <c r="BI963">
        <v>13</v>
      </c>
      <c r="BJ963" t="s">
        <v>488</v>
      </c>
      <c r="BK963" t="s">
        <v>100</v>
      </c>
      <c r="BL963" t="s">
        <v>488</v>
      </c>
      <c r="BM963" t="s">
        <v>17282</v>
      </c>
      <c r="BN963" t="s">
        <v>74</v>
      </c>
      <c r="BO963" t="s">
        <v>7561</v>
      </c>
      <c r="BP963" t="s">
        <v>74</v>
      </c>
      <c r="BQ963" t="s">
        <v>74</v>
      </c>
      <c r="BR963" t="s">
        <v>103</v>
      </c>
      <c r="BS963" t="s">
        <v>17283</v>
      </c>
      <c r="BT963" t="str">
        <f>HYPERLINK("https%3A%2F%2Fwww.webofscience.com%2Fwos%2Fwoscc%2Ffull-record%2FWOS:000287555800001","View Full Record in Web of Science")</f>
        <v>View Full Record in Web of Science</v>
      </c>
    </row>
    <row r="964" spans="1:72" x14ac:dyDescent="0.15">
      <c r="A964" t="s">
        <v>72</v>
      </c>
      <c r="B964" t="s">
        <v>17284</v>
      </c>
      <c r="C964" t="s">
        <v>74</v>
      </c>
      <c r="D964" t="s">
        <v>74</v>
      </c>
      <c r="E964" t="s">
        <v>74</v>
      </c>
      <c r="F964" t="s">
        <v>17285</v>
      </c>
      <c r="G964" t="s">
        <v>74</v>
      </c>
      <c r="H964" t="s">
        <v>74</v>
      </c>
      <c r="I964" t="s">
        <v>17286</v>
      </c>
      <c r="J964" t="s">
        <v>17287</v>
      </c>
      <c r="K964" t="s">
        <v>74</v>
      </c>
      <c r="L964" t="s">
        <v>74</v>
      </c>
      <c r="M964" t="s">
        <v>78</v>
      </c>
      <c r="N964" t="s">
        <v>79</v>
      </c>
      <c r="O964" t="s">
        <v>74</v>
      </c>
      <c r="P964" t="s">
        <v>74</v>
      </c>
      <c r="Q964" t="s">
        <v>74</v>
      </c>
      <c r="R964" t="s">
        <v>74</v>
      </c>
      <c r="S964" t="s">
        <v>74</v>
      </c>
      <c r="T964" t="s">
        <v>17288</v>
      </c>
      <c r="U964" t="s">
        <v>17289</v>
      </c>
      <c r="V964" t="s">
        <v>17290</v>
      </c>
      <c r="W964" t="s">
        <v>17291</v>
      </c>
      <c r="X964" t="s">
        <v>17292</v>
      </c>
      <c r="Y964" t="s">
        <v>17293</v>
      </c>
      <c r="Z964" t="s">
        <v>17294</v>
      </c>
      <c r="AA964" t="s">
        <v>74</v>
      </c>
      <c r="AB964" t="s">
        <v>74</v>
      </c>
      <c r="AC964" t="s">
        <v>17295</v>
      </c>
      <c r="AD964" t="s">
        <v>17296</v>
      </c>
      <c r="AE964" t="s">
        <v>17297</v>
      </c>
      <c r="AF964" t="s">
        <v>74</v>
      </c>
      <c r="AG964">
        <v>33</v>
      </c>
      <c r="AH964">
        <v>5</v>
      </c>
      <c r="AI964">
        <v>8</v>
      </c>
      <c r="AJ964">
        <v>0</v>
      </c>
      <c r="AK964">
        <v>17</v>
      </c>
      <c r="AL964" t="s">
        <v>1851</v>
      </c>
      <c r="AM964" t="s">
        <v>1852</v>
      </c>
      <c r="AN964" t="s">
        <v>1853</v>
      </c>
      <c r="AO964" t="s">
        <v>17298</v>
      </c>
      <c r="AP964" t="s">
        <v>17299</v>
      </c>
      <c r="AQ964" t="s">
        <v>74</v>
      </c>
      <c r="AR964" t="s">
        <v>17300</v>
      </c>
      <c r="AS964" t="s">
        <v>17301</v>
      </c>
      <c r="AT964" t="s">
        <v>17302</v>
      </c>
      <c r="AU964">
        <v>2011</v>
      </c>
      <c r="AV964">
        <v>39</v>
      </c>
      <c r="AW964" t="s">
        <v>2154</v>
      </c>
      <c r="AX964" t="s">
        <v>74</v>
      </c>
      <c r="AY964" t="s">
        <v>74</v>
      </c>
      <c r="AZ964" t="s">
        <v>74</v>
      </c>
      <c r="BA964" t="s">
        <v>74</v>
      </c>
      <c r="BB964">
        <v>7</v>
      </c>
      <c r="BC964">
        <v>13</v>
      </c>
      <c r="BD964" t="s">
        <v>74</v>
      </c>
      <c r="BE964" t="s">
        <v>17303</v>
      </c>
      <c r="BF964" t="str">
        <f>HYPERLINK("http://dx.doi.org/10.1016/j.ssnmr.2011.03.002","http://dx.doi.org/10.1016/j.ssnmr.2011.03.002")</f>
        <v>http://dx.doi.org/10.1016/j.ssnmr.2011.03.002</v>
      </c>
      <c r="BG964" t="s">
        <v>74</v>
      </c>
      <c r="BH964" t="s">
        <v>74</v>
      </c>
      <c r="BI964">
        <v>7</v>
      </c>
      <c r="BJ964" t="s">
        <v>17304</v>
      </c>
      <c r="BK964" t="s">
        <v>100</v>
      </c>
      <c r="BL964" t="s">
        <v>17305</v>
      </c>
      <c r="BM964" t="s">
        <v>17306</v>
      </c>
      <c r="BN964">
        <v>21470833</v>
      </c>
      <c r="BO964" t="s">
        <v>273</v>
      </c>
      <c r="BP964" t="s">
        <v>74</v>
      </c>
      <c r="BQ964" t="s">
        <v>74</v>
      </c>
      <c r="BR964" t="s">
        <v>103</v>
      </c>
      <c r="BS964" t="s">
        <v>17307</v>
      </c>
      <c r="BT964" t="str">
        <f>HYPERLINK("https%3A%2F%2Fwww.webofscience.com%2Fwos%2Fwoscc%2Ffull-record%2FWOS:000290700200002","View Full Record in Web of Science")</f>
        <v>View Full Record in Web of Science</v>
      </c>
    </row>
    <row r="965" spans="1:72" x14ac:dyDescent="0.15">
      <c r="A965" t="s">
        <v>72</v>
      </c>
      <c r="B965" t="s">
        <v>17308</v>
      </c>
      <c r="C965" t="s">
        <v>74</v>
      </c>
      <c r="D965" t="s">
        <v>74</v>
      </c>
      <c r="E965" t="s">
        <v>74</v>
      </c>
      <c r="F965" t="s">
        <v>17309</v>
      </c>
      <c r="G965" t="s">
        <v>74</v>
      </c>
      <c r="H965" t="s">
        <v>74</v>
      </c>
      <c r="I965" t="s">
        <v>17310</v>
      </c>
      <c r="J965" t="s">
        <v>781</v>
      </c>
      <c r="K965" t="s">
        <v>74</v>
      </c>
      <c r="L965" t="s">
        <v>74</v>
      </c>
      <c r="M965" t="s">
        <v>78</v>
      </c>
      <c r="N965" t="s">
        <v>79</v>
      </c>
      <c r="O965" t="s">
        <v>74</v>
      </c>
      <c r="P965" t="s">
        <v>74</v>
      </c>
      <c r="Q965" t="s">
        <v>74</v>
      </c>
      <c r="R965" t="s">
        <v>74</v>
      </c>
      <c r="S965" t="s">
        <v>74</v>
      </c>
      <c r="T965" t="s">
        <v>17311</v>
      </c>
      <c r="U965" t="s">
        <v>74</v>
      </c>
      <c r="V965" t="s">
        <v>17312</v>
      </c>
      <c r="W965" t="s">
        <v>17313</v>
      </c>
      <c r="X965" t="s">
        <v>3982</v>
      </c>
      <c r="Y965" t="s">
        <v>17314</v>
      </c>
      <c r="Z965" t="s">
        <v>17315</v>
      </c>
      <c r="AA965" t="s">
        <v>74</v>
      </c>
      <c r="AB965" t="s">
        <v>17316</v>
      </c>
      <c r="AC965" t="s">
        <v>17317</v>
      </c>
      <c r="AD965" t="s">
        <v>17317</v>
      </c>
      <c r="AE965" t="s">
        <v>17318</v>
      </c>
      <c r="AF965" t="s">
        <v>74</v>
      </c>
      <c r="AG965">
        <v>1</v>
      </c>
      <c r="AH965">
        <v>11</v>
      </c>
      <c r="AI965">
        <v>14</v>
      </c>
      <c r="AJ965">
        <v>0</v>
      </c>
      <c r="AK965">
        <v>5</v>
      </c>
      <c r="AL965" t="s">
        <v>793</v>
      </c>
      <c r="AM965" t="s">
        <v>794</v>
      </c>
      <c r="AN965" t="s">
        <v>795</v>
      </c>
      <c r="AO965" t="s">
        <v>796</v>
      </c>
      <c r="AP965" t="s">
        <v>74</v>
      </c>
      <c r="AQ965" t="s">
        <v>74</v>
      </c>
      <c r="AR965" t="s">
        <v>797</v>
      </c>
      <c r="AS965" t="s">
        <v>798</v>
      </c>
      <c r="AT965" t="s">
        <v>17319</v>
      </c>
      <c r="AU965">
        <v>2011</v>
      </c>
      <c r="AV965">
        <v>120</v>
      </c>
      <c r="AW965">
        <v>1</v>
      </c>
      <c r="AX965" t="s">
        <v>74</v>
      </c>
      <c r="AY965" t="s">
        <v>74</v>
      </c>
      <c r="AZ965" t="s">
        <v>74</v>
      </c>
      <c r="BA965" t="s">
        <v>74</v>
      </c>
      <c r="BB965">
        <v>145</v>
      </c>
      <c r="BC965">
        <v>155</v>
      </c>
      <c r="BD965" t="s">
        <v>74</v>
      </c>
      <c r="BE965" t="s">
        <v>17320</v>
      </c>
      <c r="BF965" t="str">
        <f>HYPERLINK("http://dx.doi.org/10.1007/s12040-011-0006-4","http://dx.doi.org/10.1007/s12040-011-0006-4")</f>
        <v>http://dx.doi.org/10.1007/s12040-011-0006-4</v>
      </c>
      <c r="BG965" t="s">
        <v>74</v>
      </c>
      <c r="BH965" t="s">
        <v>74</v>
      </c>
      <c r="BI965">
        <v>11</v>
      </c>
      <c r="BJ965" t="s">
        <v>800</v>
      </c>
      <c r="BK965" t="s">
        <v>100</v>
      </c>
      <c r="BL965" t="s">
        <v>801</v>
      </c>
      <c r="BM965" t="s">
        <v>17321</v>
      </c>
      <c r="BN965" t="s">
        <v>74</v>
      </c>
      <c r="BO965" t="s">
        <v>152</v>
      </c>
      <c r="BP965" t="s">
        <v>74</v>
      </c>
      <c r="BQ965" t="s">
        <v>74</v>
      </c>
      <c r="BR965" t="s">
        <v>103</v>
      </c>
      <c r="BS965" t="s">
        <v>17322</v>
      </c>
      <c r="BT965" t="str">
        <f>HYPERLINK("https%3A%2F%2Fwww.webofscience.com%2Fwos%2Fwoscc%2Ffull-record%2FWOS:000289960400011","View Full Record in Web of Science")</f>
        <v>View Full Record in Web of Science</v>
      </c>
    </row>
    <row r="966" spans="1:72" x14ac:dyDescent="0.15">
      <c r="A966" t="s">
        <v>72</v>
      </c>
      <c r="B966" t="s">
        <v>1581</v>
      </c>
      <c r="C966" t="s">
        <v>74</v>
      </c>
      <c r="D966" t="s">
        <v>74</v>
      </c>
      <c r="E966" t="s">
        <v>74</v>
      </c>
      <c r="F966" t="s">
        <v>17323</v>
      </c>
      <c r="G966" t="s">
        <v>74</v>
      </c>
      <c r="H966" t="s">
        <v>74</v>
      </c>
      <c r="I966" t="s">
        <v>17324</v>
      </c>
      <c r="J966" t="s">
        <v>1791</v>
      </c>
      <c r="K966" t="s">
        <v>74</v>
      </c>
      <c r="L966" t="s">
        <v>74</v>
      </c>
      <c r="M966" t="s">
        <v>78</v>
      </c>
      <c r="N966" t="s">
        <v>52</v>
      </c>
      <c r="O966" t="s">
        <v>74</v>
      </c>
      <c r="P966" t="s">
        <v>74</v>
      </c>
      <c r="Q966" t="s">
        <v>74</v>
      </c>
      <c r="R966" t="s">
        <v>74</v>
      </c>
      <c r="S966" t="s">
        <v>74</v>
      </c>
      <c r="T966" t="s">
        <v>74</v>
      </c>
      <c r="U966" t="s">
        <v>74</v>
      </c>
      <c r="V966" t="s">
        <v>74</v>
      </c>
      <c r="W966" t="s">
        <v>17325</v>
      </c>
      <c r="X966" t="s">
        <v>14236</v>
      </c>
      <c r="Y966" t="s">
        <v>74</v>
      </c>
      <c r="Z966" t="s">
        <v>17326</v>
      </c>
      <c r="AA966" t="s">
        <v>1590</v>
      </c>
      <c r="AB966" t="s">
        <v>74</v>
      </c>
      <c r="AC966" t="s">
        <v>74</v>
      </c>
      <c r="AD966" t="s">
        <v>74</v>
      </c>
      <c r="AE966" t="s">
        <v>74</v>
      </c>
      <c r="AF966" t="s">
        <v>74</v>
      </c>
      <c r="AG966">
        <v>0</v>
      </c>
      <c r="AH966">
        <v>0</v>
      </c>
      <c r="AI966">
        <v>0</v>
      </c>
      <c r="AJ966">
        <v>0</v>
      </c>
      <c r="AK966">
        <v>3</v>
      </c>
      <c r="AL966" t="s">
        <v>4179</v>
      </c>
      <c r="AM966" t="s">
        <v>4200</v>
      </c>
      <c r="AN966" t="s">
        <v>4201</v>
      </c>
      <c r="AO966" t="s">
        <v>1803</v>
      </c>
      <c r="AP966" t="s">
        <v>74</v>
      </c>
      <c r="AQ966" t="s">
        <v>74</v>
      </c>
      <c r="AR966" t="s">
        <v>1805</v>
      </c>
      <c r="AS966" t="s">
        <v>1806</v>
      </c>
      <c r="AT966" t="s">
        <v>17319</v>
      </c>
      <c r="AU966">
        <v>2011</v>
      </c>
      <c r="AV966">
        <v>47</v>
      </c>
      <c r="AW966" t="s">
        <v>74</v>
      </c>
      <c r="AX966" t="s">
        <v>74</v>
      </c>
      <c r="AY966">
        <v>1</v>
      </c>
      <c r="AZ966" t="s">
        <v>864</v>
      </c>
      <c r="BA966" t="s">
        <v>74</v>
      </c>
      <c r="BB966">
        <v>13</v>
      </c>
      <c r="BC966">
        <v>13</v>
      </c>
      <c r="BD966" t="s">
        <v>74</v>
      </c>
      <c r="BE966" t="s">
        <v>74</v>
      </c>
      <c r="BF966" t="s">
        <v>74</v>
      </c>
      <c r="BG966" t="s">
        <v>74</v>
      </c>
      <c r="BH966" t="s">
        <v>74</v>
      </c>
      <c r="BI966">
        <v>1</v>
      </c>
      <c r="BJ966" t="s">
        <v>1808</v>
      </c>
      <c r="BK966" t="s">
        <v>100</v>
      </c>
      <c r="BL966" t="s">
        <v>1808</v>
      </c>
      <c r="BM966" t="s">
        <v>17327</v>
      </c>
      <c r="BN966" t="s">
        <v>74</v>
      </c>
      <c r="BO966" t="s">
        <v>74</v>
      </c>
      <c r="BP966" t="s">
        <v>74</v>
      </c>
      <c r="BQ966" t="s">
        <v>74</v>
      </c>
      <c r="BR966" t="s">
        <v>103</v>
      </c>
      <c r="BS966" t="s">
        <v>17328</v>
      </c>
      <c r="BT966" t="str">
        <f>HYPERLINK("https%3A%2F%2Fwww.webofscience.com%2Fwos%2Fwoscc%2Ffull-record%2FWOS:000287361300027","View Full Record in Web of Science")</f>
        <v>View Full Record in Web of Science</v>
      </c>
    </row>
    <row r="967" spans="1:72" x14ac:dyDescent="0.15">
      <c r="A967" t="s">
        <v>72</v>
      </c>
      <c r="B967" t="s">
        <v>17329</v>
      </c>
      <c r="C967" t="s">
        <v>74</v>
      </c>
      <c r="D967" t="s">
        <v>74</v>
      </c>
      <c r="E967" t="s">
        <v>74</v>
      </c>
      <c r="F967" t="s">
        <v>17330</v>
      </c>
      <c r="G967" t="s">
        <v>74</v>
      </c>
      <c r="H967" t="s">
        <v>74</v>
      </c>
      <c r="I967" t="s">
        <v>17331</v>
      </c>
      <c r="J967" t="s">
        <v>1791</v>
      </c>
      <c r="K967" t="s">
        <v>74</v>
      </c>
      <c r="L967" t="s">
        <v>74</v>
      </c>
      <c r="M967" t="s">
        <v>78</v>
      </c>
      <c r="N967" t="s">
        <v>52</v>
      </c>
      <c r="O967" t="s">
        <v>74</v>
      </c>
      <c r="P967" t="s">
        <v>74</v>
      </c>
      <c r="Q967" t="s">
        <v>74</v>
      </c>
      <c r="R967" t="s">
        <v>74</v>
      </c>
      <c r="S967" t="s">
        <v>74</v>
      </c>
      <c r="T967" t="s">
        <v>74</v>
      </c>
      <c r="U967" t="s">
        <v>74</v>
      </c>
      <c r="V967" t="s">
        <v>74</v>
      </c>
      <c r="W967" t="s">
        <v>17332</v>
      </c>
      <c r="X967" t="s">
        <v>14236</v>
      </c>
      <c r="Y967" t="s">
        <v>74</v>
      </c>
      <c r="Z967" t="s">
        <v>17333</v>
      </c>
      <c r="AA967" t="s">
        <v>1590</v>
      </c>
      <c r="AB967" t="s">
        <v>74</v>
      </c>
      <c r="AC967" t="s">
        <v>74</v>
      </c>
      <c r="AD967" t="s">
        <v>74</v>
      </c>
      <c r="AE967" t="s">
        <v>74</v>
      </c>
      <c r="AF967" t="s">
        <v>74</v>
      </c>
      <c r="AG967">
        <v>0</v>
      </c>
      <c r="AH967">
        <v>0</v>
      </c>
      <c r="AI967">
        <v>0</v>
      </c>
      <c r="AJ967">
        <v>0</v>
      </c>
      <c r="AK967">
        <v>0</v>
      </c>
      <c r="AL967" t="s">
        <v>4179</v>
      </c>
      <c r="AM967" t="s">
        <v>4200</v>
      </c>
      <c r="AN967" t="s">
        <v>4201</v>
      </c>
      <c r="AO967" t="s">
        <v>1803</v>
      </c>
      <c r="AP967" t="s">
        <v>74</v>
      </c>
      <c r="AQ967" t="s">
        <v>74</v>
      </c>
      <c r="AR967" t="s">
        <v>1805</v>
      </c>
      <c r="AS967" t="s">
        <v>1806</v>
      </c>
      <c r="AT967" t="s">
        <v>17319</v>
      </c>
      <c r="AU967">
        <v>2011</v>
      </c>
      <c r="AV967">
        <v>47</v>
      </c>
      <c r="AW967" t="s">
        <v>74</v>
      </c>
      <c r="AX967" t="s">
        <v>74</v>
      </c>
      <c r="AY967">
        <v>1</v>
      </c>
      <c r="AZ967" t="s">
        <v>864</v>
      </c>
      <c r="BA967" t="s">
        <v>74</v>
      </c>
      <c r="BB967">
        <v>22</v>
      </c>
      <c r="BC967">
        <v>23</v>
      </c>
      <c r="BD967" t="s">
        <v>74</v>
      </c>
      <c r="BE967" t="s">
        <v>74</v>
      </c>
      <c r="BF967" t="s">
        <v>74</v>
      </c>
      <c r="BG967" t="s">
        <v>74</v>
      </c>
      <c r="BH967" t="s">
        <v>74</v>
      </c>
      <c r="BI967">
        <v>2</v>
      </c>
      <c r="BJ967" t="s">
        <v>1808</v>
      </c>
      <c r="BK967" t="s">
        <v>100</v>
      </c>
      <c r="BL967" t="s">
        <v>1808</v>
      </c>
      <c r="BM967" t="s">
        <v>17327</v>
      </c>
      <c r="BN967" t="s">
        <v>74</v>
      </c>
      <c r="BO967" t="s">
        <v>74</v>
      </c>
      <c r="BP967" t="s">
        <v>74</v>
      </c>
      <c r="BQ967" t="s">
        <v>74</v>
      </c>
      <c r="BR967" t="s">
        <v>103</v>
      </c>
      <c r="BS967" t="s">
        <v>17334</v>
      </c>
      <c r="BT967" t="str">
        <f>HYPERLINK("https%3A%2F%2Fwww.webofscience.com%2Fwos%2Fwoscc%2Ffull-record%2FWOS:000287361300047","View Full Record in Web of Science")</f>
        <v>View Full Record in Web of Science</v>
      </c>
    </row>
    <row r="968" spans="1:72" x14ac:dyDescent="0.15">
      <c r="A968" t="s">
        <v>72</v>
      </c>
      <c r="B968" t="s">
        <v>17335</v>
      </c>
      <c r="C968" t="s">
        <v>74</v>
      </c>
      <c r="D968" t="s">
        <v>74</v>
      </c>
      <c r="E968" t="s">
        <v>74</v>
      </c>
      <c r="F968" t="s">
        <v>17336</v>
      </c>
      <c r="G968" t="s">
        <v>74</v>
      </c>
      <c r="H968" t="s">
        <v>74</v>
      </c>
      <c r="I968" t="s">
        <v>17337</v>
      </c>
      <c r="J968" t="s">
        <v>1791</v>
      </c>
      <c r="K968" t="s">
        <v>74</v>
      </c>
      <c r="L968" t="s">
        <v>74</v>
      </c>
      <c r="M968" t="s">
        <v>78</v>
      </c>
      <c r="N968" t="s">
        <v>52</v>
      </c>
      <c r="O968" t="s">
        <v>74</v>
      </c>
      <c r="P968" t="s">
        <v>74</v>
      </c>
      <c r="Q968" t="s">
        <v>74</v>
      </c>
      <c r="R968" t="s">
        <v>74</v>
      </c>
      <c r="S968" t="s">
        <v>74</v>
      </c>
      <c r="T968" t="s">
        <v>74</v>
      </c>
      <c r="U968" t="s">
        <v>74</v>
      </c>
      <c r="V968" t="s">
        <v>74</v>
      </c>
      <c r="W968" t="s">
        <v>17338</v>
      </c>
      <c r="X968" t="s">
        <v>14236</v>
      </c>
      <c r="Y968" t="s">
        <v>74</v>
      </c>
      <c r="Z968" t="s">
        <v>17339</v>
      </c>
      <c r="AA968" t="s">
        <v>1590</v>
      </c>
      <c r="AB968" t="s">
        <v>74</v>
      </c>
      <c r="AC968" t="s">
        <v>74</v>
      </c>
      <c r="AD968" t="s">
        <v>74</v>
      </c>
      <c r="AE968" t="s">
        <v>74</v>
      </c>
      <c r="AF968" t="s">
        <v>74</v>
      </c>
      <c r="AG968">
        <v>0</v>
      </c>
      <c r="AH968">
        <v>0</v>
      </c>
      <c r="AI968">
        <v>0</v>
      </c>
      <c r="AJ968">
        <v>0</v>
      </c>
      <c r="AK968">
        <v>2</v>
      </c>
      <c r="AL968" t="s">
        <v>4179</v>
      </c>
      <c r="AM968" t="s">
        <v>4200</v>
      </c>
      <c r="AN968" t="s">
        <v>4201</v>
      </c>
      <c r="AO968" t="s">
        <v>1803</v>
      </c>
      <c r="AP968" t="s">
        <v>74</v>
      </c>
      <c r="AQ968" t="s">
        <v>74</v>
      </c>
      <c r="AR968" t="s">
        <v>1805</v>
      </c>
      <c r="AS968" t="s">
        <v>1806</v>
      </c>
      <c r="AT968" t="s">
        <v>17319</v>
      </c>
      <c r="AU968">
        <v>2011</v>
      </c>
      <c r="AV968">
        <v>47</v>
      </c>
      <c r="AW968" t="s">
        <v>74</v>
      </c>
      <c r="AX968" t="s">
        <v>74</v>
      </c>
      <c r="AY968">
        <v>1</v>
      </c>
      <c r="AZ968" t="s">
        <v>864</v>
      </c>
      <c r="BA968" t="s">
        <v>74</v>
      </c>
      <c r="BB968">
        <v>23</v>
      </c>
      <c r="BC968">
        <v>23</v>
      </c>
      <c r="BD968" t="s">
        <v>74</v>
      </c>
      <c r="BE968" t="s">
        <v>74</v>
      </c>
      <c r="BF968" t="s">
        <v>74</v>
      </c>
      <c r="BG968" t="s">
        <v>74</v>
      </c>
      <c r="BH968" t="s">
        <v>74</v>
      </c>
      <c r="BI968">
        <v>1</v>
      </c>
      <c r="BJ968" t="s">
        <v>1808</v>
      </c>
      <c r="BK968" t="s">
        <v>100</v>
      </c>
      <c r="BL968" t="s">
        <v>1808</v>
      </c>
      <c r="BM968" t="s">
        <v>17327</v>
      </c>
      <c r="BN968" t="s">
        <v>74</v>
      </c>
      <c r="BO968" t="s">
        <v>74</v>
      </c>
      <c r="BP968" t="s">
        <v>74</v>
      </c>
      <c r="BQ968" t="s">
        <v>74</v>
      </c>
      <c r="BR968" t="s">
        <v>103</v>
      </c>
      <c r="BS968" t="s">
        <v>17340</v>
      </c>
      <c r="BT968" t="str">
        <f>HYPERLINK("https%3A%2F%2Fwww.webofscience.com%2Fwos%2Fwoscc%2Ffull-record%2FWOS:000287361300049","View Full Record in Web of Science")</f>
        <v>View Full Record in Web of Science</v>
      </c>
    </row>
    <row r="969" spans="1:72" x14ac:dyDescent="0.15">
      <c r="A969" t="s">
        <v>72</v>
      </c>
      <c r="B969" t="s">
        <v>17341</v>
      </c>
      <c r="C969" t="s">
        <v>74</v>
      </c>
      <c r="D969" t="s">
        <v>74</v>
      </c>
      <c r="E969" t="s">
        <v>74</v>
      </c>
      <c r="F969" t="s">
        <v>17342</v>
      </c>
      <c r="G969" t="s">
        <v>74</v>
      </c>
      <c r="H969" t="s">
        <v>74</v>
      </c>
      <c r="I969" t="s">
        <v>17343</v>
      </c>
      <c r="J969" t="s">
        <v>1791</v>
      </c>
      <c r="K969" t="s">
        <v>74</v>
      </c>
      <c r="L969" t="s">
        <v>74</v>
      </c>
      <c r="M969" t="s">
        <v>78</v>
      </c>
      <c r="N969" t="s">
        <v>52</v>
      </c>
      <c r="O969" t="s">
        <v>74</v>
      </c>
      <c r="P969" t="s">
        <v>74</v>
      </c>
      <c r="Q969" t="s">
        <v>74</v>
      </c>
      <c r="R969" t="s">
        <v>74</v>
      </c>
      <c r="S969" t="s">
        <v>74</v>
      </c>
      <c r="T969" t="s">
        <v>74</v>
      </c>
      <c r="U969" t="s">
        <v>74</v>
      </c>
      <c r="V969" t="s">
        <v>74</v>
      </c>
      <c r="W969" t="s">
        <v>17344</v>
      </c>
      <c r="X969" t="s">
        <v>14236</v>
      </c>
      <c r="Y969" t="s">
        <v>74</v>
      </c>
      <c r="Z969" t="s">
        <v>17345</v>
      </c>
      <c r="AA969" t="s">
        <v>17346</v>
      </c>
      <c r="AB969" t="s">
        <v>74</v>
      </c>
      <c r="AC969" t="s">
        <v>74</v>
      </c>
      <c r="AD969" t="s">
        <v>74</v>
      </c>
      <c r="AE969" t="s">
        <v>74</v>
      </c>
      <c r="AF969" t="s">
        <v>74</v>
      </c>
      <c r="AG969">
        <v>0</v>
      </c>
      <c r="AH969">
        <v>0</v>
      </c>
      <c r="AI969">
        <v>0</v>
      </c>
      <c r="AJ969">
        <v>0</v>
      </c>
      <c r="AK969">
        <v>3</v>
      </c>
      <c r="AL969" t="s">
        <v>4179</v>
      </c>
      <c r="AM969" t="s">
        <v>4200</v>
      </c>
      <c r="AN969" t="s">
        <v>4201</v>
      </c>
      <c r="AO969" t="s">
        <v>1803</v>
      </c>
      <c r="AP969" t="s">
        <v>74</v>
      </c>
      <c r="AQ969" t="s">
        <v>74</v>
      </c>
      <c r="AR969" t="s">
        <v>1805</v>
      </c>
      <c r="AS969" t="s">
        <v>1806</v>
      </c>
      <c r="AT969" t="s">
        <v>17319</v>
      </c>
      <c r="AU969">
        <v>2011</v>
      </c>
      <c r="AV969">
        <v>47</v>
      </c>
      <c r="AW969" t="s">
        <v>74</v>
      </c>
      <c r="AX969" t="s">
        <v>74</v>
      </c>
      <c r="AY969">
        <v>1</v>
      </c>
      <c r="AZ969" t="s">
        <v>864</v>
      </c>
      <c r="BA969" t="s">
        <v>74</v>
      </c>
      <c r="BB969">
        <v>35</v>
      </c>
      <c r="BC969">
        <v>35</v>
      </c>
      <c r="BD969" t="s">
        <v>74</v>
      </c>
      <c r="BE969" t="s">
        <v>74</v>
      </c>
      <c r="BF969" t="s">
        <v>74</v>
      </c>
      <c r="BG969" t="s">
        <v>74</v>
      </c>
      <c r="BH969" t="s">
        <v>74</v>
      </c>
      <c r="BI969">
        <v>1</v>
      </c>
      <c r="BJ969" t="s">
        <v>1808</v>
      </c>
      <c r="BK969" t="s">
        <v>100</v>
      </c>
      <c r="BL969" t="s">
        <v>1808</v>
      </c>
      <c r="BM969" t="s">
        <v>17327</v>
      </c>
      <c r="BN969" t="s">
        <v>74</v>
      </c>
      <c r="BO969" t="s">
        <v>74</v>
      </c>
      <c r="BP969" t="s">
        <v>74</v>
      </c>
      <c r="BQ969" t="s">
        <v>74</v>
      </c>
      <c r="BR969" t="s">
        <v>103</v>
      </c>
      <c r="BS969" t="s">
        <v>17347</v>
      </c>
      <c r="BT969" t="str">
        <f>HYPERLINK("https%3A%2F%2Fwww.webofscience.com%2Fwos%2Fwoscc%2Ffull-record%2FWOS:000287361300074","View Full Record in Web of Science")</f>
        <v>View Full Record in Web of Science</v>
      </c>
    </row>
    <row r="970" spans="1:72" x14ac:dyDescent="0.15">
      <c r="A970" t="s">
        <v>72</v>
      </c>
      <c r="B970" t="s">
        <v>17348</v>
      </c>
      <c r="C970" t="s">
        <v>74</v>
      </c>
      <c r="D970" t="s">
        <v>74</v>
      </c>
      <c r="E970" t="s">
        <v>74</v>
      </c>
      <c r="F970" t="s">
        <v>17349</v>
      </c>
      <c r="G970" t="s">
        <v>74</v>
      </c>
      <c r="H970" t="s">
        <v>74</v>
      </c>
      <c r="I970" t="s">
        <v>17350</v>
      </c>
      <c r="J970" t="s">
        <v>1791</v>
      </c>
      <c r="K970" t="s">
        <v>74</v>
      </c>
      <c r="L970" t="s">
        <v>74</v>
      </c>
      <c r="M970" t="s">
        <v>78</v>
      </c>
      <c r="N970" t="s">
        <v>52</v>
      </c>
      <c r="O970" t="s">
        <v>74</v>
      </c>
      <c r="P970" t="s">
        <v>74</v>
      </c>
      <c r="Q970" t="s">
        <v>74</v>
      </c>
      <c r="R970" t="s">
        <v>74</v>
      </c>
      <c r="S970" t="s">
        <v>74</v>
      </c>
      <c r="T970" t="s">
        <v>74</v>
      </c>
      <c r="U970" t="s">
        <v>74</v>
      </c>
      <c r="V970" t="s">
        <v>74</v>
      </c>
      <c r="W970" t="s">
        <v>17351</v>
      </c>
      <c r="X970" t="s">
        <v>14236</v>
      </c>
      <c r="Y970" t="s">
        <v>74</v>
      </c>
      <c r="Z970" t="s">
        <v>17352</v>
      </c>
      <c r="AA970" t="s">
        <v>17353</v>
      </c>
      <c r="AB970" t="s">
        <v>74</v>
      </c>
      <c r="AC970" t="s">
        <v>74</v>
      </c>
      <c r="AD970" t="s">
        <v>74</v>
      </c>
      <c r="AE970" t="s">
        <v>74</v>
      </c>
      <c r="AF970" t="s">
        <v>74</v>
      </c>
      <c r="AG970">
        <v>0</v>
      </c>
      <c r="AH970">
        <v>0</v>
      </c>
      <c r="AI970">
        <v>0</v>
      </c>
      <c r="AJ970">
        <v>0</v>
      </c>
      <c r="AK970">
        <v>3</v>
      </c>
      <c r="AL970" t="s">
        <v>4179</v>
      </c>
      <c r="AM970" t="s">
        <v>4200</v>
      </c>
      <c r="AN970" t="s">
        <v>4201</v>
      </c>
      <c r="AO970" t="s">
        <v>1803</v>
      </c>
      <c r="AP970" t="s">
        <v>74</v>
      </c>
      <c r="AQ970" t="s">
        <v>74</v>
      </c>
      <c r="AR970" t="s">
        <v>1805</v>
      </c>
      <c r="AS970" t="s">
        <v>1806</v>
      </c>
      <c r="AT970" t="s">
        <v>17319</v>
      </c>
      <c r="AU970">
        <v>2011</v>
      </c>
      <c r="AV970">
        <v>47</v>
      </c>
      <c r="AW970" t="s">
        <v>74</v>
      </c>
      <c r="AX970" t="s">
        <v>74</v>
      </c>
      <c r="AY970">
        <v>1</v>
      </c>
      <c r="AZ970" t="s">
        <v>864</v>
      </c>
      <c r="BA970" t="s">
        <v>74</v>
      </c>
      <c r="BB970">
        <v>36</v>
      </c>
      <c r="BC970">
        <v>36</v>
      </c>
      <c r="BD970" t="s">
        <v>74</v>
      </c>
      <c r="BE970" t="s">
        <v>74</v>
      </c>
      <c r="BF970" t="s">
        <v>74</v>
      </c>
      <c r="BG970" t="s">
        <v>74</v>
      </c>
      <c r="BH970" t="s">
        <v>74</v>
      </c>
      <c r="BI970">
        <v>1</v>
      </c>
      <c r="BJ970" t="s">
        <v>1808</v>
      </c>
      <c r="BK970" t="s">
        <v>100</v>
      </c>
      <c r="BL970" t="s">
        <v>1808</v>
      </c>
      <c r="BM970" t="s">
        <v>17327</v>
      </c>
      <c r="BN970" t="s">
        <v>74</v>
      </c>
      <c r="BO970" t="s">
        <v>74</v>
      </c>
      <c r="BP970" t="s">
        <v>74</v>
      </c>
      <c r="BQ970" t="s">
        <v>74</v>
      </c>
      <c r="BR970" t="s">
        <v>103</v>
      </c>
      <c r="BS970" t="s">
        <v>17354</v>
      </c>
      <c r="BT970" t="str">
        <f>HYPERLINK("https%3A%2F%2Fwww.webofscience.com%2Fwos%2Fwoscc%2Ffull-record%2FWOS:000287361300077","View Full Record in Web of Science")</f>
        <v>View Full Record in Web of Science</v>
      </c>
    </row>
    <row r="971" spans="1:72" x14ac:dyDescent="0.15">
      <c r="A971" t="s">
        <v>72</v>
      </c>
      <c r="B971" t="s">
        <v>17355</v>
      </c>
      <c r="C971" t="s">
        <v>74</v>
      </c>
      <c r="D971" t="s">
        <v>74</v>
      </c>
      <c r="E971" t="s">
        <v>74</v>
      </c>
      <c r="F971" t="s">
        <v>17356</v>
      </c>
      <c r="G971" t="s">
        <v>74</v>
      </c>
      <c r="H971" t="s">
        <v>74</v>
      </c>
      <c r="I971" t="s">
        <v>17357</v>
      </c>
      <c r="J971" t="s">
        <v>17358</v>
      </c>
      <c r="K971" t="s">
        <v>74</v>
      </c>
      <c r="L971" t="s">
        <v>74</v>
      </c>
      <c r="M971" t="s">
        <v>78</v>
      </c>
      <c r="N971" t="s">
        <v>79</v>
      </c>
      <c r="O971" t="s">
        <v>74</v>
      </c>
      <c r="P971" t="s">
        <v>74</v>
      </c>
      <c r="Q971" t="s">
        <v>74</v>
      </c>
      <c r="R971" t="s">
        <v>74</v>
      </c>
      <c r="S971" t="s">
        <v>74</v>
      </c>
      <c r="T971" t="s">
        <v>17359</v>
      </c>
      <c r="U971" t="s">
        <v>17360</v>
      </c>
      <c r="V971" t="s">
        <v>17361</v>
      </c>
      <c r="W971" t="s">
        <v>17362</v>
      </c>
      <c r="X971" t="s">
        <v>17363</v>
      </c>
      <c r="Y971" t="s">
        <v>17364</v>
      </c>
      <c r="Z971" t="s">
        <v>17365</v>
      </c>
      <c r="AA971" t="s">
        <v>17366</v>
      </c>
      <c r="AB971" t="s">
        <v>74</v>
      </c>
      <c r="AC971" t="s">
        <v>17367</v>
      </c>
      <c r="AD971" t="s">
        <v>17367</v>
      </c>
      <c r="AE971" t="s">
        <v>17368</v>
      </c>
      <c r="AF971" t="s">
        <v>74</v>
      </c>
      <c r="AG971">
        <v>54</v>
      </c>
      <c r="AH971">
        <v>8</v>
      </c>
      <c r="AI971">
        <v>9</v>
      </c>
      <c r="AJ971">
        <v>3</v>
      </c>
      <c r="AK971">
        <v>7</v>
      </c>
      <c r="AL971" t="s">
        <v>308</v>
      </c>
      <c r="AM971" t="s">
        <v>309</v>
      </c>
      <c r="AN971" t="s">
        <v>310</v>
      </c>
      <c r="AO971" t="s">
        <v>17369</v>
      </c>
      <c r="AP971" t="s">
        <v>17370</v>
      </c>
      <c r="AQ971" t="s">
        <v>74</v>
      </c>
      <c r="AR971" t="s">
        <v>17371</v>
      </c>
      <c r="AS971" t="s">
        <v>17372</v>
      </c>
      <c r="AT971" t="s">
        <v>17319</v>
      </c>
      <c r="AU971">
        <v>2011</v>
      </c>
      <c r="AV971">
        <v>65</v>
      </c>
      <c r="AW971">
        <v>2</v>
      </c>
      <c r="AX971" t="s">
        <v>74</v>
      </c>
      <c r="AY971" t="s">
        <v>74</v>
      </c>
      <c r="AZ971" t="s">
        <v>74</v>
      </c>
      <c r="BA971" t="s">
        <v>74</v>
      </c>
      <c r="BB971">
        <v>265</v>
      </c>
      <c r="BC971">
        <v>274</v>
      </c>
      <c r="BD971" t="s">
        <v>74</v>
      </c>
      <c r="BE971" t="s">
        <v>17373</v>
      </c>
      <c r="BF971" t="str">
        <f>HYPERLINK("http://dx.doi.org/10.1016/j.seares.2010.12.002","http://dx.doi.org/10.1016/j.seares.2010.12.002")</f>
        <v>http://dx.doi.org/10.1016/j.seares.2010.12.002</v>
      </c>
      <c r="BG971" t="s">
        <v>74</v>
      </c>
      <c r="BH971" t="s">
        <v>74</v>
      </c>
      <c r="BI971">
        <v>10</v>
      </c>
      <c r="BJ971" t="s">
        <v>5605</v>
      </c>
      <c r="BK971" t="s">
        <v>100</v>
      </c>
      <c r="BL971" t="s">
        <v>5605</v>
      </c>
      <c r="BM971" t="s">
        <v>17374</v>
      </c>
      <c r="BN971" t="s">
        <v>74</v>
      </c>
      <c r="BO971" t="s">
        <v>74</v>
      </c>
      <c r="BP971" t="s">
        <v>74</v>
      </c>
      <c r="BQ971" t="s">
        <v>74</v>
      </c>
      <c r="BR971" t="s">
        <v>103</v>
      </c>
      <c r="BS971" t="s">
        <v>17375</v>
      </c>
      <c r="BT971" t="str">
        <f>HYPERLINK("https%3A%2F%2Fwww.webofscience.com%2Fwos%2Fwoscc%2Ffull-record%2FWOS:000288925600010","View Full Record in Web of Science")</f>
        <v>View Full Record in Web of Science</v>
      </c>
    </row>
    <row r="972" spans="1:72" x14ac:dyDescent="0.15">
      <c r="A972" t="s">
        <v>72</v>
      </c>
      <c r="B972" t="s">
        <v>16020</v>
      </c>
      <c r="C972" t="s">
        <v>74</v>
      </c>
      <c r="D972" t="s">
        <v>74</v>
      </c>
      <c r="E972" t="s">
        <v>74</v>
      </c>
      <c r="F972" t="s">
        <v>16021</v>
      </c>
      <c r="G972" t="s">
        <v>74</v>
      </c>
      <c r="H972" t="s">
        <v>74</v>
      </c>
      <c r="I972" t="s">
        <v>17376</v>
      </c>
      <c r="J972" t="s">
        <v>9920</v>
      </c>
      <c r="K972" t="s">
        <v>74</v>
      </c>
      <c r="L972" t="s">
        <v>74</v>
      </c>
      <c r="M972" t="s">
        <v>78</v>
      </c>
      <c r="N972" t="s">
        <v>79</v>
      </c>
      <c r="O972" t="s">
        <v>74</v>
      </c>
      <c r="P972" t="s">
        <v>74</v>
      </c>
      <c r="Q972" t="s">
        <v>74</v>
      </c>
      <c r="R972" t="s">
        <v>74</v>
      </c>
      <c r="S972" t="s">
        <v>74</v>
      </c>
      <c r="T972" t="s">
        <v>17377</v>
      </c>
      <c r="U972" t="s">
        <v>17378</v>
      </c>
      <c r="V972" t="s">
        <v>17379</v>
      </c>
      <c r="W972" t="s">
        <v>16027</v>
      </c>
      <c r="X972" t="s">
        <v>12930</v>
      </c>
      <c r="Y972" t="s">
        <v>12931</v>
      </c>
      <c r="Z972" t="s">
        <v>17380</v>
      </c>
      <c r="AA972" t="s">
        <v>74</v>
      </c>
      <c r="AB972" t="s">
        <v>74</v>
      </c>
      <c r="AC972" t="s">
        <v>17381</v>
      </c>
      <c r="AD972" t="s">
        <v>17382</v>
      </c>
      <c r="AE972" t="s">
        <v>17383</v>
      </c>
      <c r="AF972" t="s">
        <v>74</v>
      </c>
      <c r="AG972">
        <v>33</v>
      </c>
      <c r="AH972">
        <v>22</v>
      </c>
      <c r="AI972">
        <v>26</v>
      </c>
      <c r="AJ972">
        <v>1</v>
      </c>
      <c r="AK972">
        <v>16</v>
      </c>
      <c r="AL972" t="s">
        <v>17384</v>
      </c>
      <c r="AM972" t="s">
        <v>9934</v>
      </c>
      <c r="AN972" t="s">
        <v>17385</v>
      </c>
      <c r="AO972" t="s">
        <v>74</v>
      </c>
      <c r="AP972" t="s">
        <v>9936</v>
      </c>
      <c r="AQ972" t="s">
        <v>74</v>
      </c>
      <c r="AR972" t="s">
        <v>9937</v>
      </c>
      <c r="AS972" t="s">
        <v>9938</v>
      </c>
      <c r="AT972" t="s">
        <v>17319</v>
      </c>
      <c r="AU972">
        <v>2011</v>
      </c>
      <c r="AV972">
        <v>9</v>
      </c>
      <c r="AW972">
        <v>2</v>
      </c>
      <c r="AX972" t="s">
        <v>74</v>
      </c>
      <c r="AY972" t="s">
        <v>74</v>
      </c>
      <c r="AZ972" t="s">
        <v>74</v>
      </c>
      <c r="BA972" t="s">
        <v>74</v>
      </c>
      <c r="BB972">
        <v>184</v>
      </c>
      <c r="BC972">
        <v>195</v>
      </c>
      <c r="BD972" t="s">
        <v>74</v>
      </c>
      <c r="BE972" t="s">
        <v>17386</v>
      </c>
      <c r="BF972" t="str">
        <f>HYPERLINK("http://dx.doi.org/10.3390/md9020184","http://dx.doi.org/10.3390/md9020184")</f>
        <v>http://dx.doi.org/10.3390/md9020184</v>
      </c>
      <c r="BG972" t="s">
        <v>74</v>
      </c>
      <c r="BH972" t="s">
        <v>74</v>
      </c>
      <c r="BI972">
        <v>12</v>
      </c>
      <c r="BJ972" t="s">
        <v>9940</v>
      </c>
      <c r="BK972" t="s">
        <v>100</v>
      </c>
      <c r="BL972" t="s">
        <v>9941</v>
      </c>
      <c r="BM972" t="s">
        <v>17387</v>
      </c>
      <c r="BN972">
        <v>21566794</v>
      </c>
      <c r="BO972" t="s">
        <v>17388</v>
      </c>
      <c r="BP972" t="s">
        <v>74</v>
      </c>
      <c r="BQ972" t="s">
        <v>74</v>
      </c>
      <c r="BR972" t="s">
        <v>103</v>
      </c>
      <c r="BS972" t="s">
        <v>17389</v>
      </c>
      <c r="BT972" t="str">
        <f>HYPERLINK("https%3A%2F%2Fwww.webofscience.com%2Fwos%2Fwoscc%2Ffull-record%2FWOS:000288892400003","View Full Record in Web of Science")</f>
        <v>View Full Record in Web of Science</v>
      </c>
    </row>
    <row r="973" spans="1:72" x14ac:dyDescent="0.15">
      <c r="A973" t="s">
        <v>72</v>
      </c>
      <c r="B973" t="s">
        <v>17390</v>
      </c>
      <c r="C973" t="s">
        <v>74</v>
      </c>
      <c r="D973" t="s">
        <v>74</v>
      </c>
      <c r="E973" t="s">
        <v>74</v>
      </c>
      <c r="F973" t="s">
        <v>17391</v>
      </c>
      <c r="G973" t="s">
        <v>74</v>
      </c>
      <c r="H973" t="s">
        <v>74</v>
      </c>
      <c r="I973" t="s">
        <v>17392</v>
      </c>
      <c r="J973" t="s">
        <v>1004</v>
      </c>
      <c r="K973" t="s">
        <v>74</v>
      </c>
      <c r="L973" t="s">
        <v>74</v>
      </c>
      <c r="M973" t="s">
        <v>78</v>
      </c>
      <c r="N973" t="s">
        <v>79</v>
      </c>
      <c r="O973" t="s">
        <v>74</v>
      </c>
      <c r="P973" t="s">
        <v>74</v>
      </c>
      <c r="Q973" t="s">
        <v>74</v>
      </c>
      <c r="R973" t="s">
        <v>74</v>
      </c>
      <c r="S973" t="s">
        <v>74</v>
      </c>
      <c r="T973" t="s">
        <v>74</v>
      </c>
      <c r="U973" t="s">
        <v>17393</v>
      </c>
      <c r="V973" t="s">
        <v>17394</v>
      </c>
      <c r="W973" t="s">
        <v>17395</v>
      </c>
      <c r="X973" t="s">
        <v>17396</v>
      </c>
      <c r="Y973" t="s">
        <v>17397</v>
      </c>
      <c r="Z973" t="s">
        <v>17398</v>
      </c>
      <c r="AA973" t="s">
        <v>17399</v>
      </c>
      <c r="AB973" t="s">
        <v>17400</v>
      </c>
      <c r="AC973" t="s">
        <v>17396</v>
      </c>
      <c r="AD973" t="s">
        <v>17396</v>
      </c>
      <c r="AE973" t="s">
        <v>17401</v>
      </c>
      <c r="AF973" t="s">
        <v>74</v>
      </c>
      <c r="AG973">
        <v>45</v>
      </c>
      <c r="AH973">
        <v>26</v>
      </c>
      <c r="AI973">
        <v>26</v>
      </c>
      <c r="AJ973">
        <v>2</v>
      </c>
      <c r="AK973">
        <v>30</v>
      </c>
      <c r="AL973" t="s">
        <v>1035</v>
      </c>
      <c r="AM973" t="s">
        <v>1036</v>
      </c>
      <c r="AN973" t="s">
        <v>1037</v>
      </c>
      <c r="AO973" t="s">
        <v>1017</v>
      </c>
      <c r="AP973" t="s">
        <v>74</v>
      </c>
      <c r="AQ973" t="s">
        <v>74</v>
      </c>
      <c r="AR973" t="s">
        <v>1019</v>
      </c>
      <c r="AS973" t="s">
        <v>1020</v>
      </c>
      <c r="AT973" t="s">
        <v>17319</v>
      </c>
      <c r="AU973">
        <v>2011</v>
      </c>
      <c r="AV973">
        <v>43</v>
      </c>
      <c r="AW973">
        <v>1</v>
      </c>
      <c r="AX973" t="s">
        <v>74</v>
      </c>
      <c r="AY973" t="s">
        <v>74</v>
      </c>
      <c r="AZ973" t="s">
        <v>74</v>
      </c>
      <c r="BA973" t="s">
        <v>74</v>
      </c>
      <c r="BB973">
        <v>1</v>
      </c>
      <c r="BC973">
        <v>10</v>
      </c>
      <c r="BD973" t="s">
        <v>74</v>
      </c>
      <c r="BE973" t="s">
        <v>17402</v>
      </c>
      <c r="BF973" t="str">
        <f>HYPERLINK("http://dx.doi.org/10.1657/1938-4246-43.1.1","http://dx.doi.org/10.1657/1938-4246-43.1.1")</f>
        <v>http://dx.doi.org/10.1657/1938-4246-43.1.1</v>
      </c>
      <c r="BG973" t="s">
        <v>74</v>
      </c>
      <c r="BH973" t="s">
        <v>74</v>
      </c>
      <c r="BI973">
        <v>10</v>
      </c>
      <c r="BJ973" t="s">
        <v>1022</v>
      </c>
      <c r="BK973" t="s">
        <v>100</v>
      </c>
      <c r="BL973" t="s">
        <v>1023</v>
      </c>
      <c r="BM973" t="s">
        <v>17403</v>
      </c>
      <c r="BN973" t="s">
        <v>74</v>
      </c>
      <c r="BO973" t="s">
        <v>368</v>
      </c>
      <c r="BP973" t="s">
        <v>74</v>
      </c>
      <c r="BQ973" t="s">
        <v>74</v>
      </c>
      <c r="BR973" t="s">
        <v>103</v>
      </c>
      <c r="BS973" t="s">
        <v>17404</v>
      </c>
      <c r="BT973" t="str">
        <f>HYPERLINK("https%3A%2F%2Fwww.webofscience.com%2Fwos%2Fwoscc%2Ffull-record%2FWOS:000288633400001","View Full Record in Web of Science")</f>
        <v>View Full Record in Web of Science</v>
      </c>
    </row>
    <row r="974" spans="1:72" x14ac:dyDescent="0.15">
      <c r="A974" t="s">
        <v>72</v>
      </c>
      <c r="B974" t="s">
        <v>17405</v>
      </c>
      <c r="C974" t="s">
        <v>74</v>
      </c>
      <c r="D974" t="s">
        <v>74</v>
      </c>
      <c r="E974" t="s">
        <v>74</v>
      </c>
      <c r="F974" t="s">
        <v>17406</v>
      </c>
      <c r="G974" t="s">
        <v>74</v>
      </c>
      <c r="H974" t="s">
        <v>74</v>
      </c>
      <c r="I974" t="s">
        <v>17407</v>
      </c>
      <c r="J974" t="s">
        <v>1004</v>
      </c>
      <c r="K974" t="s">
        <v>74</v>
      </c>
      <c r="L974" t="s">
        <v>74</v>
      </c>
      <c r="M974" t="s">
        <v>78</v>
      </c>
      <c r="N974" t="s">
        <v>79</v>
      </c>
      <c r="O974" t="s">
        <v>74</v>
      </c>
      <c r="P974" t="s">
        <v>74</v>
      </c>
      <c r="Q974" t="s">
        <v>74</v>
      </c>
      <c r="R974" t="s">
        <v>74</v>
      </c>
      <c r="S974" t="s">
        <v>74</v>
      </c>
      <c r="T974" t="s">
        <v>74</v>
      </c>
      <c r="U974" t="s">
        <v>17408</v>
      </c>
      <c r="V974" t="s">
        <v>17409</v>
      </c>
      <c r="W974" t="s">
        <v>17410</v>
      </c>
      <c r="X974" t="s">
        <v>17411</v>
      </c>
      <c r="Y974" t="s">
        <v>17412</v>
      </c>
      <c r="Z974" t="s">
        <v>17413</v>
      </c>
      <c r="AA974" t="s">
        <v>74</v>
      </c>
      <c r="AB974" t="s">
        <v>17414</v>
      </c>
      <c r="AC974" t="s">
        <v>17415</v>
      </c>
      <c r="AD974" t="s">
        <v>17415</v>
      </c>
      <c r="AE974" t="s">
        <v>17416</v>
      </c>
      <c r="AF974" t="s">
        <v>74</v>
      </c>
      <c r="AG974">
        <v>30</v>
      </c>
      <c r="AH974">
        <v>32</v>
      </c>
      <c r="AI974">
        <v>33</v>
      </c>
      <c r="AJ974">
        <v>0</v>
      </c>
      <c r="AK974">
        <v>20</v>
      </c>
      <c r="AL974" t="s">
        <v>1014</v>
      </c>
      <c r="AM974" t="s">
        <v>1015</v>
      </c>
      <c r="AN974" t="s">
        <v>1016</v>
      </c>
      <c r="AO974" t="s">
        <v>1017</v>
      </c>
      <c r="AP974" t="s">
        <v>1018</v>
      </c>
      <c r="AQ974" t="s">
        <v>74</v>
      </c>
      <c r="AR974" t="s">
        <v>1019</v>
      </c>
      <c r="AS974" t="s">
        <v>1020</v>
      </c>
      <c r="AT974" t="s">
        <v>17319</v>
      </c>
      <c r="AU974">
        <v>2011</v>
      </c>
      <c r="AV974">
        <v>43</v>
      </c>
      <c r="AW974">
        <v>1</v>
      </c>
      <c r="AX974" t="s">
        <v>74</v>
      </c>
      <c r="AY974" t="s">
        <v>74</v>
      </c>
      <c r="AZ974" t="s">
        <v>74</v>
      </c>
      <c r="BA974" t="s">
        <v>74</v>
      </c>
      <c r="BB974">
        <v>11</v>
      </c>
      <c r="BC974">
        <v>21</v>
      </c>
      <c r="BD974" t="s">
        <v>74</v>
      </c>
      <c r="BE974" t="s">
        <v>17417</v>
      </c>
      <c r="BF974" t="str">
        <f>HYPERLINK("http://dx.doi.org/10.1657/1938-4246-43.1.11","http://dx.doi.org/10.1657/1938-4246-43.1.11")</f>
        <v>http://dx.doi.org/10.1657/1938-4246-43.1.11</v>
      </c>
      <c r="BG974" t="s">
        <v>74</v>
      </c>
      <c r="BH974" t="s">
        <v>74</v>
      </c>
      <c r="BI974">
        <v>11</v>
      </c>
      <c r="BJ974" t="s">
        <v>1022</v>
      </c>
      <c r="BK974" t="s">
        <v>100</v>
      </c>
      <c r="BL974" t="s">
        <v>1023</v>
      </c>
      <c r="BM974" t="s">
        <v>17403</v>
      </c>
      <c r="BN974" t="s">
        <v>74</v>
      </c>
      <c r="BO974" t="s">
        <v>3761</v>
      </c>
      <c r="BP974" t="s">
        <v>74</v>
      </c>
      <c r="BQ974" t="s">
        <v>74</v>
      </c>
      <c r="BR974" t="s">
        <v>103</v>
      </c>
      <c r="BS974" t="s">
        <v>17418</v>
      </c>
      <c r="BT974" t="str">
        <f>HYPERLINK("https%3A%2F%2Fwww.webofscience.com%2Fwos%2Fwoscc%2Ffull-record%2FWOS:000288633400002","View Full Record in Web of Science")</f>
        <v>View Full Record in Web of Science</v>
      </c>
    </row>
    <row r="975" spans="1:72" x14ac:dyDescent="0.15">
      <c r="A975" t="s">
        <v>72</v>
      </c>
      <c r="B975" t="s">
        <v>17419</v>
      </c>
      <c r="C975" t="s">
        <v>74</v>
      </c>
      <c r="D975" t="s">
        <v>74</v>
      </c>
      <c r="E975" t="s">
        <v>74</v>
      </c>
      <c r="F975" t="s">
        <v>17420</v>
      </c>
      <c r="G975" t="s">
        <v>74</v>
      </c>
      <c r="H975" t="s">
        <v>74</v>
      </c>
      <c r="I975" t="s">
        <v>17421</v>
      </c>
      <c r="J975" t="s">
        <v>1004</v>
      </c>
      <c r="K975" t="s">
        <v>74</v>
      </c>
      <c r="L975" t="s">
        <v>74</v>
      </c>
      <c r="M975" t="s">
        <v>78</v>
      </c>
      <c r="N975" t="s">
        <v>79</v>
      </c>
      <c r="O975" t="s">
        <v>74</v>
      </c>
      <c r="P975" t="s">
        <v>74</v>
      </c>
      <c r="Q975" t="s">
        <v>74</v>
      </c>
      <c r="R975" t="s">
        <v>74</v>
      </c>
      <c r="S975" t="s">
        <v>74</v>
      </c>
      <c r="T975" t="s">
        <v>74</v>
      </c>
      <c r="U975" t="s">
        <v>17422</v>
      </c>
      <c r="V975" t="s">
        <v>17423</v>
      </c>
      <c r="W975" t="s">
        <v>17424</v>
      </c>
      <c r="X975" t="s">
        <v>1458</v>
      </c>
      <c r="Y975" t="s">
        <v>17425</v>
      </c>
      <c r="Z975" t="s">
        <v>17426</v>
      </c>
      <c r="AA975" t="s">
        <v>17427</v>
      </c>
      <c r="AB975" t="s">
        <v>17428</v>
      </c>
      <c r="AC975" t="s">
        <v>17429</v>
      </c>
      <c r="AD975" t="s">
        <v>17429</v>
      </c>
      <c r="AE975" t="s">
        <v>17430</v>
      </c>
      <c r="AF975" t="s">
        <v>74</v>
      </c>
      <c r="AG975">
        <v>69</v>
      </c>
      <c r="AH975">
        <v>2</v>
      </c>
      <c r="AI975">
        <v>2</v>
      </c>
      <c r="AJ975">
        <v>0</v>
      </c>
      <c r="AK975">
        <v>10</v>
      </c>
      <c r="AL975" t="s">
        <v>1014</v>
      </c>
      <c r="AM975" t="s">
        <v>1015</v>
      </c>
      <c r="AN975" t="s">
        <v>1016</v>
      </c>
      <c r="AO975" t="s">
        <v>1017</v>
      </c>
      <c r="AP975" t="s">
        <v>1018</v>
      </c>
      <c r="AQ975" t="s">
        <v>74</v>
      </c>
      <c r="AR975" t="s">
        <v>1019</v>
      </c>
      <c r="AS975" t="s">
        <v>1020</v>
      </c>
      <c r="AT975" t="s">
        <v>17319</v>
      </c>
      <c r="AU975">
        <v>2011</v>
      </c>
      <c r="AV975">
        <v>43</v>
      </c>
      <c r="AW975">
        <v>1</v>
      </c>
      <c r="AX975" t="s">
        <v>74</v>
      </c>
      <c r="AY975" t="s">
        <v>74</v>
      </c>
      <c r="AZ975" t="s">
        <v>74</v>
      </c>
      <c r="BA975" t="s">
        <v>74</v>
      </c>
      <c r="BB975">
        <v>22</v>
      </c>
      <c r="BC975">
        <v>34</v>
      </c>
      <c r="BD975" t="s">
        <v>74</v>
      </c>
      <c r="BE975" t="s">
        <v>17431</v>
      </c>
      <c r="BF975" t="str">
        <f>HYPERLINK("http://dx.doi.org/10.1657/1938-4246-43.1.22","http://dx.doi.org/10.1657/1938-4246-43.1.22")</f>
        <v>http://dx.doi.org/10.1657/1938-4246-43.1.22</v>
      </c>
      <c r="BG975" t="s">
        <v>74</v>
      </c>
      <c r="BH975" t="s">
        <v>74</v>
      </c>
      <c r="BI975">
        <v>13</v>
      </c>
      <c r="BJ975" t="s">
        <v>1022</v>
      </c>
      <c r="BK975" t="s">
        <v>100</v>
      </c>
      <c r="BL975" t="s">
        <v>1023</v>
      </c>
      <c r="BM975" t="s">
        <v>17403</v>
      </c>
      <c r="BN975" t="s">
        <v>74</v>
      </c>
      <c r="BO975" t="s">
        <v>1025</v>
      </c>
      <c r="BP975" t="s">
        <v>74</v>
      </c>
      <c r="BQ975" t="s">
        <v>74</v>
      </c>
      <c r="BR975" t="s">
        <v>103</v>
      </c>
      <c r="BS975" t="s">
        <v>17432</v>
      </c>
      <c r="BT975" t="str">
        <f>HYPERLINK("https%3A%2F%2Fwww.webofscience.com%2Fwos%2Fwoscc%2Ffull-record%2FWOS:000288633400003","View Full Record in Web of Science")</f>
        <v>View Full Record in Web of Science</v>
      </c>
    </row>
    <row r="976" spans="1:72" x14ac:dyDescent="0.15">
      <c r="A976" t="s">
        <v>72</v>
      </c>
      <c r="B976" t="s">
        <v>17433</v>
      </c>
      <c r="C976" t="s">
        <v>74</v>
      </c>
      <c r="D976" t="s">
        <v>74</v>
      </c>
      <c r="E976" t="s">
        <v>74</v>
      </c>
      <c r="F976" t="s">
        <v>17434</v>
      </c>
      <c r="G976" t="s">
        <v>74</v>
      </c>
      <c r="H976" t="s">
        <v>74</v>
      </c>
      <c r="I976" t="s">
        <v>17435</v>
      </c>
      <c r="J976" t="s">
        <v>1004</v>
      </c>
      <c r="K976" t="s">
        <v>74</v>
      </c>
      <c r="L976" t="s">
        <v>74</v>
      </c>
      <c r="M976" t="s">
        <v>78</v>
      </c>
      <c r="N976" t="s">
        <v>79</v>
      </c>
      <c r="O976" t="s">
        <v>74</v>
      </c>
      <c r="P976" t="s">
        <v>74</v>
      </c>
      <c r="Q976" t="s">
        <v>74</v>
      </c>
      <c r="R976" t="s">
        <v>74</v>
      </c>
      <c r="S976" t="s">
        <v>74</v>
      </c>
      <c r="T976" t="s">
        <v>74</v>
      </c>
      <c r="U976" t="s">
        <v>17436</v>
      </c>
      <c r="V976" t="s">
        <v>17437</v>
      </c>
      <c r="W976" t="s">
        <v>17438</v>
      </c>
      <c r="X976" t="s">
        <v>17439</v>
      </c>
      <c r="Y976" t="s">
        <v>17440</v>
      </c>
      <c r="Z976" t="s">
        <v>17441</v>
      </c>
      <c r="AA976" t="s">
        <v>74</v>
      </c>
      <c r="AB976" t="s">
        <v>74</v>
      </c>
      <c r="AC976" t="s">
        <v>17442</v>
      </c>
      <c r="AD976" t="s">
        <v>17443</v>
      </c>
      <c r="AE976" t="s">
        <v>17444</v>
      </c>
      <c r="AF976" t="s">
        <v>74</v>
      </c>
      <c r="AG976">
        <v>34</v>
      </c>
      <c r="AH976">
        <v>3</v>
      </c>
      <c r="AI976">
        <v>3</v>
      </c>
      <c r="AJ976">
        <v>0</v>
      </c>
      <c r="AK976">
        <v>16</v>
      </c>
      <c r="AL976" t="s">
        <v>1014</v>
      </c>
      <c r="AM976" t="s">
        <v>1015</v>
      </c>
      <c r="AN976" t="s">
        <v>1016</v>
      </c>
      <c r="AO976" t="s">
        <v>1017</v>
      </c>
      <c r="AP976" t="s">
        <v>1018</v>
      </c>
      <c r="AQ976" t="s">
        <v>74</v>
      </c>
      <c r="AR976" t="s">
        <v>1019</v>
      </c>
      <c r="AS976" t="s">
        <v>1020</v>
      </c>
      <c r="AT976" t="s">
        <v>17319</v>
      </c>
      <c r="AU976">
        <v>2011</v>
      </c>
      <c r="AV976">
        <v>43</v>
      </c>
      <c r="AW976">
        <v>1</v>
      </c>
      <c r="AX976" t="s">
        <v>74</v>
      </c>
      <c r="AY976" t="s">
        <v>74</v>
      </c>
      <c r="AZ976" t="s">
        <v>74</v>
      </c>
      <c r="BA976" t="s">
        <v>74</v>
      </c>
      <c r="BB976">
        <v>73</v>
      </c>
      <c r="BC976">
        <v>81</v>
      </c>
      <c r="BD976" t="s">
        <v>74</v>
      </c>
      <c r="BE976" t="s">
        <v>17445</v>
      </c>
      <c r="BF976" t="str">
        <f>HYPERLINK("http://dx.doi.org/10.1657/1938-4246-43.1.73","http://dx.doi.org/10.1657/1938-4246-43.1.73")</f>
        <v>http://dx.doi.org/10.1657/1938-4246-43.1.73</v>
      </c>
      <c r="BG976" t="s">
        <v>74</v>
      </c>
      <c r="BH976" t="s">
        <v>74</v>
      </c>
      <c r="BI976">
        <v>9</v>
      </c>
      <c r="BJ976" t="s">
        <v>1022</v>
      </c>
      <c r="BK976" t="s">
        <v>100</v>
      </c>
      <c r="BL976" t="s">
        <v>1023</v>
      </c>
      <c r="BM976" t="s">
        <v>17403</v>
      </c>
      <c r="BN976" t="s">
        <v>74</v>
      </c>
      <c r="BO976" t="s">
        <v>1051</v>
      </c>
      <c r="BP976" t="s">
        <v>74</v>
      </c>
      <c r="BQ976" t="s">
        <v>74</v>
      </c>
      <c r="BR976" t="s">
        <v>103</v>
      </c>
      <c r="BS976" t="s">
        <v>17446</v>
      </c>
      <c r="BT976" t="str">
        <f>HYPERLINK("https%3A%2F%2Fwww.webofscience.com%2Fwos%2Fwoscc%2Ffull-record%2FWOS:000288633400008","View Full Record in Web of Science")</f>
        <v>View Full Record in Web of Science</v>
      </c>
    </row>
    <row r="977" spans="1:72" x14ac:dyDescent="0.15">
      <c r="A977" t="s">
        <v>72</v>
      </c>
      <c r="B977" t="s">
        <v>17447</v>
      </c>
      <c r="C977" t="s">
        <v>74</v>
      </c>
      <c r="D977" t="s">
        <v>74</v>
      </c>
      <c r="E977" t="s">
        <v>74</v>
      </c>
      <c r="F977" t="s">
        <v>17448</v>
      </c>
      <c r="G977" t="s">
        <v>74</v>
      </c>
      <c r="H977" t="s">
        <v>74</v>
      </c>
      <c r="I977" t="s">
        <v>17449</v>
      </c>
      <c r="J977" t="s">
        <v>1004</v>
      </c>
      <c r="K977" t="s">
        <v>74</v>
      </c>
      <c r="L977" t="s">
        <v>74</v>
      </c>
      <c r="M977" t="s">
        <v>78</v>
      </c>
      <c r="N977" t="s">
        <v>79</v>
      </c>
      <c r="O977" t="s">
        <v>74</v>
      </c>
      <c r="P977" t="s">
        <v>74</v>
      </c>
      <c r="Q977" t="s">
        <v>74</v>
      </c>
      <c r="R977" t="s">
        <v>74</v>
      </c>
      <c r="S977" t="s">
        <v>74</v>
      </c>
      <c r="T977" t="s">
        <v>74</v>
      </c>
      <c r="U977" t="s">
        <v>17450</v>
      </c>
      <c r="V977" t="s">
        <v>17451</v>
      </c>
      <c r="W977" t="s">
        <v>17452</v>
      </c>
      <c r="X977" t="s">
        <v>17453</v>
      </c>
      <c r="Y977" t="s">
        <v>7387</v>
      </c>
      <c r="Z977" t="s">
        <v>7388</v>
      </c>
      <c r="AA977" t="s">
        <v>74</v>
      </c>
      <c r="AB977" t="s">
        <v>17454</v>
      </c>
      <c r="AC977" t="s">
        <v>7391</v>
      </c>
      <c r="AD977" t="s">
        <v>7391</v>
      </c>
      <c r="AE977" t="s">
        <v>17455</v>
      </c>
      <c r="AF977" t="s">
        <v>74</v>
      </c>
      <c r="AG977">
        <v>66</v>
      </c>
      <c r="AH977">
        <v>19</v>
      </c>
      <c r="AI977">
        <v>21</v>
      </c>
      <c r="AJ977">
        <v>1</v>
      </c>
      <c r="AK977">
        <v>16</v>
      </c>
      <c r="AL977" t="s">
        <v>1014</v>
      </c>
      <c r="AM977" t="s">
        <v>1015</v>
      </c>
      <c r="AN977" t="s">
        <v>1016</v>
      </c>
      <c r="AO977" t="s">
        <v>1017</v>
      </c>
      <c r="AP977" t="s">
        <v>1018</v>
      </c>
      <c r="AQ977" t="s">
        <v>74</v>
      </c>
      <c r="AR977" t="s">
        <v>1019</v>
      </c>
      <c r="AS977" t="s">
        <v>1020</v>
      </c>
      <c r="AT977" t="s">
        <v>17319</v>
      </c>
      <c r="AU977">
        <v>2011</v>
      </c>
      <c r="AV977">
        <v>43</v>
      </c>
      <c r="AW977">
        <v>1</v>
      </c>
      <c r="AX977" t="s">
        <v>74</v>
      </c>
      <c r="AY977" t="s">
        <v>74</v>
      </c>
      <c r="AZ977" t="s">
        <v>74</v>
      </c>
      <c r="BA977" t="s">
        <v>74</v>
      </c>
      <c r="BB977">
        <v>82</v>
      </c>
      <c r="BC977">
        <v>94</v>
      </c>
      <c r="BD977" t="s">
        <v>74</v>
      </c>
      <c r="BE977" t="s">
        <v>17456</v>
      </c>
      <c r="BF977" t="str">
        <f>HYPERLINK("http://dx.doi.org/10.1657/1938-4246-43.1.82","http://dx.doi.org/10.1657/1938-4246-43.1.82")</f>
        <v>http://dx.doi.org/10.1657/1938-4246-43.1.82</v>
      </c>
      <c r="BG977" t="s">
        <v>74</v>
      </c>
      <c r="BH977" t="s">
        <v>74</v>
      </c>
      <c r="BI977">
        <v>13</v>
      </c>
      <c r="BJ977" t="s">
        <v>1022</v>
      </c>
      <c r="BK977" t="s">
        <v>100</v>
      </c>
      <c r="BL977" t="s">
        <v>1023</v>
      </c>
      <c r="BM977" t="s">
        <v>17403</v>
      </c>
      <c r="BN977" t="s">
        <v>74</v>
      </c>
      <c r="BO977" t="s">
        <v>1025</v>
      </c>
      <c r="BP977" t="s">
        <v>74</v>
      </c>
      <c r="BQ977" t="s">
        <v>74</v>
      </c>
      <c r="BR977" t="s">
        <v>103</v>
      </c>
      <c r="BS977" t="s">
        <v>17457</v>
      </c>
      <c r="BT977" t="str">
        <f>HYPERLINK("https%3A%2F%2Fwww.webofscience.com%2Fwos%2Fwoscc%2Ffull-record%2FWOS:000288633400009","View Full Record in Web of Science")</f>
        <v>View Full Record in Web of Science</v>
      </c>
    </row>
    <row r="978" spans="1:72" x14ac:dyDescent="0.15">
      <c r="A978" t="s">
        <v>72</v>
      </c>
      <c r="B978" t="s">
        <v>17458</v>
      </c>
      <c r="C978" t="s">
        <v>74</v>
      </c>
      <c r="D978" t="s">
        <v>74</v>
      </c>
      <c r="E978" t="s">
        <v>74</v>
      </c>
      <c r="F978" t="s">
        <v>17459</v>
      </c>
      <c r="G978" t="s">
        <v>74</v>
      </c>
      <c r="H978" t="s">
        <v>74</v>
      </c>
      <c r="I978" t="s">
        <v>17460</v>
      </c>
      <c r="J978" t="s">
        <v>1004</v>
      </c>
      <c r="K978" t="s">
        <v>74</v>
      </c>
      <c r="L978" t="s">
        <v>74</v>
      </c>
      <c r="M978" t="s">
        <v>78</v>
      </c>
      <c r="N978" t="s">
        <v>79</v>
      </c>
      <c r="O978" t="s">
        <v>74</v>
      </c>
      <c r="P978" t="s">
        <v>74</v>
      </c>
      <c r="Q978" t="s">
        <v>74</v>
      </c>
      <c r="R978" t="s">
        <v>74</v>
      </c>
      <c r="S978" t="s">
        <v>74</v>
      </c>
      <c r="T978" t="s">
        <v>74</v>
      </c>
      <c r="U978" t="s">
        <v>17461</v>
      </c>
      <c r="V978" t="s">
        <v>17462</v>
      </c>
      <c r="W978" t="s">
        <v>17463</v>
      </c>
      <c r="X978" t="s">
        <v>17464</v>
      </c>
      <c r="Y978" t="s">
        <v>17465</v>
      </c>
      <c r="Z978" t="s">
        <v>17466</v>
      </c>
      <c r="AA978" t="s">
        <v>17467</v>
      </c>
      <c r="AB978" t="s">
        <v>17468</v>
      </c>
      <c r="AC978" t="s">
        <v>17469</v>
      </c>
      <c r="AD978" t="s">
        <v>17469</v>
      </c>
      <c r="AE978" t="s">
        <v>17470</v>
      </c>
      <c r="AF978" t="s">
        <v>74</v>
      </c>
      <c r="AG978">
        <v>64</v>
      </c>
      <c r="AH978">
        <v>17</v>
      </c>
      <c r="AI978">
        <v>24</v>
      </c>
      <c r="AJ978">
        <v>0</v>
      </c>
      <c r="AK978">
        <v>38</v>
      </c>
      <c r="AL978" t="s">
        <v>1014</v>
      </c>
      <c r="AM978" t="s">
        <v>1015</v>
      </c>
      <c r="AN978" t="s">
        <v>1016</v>
      </c>
      <c r="AO978" t="s">
        <v>1017</v>
      </c>
      <c r="AP978" t="s">
        <v>1018</v>
      </c>
      <c r="AQ978" t="s">
        <v>74</v>
      </c>
      <c r="AR978" t="s">
        <v>1019</v>
      </c>
      <c r="AS978" t="s">
        <v>1020</v>
      </c>
      <c r="AT978" t="s">
        <v>17319</v>
      </c>
      <c r="AU978">
        <v>2011</v>
      </c>
      <c r="AV978">
        <v>43</v>
      </c>
      <c r="AW978">
        <v>1</v>
      </c>
      <c r="AX978" t="s">
        <v>74</v>
      </c>
      <c r="AY978" t="s">
        <v>74</v>
      </c>
      <c r="AZ978" t="s">
        <v>74</v>
      </c>
      <c r="BA978" t="s">
        <v>74</v>
      </c>
      <c r="BB978">
        <v>107</v>
      </c>
      <c r="BC978">
        <v>117</v>
      </c>
      <c r="BD978" t="s">
        <v>74</v>
      </c>
      <c r="BE978" t="s">
        <v>17471</v>
      </c>
      <c r="BF978" t="str">
        <f>HYPERLINK("http://dx.doi.org/10.1657/1938-4246-43.1.107","http://dx.doi.org/10.1657/1938-4246-43.1.107")</f>
        <v>http://dx.doi.org/10.1657/1938-4246-43.1.107</v>
      </c>
      <c r="BG978" t="s">
        <v>74</v>
      </c>
      <c r="BH978" t="s">
        <v>74</v>
      </c>
      <c r="BI978">
        <v>11</v>
      </c>
      <c r="BJ978" t="s">
        <v>1022</v>
      </c>
      <c r="BK978" t="s">
        <v>100</v>
      </c>
      <c r="BL978" t="s">
        <v>1023</v>
      </c>
      <c r="BM978" t="s">
        <v>17403</v>
      </c>
      <c r="BN978" t="s">
        <v>74</v>
      </c>
      <c r="BO978" t="s">
        <v>1025</v>
      </c>
      <c r="BP978" t="s">
        <v>74</v>
      </c>
      <c r="BQ978" t="s">
        <v>74</v>
      </c>
      <c r="BR978" t="s">
        <v>103</v>
      </c>
      <c r="BS978" t="s">
        <v>17472</v>
      </c>
      <c r="BT978" t="str">
        <f>HYPERLINK("https%3A%2F%2Fwww.webofscience.com%2Fwos%2Fwoscc%2Ffull-record%2FWOS:000288633400011","View Full Record in Web of Science")</f>
        <v>View Full Record in Web of Science</v>
      </c>
    </row>
    <row r="979" spans="1:72" x14ac:dyDescent="0.15">
      <c r="A979" t="s">
        <v>72</v>
      </c>
      <c r="B979" t="s">
        <v>17473</v>
      </c>
      <c r="C979" t="s">
        <v>74</v>
      </c>
      <c r="D979" t="s">
        <v>74</v>
      </c>
      <c r="E979" t="s">
        <v>74</v>
      </c>
      <c r="F979" t="s">
        <v>17474</v>
      </c>
      <c r="G979" t="s">
        <v>74</v>
      </c>
      <c r="H979" t="s">
        <v>74</v>
      </c>
      <c r="I979" t="s">
        <v>17475</v>
      </c>
      <c r="J979" t="s">
        <v>1004</v>
      </c>
      <c r="K979" t="s">
        <v>74</v>
      </c>
      <c r="L979" t="s">
        <v>74</v>
      </c>
      <c r="M979" t="s">
        <v>78</v>
      </c>
      <c r="N979" t="s">
        <v>79</v>
      </c>
      <c r="O979" t="s">
        <v>74</v>
      </c>
      <c r="P979" t="s">
        <v>74</v>
      </c>
      <c r="Q979" t="s">
        <v>74</v>
      </c>
      <c r="R979" t="s">
        <v>74</v>
      </c>
      <c r="S979" t="s">
        <v>74</v>
      </c>
      <c r="T979" t="s">
        <v>74</v>
      </c>
      <c r="U979" t="s">
        <v>17476</v>
      </c>
      <c r="V979" t="s">
        <v>17477</v>
      </c>
      <c r="W979" t="s">
        <v>17478</v>
      </c>
      <c r="X979" t="s">
        <v>17479</v>
      </c>
      <c r="Y979" t="s">
        <v>17480</v>
      </c>
      <c r="Z979" t="s">
        <v>17481</v>
      </c>
      <c r="AA979" t="s">
        <v>74</v>
      </c>
      <c r="AB979" t="s">
        <v>74</v>
      </c>
      <c r="AC979" t="s">
        <v>74</v>
      </c>
      <c r="AD979" t="s">
        <v>74</v>
      </c>
      <c r="AE979" t="s">
        <v>74</v>
      </c>
      <c r="AF979" t="s">
        <v>74</v>
      </c>
      <c r="AG979">
        <v>34</v>
      </c>
      <c r="AH979">
        <v>6</v>
      </c>
      <c r="AI979">
        <v>8</v>
      </c>
      <c r="AJ979">
        <v>0</v>
      </c>
      <c r="AK979">
        <v>12</v>
      </c>
      <c r="AL979" t="s">
        <v>1035</v>
      </c>
      <c r="AM979" t="s">
        <v>1036</v>
      </c>
      <c r="AN979" t="s">
        <v>1037</v>
      </c>
      <c r="AO979" t="s">
        <v>1017</v>
      </c>
      <c r="AP979" t="s">
        <v>74</v>
      </c>
      <c r="AQ979" t="s">
        <v>74</v>
      </c>
      <c r="AR979" t="s">
        <v>1019</v>
      </c>
      <c r="AS979" t="s">
        <v>1020</v>
      </c>
      <c r="AT979" t="s">
        <v>17319</v>
      </c>
      <c r="AU979">
        <v>2011</v>
      </c>
      <c r="AV979">
        <v>43</v>
      </c>
      <c r="AW979">
        <v>1</v>
      </c>
      <c r="AX979" t="s">
        <v>74</v>
      </c>
      <c r="AY979" t="s">
        <v>74</v>
      </c>
      <c r="AZ979" t="s">
        <v>74</v>
      </c>
      <c r="BA979" t="s">
        <v>74</v>
      </c>
      <c r="BB979">
        <v>118</v>
      </c>
      <c r="BC979">
        <v>126</v>
      </c>
      <c r="BD979" t="s">
        <v>74</v>
      </c>
      <c r="BE979" t="s">
        <v>17482</v>
      </c>
      <c r="BF979" t="str">
        <f>HYPERLINK("http://dx.doi.org/10.1657/1938-4246-43.1.118","http://dx.doi.org/10.1657/1938-4246-43.1.118")</f>
        <v>http://dx.doi.org/10.1657/1938-4246-43.1.118</v>
      </c>
      <c r="BG979" t="s">
        <v>74</v>
      </c>
      <c r="BH979" t="s">
        <v>74</v>
      </c>
      <c r="BI979">
        <v>9</v>
      </c>
      <c r="BJ979" t="s">
        <v>1022</v>
      </c>
      <c r="BK979" t="s">
        <v>100</v>
      </c>
      <c r="BL979" t="s">
        <v>1023</v>
      </c>
      <c r="BM979" t="s">
        <v>17403</v>
      </c>
      <c r="BN979" t="s">
        <v>74</v>
      </c>
      <c r="BO979" t="s">
        <v>1025</v>
      </c>
      <c r="BP979" t="s">
        <v>74</v>
      </c>
      <c r="BQ979" t="s">
        <v>74</v>
      </c>
      <c r="BR979" t="s">
        <v>103</v>
      </c>
      <c r="BS979" t="s">
        <v>17483</v>
      </c>
      <c r="BT979" t="str">
        <f>HYPERLINK("https%3A%2F%2Fwww.webofscience.com%2Fwos%2Fwoscc%2Ffull-record%2FWOS:000288633400012","View Full Record in Web of Science")</f>
        <v>View Full Record in Web of Science</v>
      </c>
    </row>
    <row r="980" spans="1:72" x14ac:dyDescent="0.15">
      <c r="A980" t="s">
        <v>72</v>
      </c>
      <c r="B980" t="s">
        <v>17484</v>
      </c>
      <c r="C980" t="s">
        <v>74</v>
      </c>
      <c r="D980" t="s">
        <v>74</v>
      </c>
      <c r="E980" t="s">
        <v>74</v>
      </c>
      <c r="F980" t="s">
        <v>17485</v>
      </c>
      <c r="G980" t="s">
        <v>74</v>
      </c>
      <c r="H980" t="s">
        <v>74</v>
      </c>
      <c r="I980" t="s">
        <v>17486</v>
      </c>
      <c r="J980" t="s">
        <v>1004</v>
      </c>
      <c r="K980" t="s">
        <v>74</v>
      </c>
      <c r="L980" t="s">
        <v>74</v>
      </c>
      <c r="M980" t="s">
        <v>78</v>
      </c>
      <c r="N980" t="s">
        <v>79</v>
      </c>
      <c r="O980" t="s">
        <v>74</v>
      </c>
      <c r="P980" t="s">
        <v>74</v>
      </c>
      <c r="Q980" t="s">
        <v>74</v>
      </c>
      <c r="R980" t="s">
        <v>74</v>
      </c>
      <c r="S980" t="s">
        <v>74</v>
      </c>
      <c r="T980" t="s">
        <v>74</v>
      </c>
      <c r="U980" t="s">
        <v>17487</v>
      </c>
      <c r="V980" t="s">
        <v>17488</v>
      </c>
      <c r="W980" t="s">
        <v>17489</v>
      </c>
      <c r="X980" t="s">
        <v>17490</v>
      </c>
      <c r="Y980" t="s">
        <v>17491</v>
      </c>
      <c r="Z980" t="s">
        <v>17492</v>
      </c>
      <c r="AA980" t="s">
        <v>17493</v>
      </c>
      <c r="AB980" t="s">
        <v>17494</v>
      </c>
      <c r="AC980" t="s">
        <v>17495</v>
      </c>
      <c r="AD980" t="s">
        <v>17496</v>
      </c>
      <c r="AE980" t="s">
        <v>17497</v>
      </c>
      <c r="AF980" t="s">
        <v>74</v>
      </c>
      <c r="AG980">
        <v>71</v>
      </c>
      <c r="AH980">
        <v>39</v>
      </c>
      <c r="AI980">
        <v>41</v>
      </c>
      <c r="AJ980">
        <v>2</v>
      </c>
      <c r="AK980">
        <v>37</v>
      </c>
      <c r="AL980" t="s">
        <v>1014</v>
      </c>
      <c r="AM980" t="s">
        <v>1015</v>
      </c>
      <c r="AN980" t="s">
        <v>1016</v>
      </c>
      <c r="AO980" t="s">
        <v>1017</v>
      </c>
      <c r="AP980" t="s">
        <v>1018</v>
      </c>
      <c r="AQ980" t="s">
        <v>74</v>
      </c>
      <c r="AR980" t="s">
        <v>1019</v>
      </c>
      <c r="AS980" t="s">
        <v>1020</v>
      </c>
      <c r="AT980" t="s">
        <v>17319</v>
      </c>
      <c r="AU980">
        <v>2011</v>
      </c>
      <c r="AV980">
        <v>43</v>
      </c>
      <c r="AW980">
        <v>1</v>
      </c>
      <c r="AX980" t="s">
        <v>74</v>
      </c>
      <c r="AY980" t="s">
        <v>74</v>
      </c>
      <c r="AZ980" t="s">
        <v>74</v>
      </c>
      <c r="BA980" t="s">
        <v>74</v>
      </c>
      <c r="BB980">
        <v>147</v>
      </c>
      <c r="BC980">
        <v>160</v>
      </c>
      <c r="BD980" t="s">
        <v>74</v>
      </c>
      <c r="BE980" t="s">
        <v>17498</v>
      </c>
      <c r="BF980" t="str">
        <f>HYPERLINK("http://dx.doi.org/10.1657/1938-4246-43.1.147","http://dx.doi.org/10.1657/1938-4246-43.1.147")</f>
        <v>http://dx.doi.org/10.1657/1938-4246-43.1.147</v>
      </c>
      <c r="BG980" t="s">
        <v>74</v>
      </c>
      <c r="BH980" t="s">
        <v>74</v>
      </c>
      <c r="BI980">
        <v>14</v>
      </c>
      <c r="BJ980" t="s">
        <v>1022</v>
      </c>
      <c r="BK980" t="s">
        <v>100</v>
      </c>
      <c r="BL980" t="s">
        <v>1023</v>
      </c>
      <c r="BM980" t="s">
        <v>17403</v>
      </c>
      <c r="BN980" t="s">
        <v>74</v>
      </c>
      <c r="BO980" t="s">
        <v>1025</v>
      </c>
      <c r="BP980" t="s">
        <v>74</v>
      </c>
      <c r="BQ980" t="s">
        <v>74</v>
      </c>
      <c r="BR980" t="s">
        <v>103</v>
      </c>
      <c r="BS980" t="s">
        <v>17499</v>
      </c>
      <c r="BT980" t="str">
        <f>HYPERLINK("https%3A%2F%2Fwww.webofscience.com%2Fwos%2Fwoscc%2Ffull-record%2FWOS:000288633400015","View Full Record in Web of Science")</f>
        <v>View Full Record in Web of Science</v>
      </c>
    </row>
    <row r="981" spans="1:72" x14ac:dyDescent="0.15">
      <c r="A981" t="s">
        <v>72</v>
      </c>
      <c r="B981" t="s">
        <v>17500</v>
      </c>
      <c r="C981" t="s">
        <v>74</v>
      </c>
      <c r="D981" t="s">
        <v>74</v>
      </c>
      <c r="E981" t="s">
        <v>74</v>
      </c>
      <c r="F981" t="s">
        <v>17501</v>
      </c>
      <c r="G981" t="s">
        <v>74</v>
      </c>
      <c r="H981" t="s">
        <v>74</v>
      </c>
      <c r="I981" t="s">
        <v>17502</v>
      </c>
      <c r="J981" t="s">
        <v>17503</v>
      </c>
      <c r="K981" t="s">
        <v>74</v>
      </c>
      <c r="L981" t="s">
        <v>74</v>
      </c>
      <c r="M981" t="s">
        <v>78</v>
      </c>
      <c r="N981" t="s">
        <v>79</v>
      </c>
      <c r="O981" t="s">
        <v>74</v>
      </c>
      <c r="P981" t="s">
        <v>74</v>
      </c>
      <c r="Q981" t="s">
        <v>74</v>
      </c>
      <c r="R981" t="s">
        <v>74</v>
      </c>
      <c r="S981" t="s">
        <v>74</v>
      </c>
      <c r="T981" t="s">
        <v>17504</v>
      </c>
      <c r="U981" t="s">
        <v>17505</v>
      </c>
      <c r="V981" t="s">
        <v>17506</v>
      </c>
      <c r="W981" t="s">
        <v>17507</v>
      </c>
      <c r="X981" t="s">
        <v>17508</v>
      </c>
      <c r="Y981" t="s">
        <v>17509</v>
      </c>
      <c r="Z981" t="s">
        <v>17510</v>
      </c>
      <c r="AA981" t="s">
        <v>74</v>
      </c>
      <c r="AB981" t="s">
        <v>17511</v>
      </c>
      <c r="AC981" t="s">
        <v>17512</v>
      </c>
      <c r="AD981" t="s">
        <v>17513</v>
      </c>
      <c r="AE981" t="s">
        <v>17514</v>
      </c>
      <c r="AF981" t="s">
        <v>74</v>
      </c>
      <c r="AG981">
        <v>50</v>
      </c>
      <c r="AH981">
        <v>7</v>
      </c>
      <c r="AI981">
        <v>7</v>
      </c>
      <c r="AJ981">
        <v>0</v>
      </c>
      <c r="AK981">
        <v>7</v>
      </c>
      <c r="AL981" t="s">
        <v>17515</v>
      </c>
      <c r="AM981" t="s">
        <v>820</v>
      </c>
      <c r="AN981" t="s">
        <v>17516</v>
      </c>
      <c r="AO981" t="s">
        <v>17517</v>
      </c>
      <c r="AP981" t="s">
        <v>17518</v>
      </c>
      <c r="AQ981" t="s">
        <v>74</v>
      </c>
      <c r="AR981" t="s">
        <v>17519</v>
      </c>
      <c r="AS981" t="s">
        <v>17520</v>
      </c>
      <c r="AT981" t="s">
        <v>17319</v>
      </c>
      <c r="AU981">
        <v>2011</v>
      </c>
      <c r="AV981">
        <v>48</v>
      </c>
      <c r="AW981">
        <v>1</v>
      </c>
      <c r="AX981" t="s">
        <v>74</v>
      </c>
      <c r="AY981" t="s">
        <v>74</v>
      </c>
      <c r="AZ981" t="s">
        <v>74</v>
      </c>
      <c r="BA981" t="s">
        <v>74</v>
      </c>
      <c r="BB981">
        <v>35</v>
      </c>
      <c r="BC981">
        <v>41</v>
      </c>
      <c r="BD981" t="s">
        <v>74</v>
      </c>
      <c r="BE981" t="s">
        <v>74</v>
      </c>
      <c r="BF981" t="s">
        <v>74</v>
      </c>
      <c r="BG981" t="s">
        <v>74</v>
      </c>
      <c r="BH981" t="s">
        <v>74</v>
      </c>
      <c r="BI981">
        <v>7</v>
      </c>
      <c r="BJ981" t="s">
        <v>17521</v>
      </c>
      <c r="BK981" t="s">
        <v>100</v>
      </c>
      <c r="BL981" t="s">
        <v>17521</v>
      </c>
      <c r="BM981" t="s">
        <v>17522</v>
      </c>
      <c r="BN981">
        <v>21469600</v>
      </c>
      <c r="BO981" t="s">
        <v>74</v>
      </c>
      <c r="BP981" t="s">
        <v>74</v>
      </c>
      <c r="BQ981" t="s">
        <v>74</v>
      </c>
      <c r="BR981" t="s">
        <v>103</v>
      </c>
      <c r="BS981" t="s">
        <v>17523</v>
      </c>
      <c r="BT981" t="str">
        <f>HYPERLINK("https%3A%2F%2Fwww.webofscience.com%2Fwos%2Fwoscc%2Ffull-record%2FWOS:000288721600005","View Full Record in Web of Science")</f>
        <v>View Full Record in Web of Science</v>
      </c>
    </row>
    <row r="982" spans="1:72" x14ac:dyDescent="0.15">
      <c r="A982" t="s">
        <v>72</v>
      </c>
      <c r="B982" t="s">
        <v>17524</v>
      </c>
      <c r="C982" t="s">
        <v>74</v>
      </c>
      <c r="D982" t="s">
        <v>74</v>
      </c>
      <c r="E982" t="s">
        <v>74</v>
      </c>
      <c r="F982" t="s">
        <v>17525</v>
      </c>
      <c r="G982" t="s">
        <v>74</v>
      </c>
      <c r="H982" t="s">
        <v>74</v>
      </c>
      <c r="I982" t="s">
        <v>17526</v>
      </c>
      <c r="J982" t="s">
        <v>17527</v>
      </c>
      <c r="K982" t="s">
        <v>74</v>
      </c>
      <c r="L982" t="s">
        <v>74</v>
      </c>
      <c r="M982" t="s">
        <v>78</v>
      </c>
      <c r="N982" t="s">
        <v>79</v>
      </c>
      <c r="O982" t="s">
        <v>74</v>
      </c>
      <c r="P982" t="s">
        <v>74</v>
      </c>
      <c r="Q982" t="s">
        <v>74</v>
      </c>
      <c r="R982" t="s">
        <v>74</v>
      </c>
      <c r="S982" t="s">
        <v>74</v>
      </c>
      <c r="T982" t="s">
        <v>17528</v>
      </c>
      <c r="U982" t="s">
        <v>17529</v>
      </c>
      <c r="V982" t="s">
        <v>17530</v>
      </c>
      <c r="W982" t="s">
        <v>17531</v>
      </c>
      <c r="X982" t="s">
        <v>3999</v>
      </c>
      <c r="Y982" t="s">
        <v>17532</v>
      </c>
      <c r="Z982" t="s">
        <v>17533</v>
      </c>
      <c r="AA982" t="s">
        <v>74</v>
      </c>
      <c r="AB982" t="s">
        <v>74</v>
      </c>
      <c r="AC982" t="s">
        <v>17534</v>
      </c>
      <c r="AD982" t="s">
        <v>17535</v>
      </c>
      <c r="AE982" t="s">
        <v>17536</v>
      </c>
      <c r="AF982" t="s">
        <v>74</v>
      </c>
      <c r="AG982">
        <v>66</v>
      </c>
      <c r="AH982">
        <v>14</v>
      </c>
      <c r="AI982">
        <v>16</v>
      </c>
      <c r="AJ982">
        <v>3</v>
      </c>
      <c r="AK982">
        <v>13</v>
      </c>
      <c r="AL982" t="s">
        <v>17537</v>
      </c>
      <c r="AM982" t="s">
        <v>17538</v>
      </c>
      <c r="AN982" t="s">
        <v>17539</v>
      </c>
      <c r="AO982" t="s">
        <v>17540</v>
      </c>
      <c r="AP982" t="s">
        <v>17541</v>
      </c>
      <c r="AQ982" t="s">
        <v>74</v>
      </c>
      <c r="AR982" t="s">
        <v>17542</v>
      </c>
      <c r="AS982" t="s">
        <v>17543</v>
      </c>
      <c r="AT982" t="s">
        <v>17319</v>
      </c>
      <c r="AU982">
        <v>2011</v>
      </c>
      <c r="AV982">
        <v>49</v>
      </c>
      <c r="AW982">
        <v>1</v>
      </c>
      <c r="AX982" t="s">
        <v>74</v>
      </c>
      <c r="AY982" t="s">
        <v>74</v>
      </c>
      <c r="AZ982" t="s">
        <v>74</v>
      </c>
      <c r="BA982" t="s">
        <v>74</v>
      </c>
      <c r="BB982">
        <v>381</v>
      </c>
      <c r="BC982">
        <v>405</v>
      </c>
      <c r="BD982" t="s">
        <v>74</v>
      </c>
      <c r="BE982" t="s">
        <v>17544</v>
      </c>
      <c r="BF982" t="str">
        <f>HYPERLINK("http://dx.doi.org/10.3749/canmin.49.1.381","http://dx.doi.org/10.3749/canmin.49.1.381")</f>
        <v>http://dx.doi.org/10.3749/canmin.49.1.381</v>
      </c>
      <c r="BG982" t="s">
        <v>74</v>
      </c>
      <c r="BH982" t="s">
        <v>74</v>
      </c>
      <c r="BI982">
        <v>25</v>
      </c>
      <c r="BJ982" t="s">
        <v>998</v>
      </c>
      <c r="BK982" t="s">
        <v>100</v>
      </c>
      <c r="BL982" t="s">
        <v>998</v>
      </c>
      <c r="BM982" t="s">
        <v>17545</v>
      </c>
      <c r="BN982" t="s">
        <v>74</v>
      </c>
      <c r="BO982" t="s">
        <v>74</v>
      </c>
      <c r="BP982" t="s">
        <v>74</v>
      </c>
      <c r="BQ982" t="s">
        <v>74</v>
      </c>
      <c r="BR982" t="s">
        <v>103</v>
      </c>
      <c r="BS982" t="s">
        <v>17546</v>
      </c>
      <c r="BT982" t="str">
        <f>HYPERLINK("https%3A%2F%2Fwww.webofscience.com%2Fwos%2Fwoscc%2Ffull-record%2FWOS:000288240400024","View Full Record in Web of Science")</f>
        <v>View Full Record in Web of Science</v>
      </c>
    </row>
    <row r="983" spans="1:72" x14ac:dyDescent="0.15">
      <c r="A983" t="s">
        <v>72</v>
      </c>
      <c r="B983" t="s">
        <v>17547</v>
      </c>
      <c r="C983" t="s">
        <v>74</v>
      </c>
      <c r="D983" t="s">
        <v>74</v>
      </c>
      <c r="E983" t="s">
        <v>74</v>
      </c>
      <c r="F983" t="s">
        <v>17548</v>
      </c>
      <c r="G983" t="s">
        <v>74</v>
      </c>
      <c r="H983" t="s">
        <v>74</v>
      </c>
      <c r="I983" t="s">
        <v>17549</v>
      </c>
      <c r="J983" t="s">
        <v>17550</v>
      </c>
      <c r="K983" t="s">
        <v>74</v>
      </c>
      <c r="L983" t="s">
        <v>74</v>
      </c>
      <c r="M983" t="s">
        <v>78</v>
      </c>
      <c r="N983" t="s">
        <v>79</v>
      </c>
      <c r="O983" t="s">
        <v>74</v>
      </c>
      <c r="P983" t="s">
        <v>74</v>
      </c>
      <c r="Q983" t="s">
        <v>74</v>
      </c>
      <c r="R983" t="s">
        <v>74</v>
      </c>
      <c r="S983" t="s">
        <v>74</v>
      </c>
      <c r="T983" t="s">
        <v>74</v>
      </c>
      <c r="U983" t="s">
        <v>17551</v>
      </c>
      <c r="V983" t="s">
        <v>17552</v>
      </c>
      <c r="W983" t="s">
        <v>17553</v>
      </c>
      <c r="X983" t="s">
        <v>17554</v>
      </c>
      <c r="Y983" t="s">
        <v>17555</v>
      </c>
      <c r="Z983" t="s">
        <v>17556</v>
      </c>
      <c r="AA983" t="s">
        <v>17557</v>
      </c>
      <c r="AB983" t="s">
        <v>17558</v>
      </c>
      <c r="AC983" t="s">
        <v>74</v>
      </c>
      <c r="AD983" t="s">
        <v>74</v>
      </c>
      <c r="AE983" t="s">
        <v>74</v>
      </c>
      <c r="AF983" t="s">
        <v>74</v>
      </c>
      <c r="AG983">
        <v>70</v>
      </c>
      <c r="AH983">
        <v>31</v>
      </c>
      <c r="AI983">
        <v>35</v>
      </c>
      <c r="AJ983">
        <v>0</v>
      </c>
      <c r="AK983">
        <v>20</v>
      </c>
      <c r="AL983" t="s">
        <v>507</v>
      </c>
      <c r="AM983" t="s">
        <v>508</v>
      </c>
      <c r="AN983" t="s">
        <v>509</v>
      </c>
      <c r="AO983" t="s">
        <v>17559</v>
      </c>
      <c r="AP983" t="s">
        <v>17560</v>
      </c>
      <c r="AQ983" t="s">
        <v>74</v>
      </c>
      <c r="AR983" t="s">
        <v>17561</v>
      </c>
      <c r="AS983" t="s">
        <v>17562</v>
      </c>
      <c r="AT983" t="s">
        <v>17319</v>
      </c>
      <c r="AU983">
        <v>2011</v>
      </c>
      <c r="AV983">
        <v>54</v>
      </c>
      <c r="AW983">
        <v>2</v>
      </c>
      <c r="AX983" t="s">
        <v>74</v>
      </c>
      <c r="AY983" t="s">
        <v>74</v>
      </c>
      <c r="AZ983" t="s">
        <v>74</v>
      </c>
      <c r="BA983" t="s">
        <v>74</v>
      </c>
      <c r="BB983">
        <v>110</v>
      </c>
      <c r="BC983">
        <v>122</v>
      </c>
      <c r="BD983" t="s">
        <v>74</v>
      </c>
      <c r="BE983" t="s">
        <v>17563</v>
      </c>
      <c r="BF983" t="str">
        <f>HYPERLINK("http://dx.doi.org/10.1016/j.ocecoaman.2010.10.010","http://dx.doi.org/10.1016/j.ocecoaman.2010.10.010")</f>
        <v>http://dx.doi.org/10.1016/j.ocecoaman.2010.10.010</v>
      </c>
      <c r="BG983" t="s">
        <v>74</v>
      </c>
      <c r="BH983" t="s">
        <v>74</v>
      </c>
      <c r="BI983">
        <v>13</v>
      </c>
      <c r="BJ983" t="s">
        <v>17564</v>
      </c>
      <c r="BK983" t="s">
        <v>100</v>
      </c>
      <c r="BL983" t="s">
        <v>17564</v>
      </c>
      <c r="BM983" t="s">
        <v>17565</v>
      </c>
      <c r="BN983" t="s">
        <v>74</v>
      </c>
      <c r="BO983" t="s">
        <v>74</v>
      </c>
      <c r="BP983" t="s">
        <v>74</v>
      </c>
      <c r="BQ983" t="s">
        <v>74</v>
      </c>
      <c r="BR983" t="s">
        <v>103</v>
      </c>
      <c r="BS983" t="s">
        <v>17566</v>
      </c>
      <c r="BT983" t="str">
        <f>HYPERLINK("https%3A%2F%2Fwww.webofscience.com%2Fwos%2Fwoscc%2Ffull-record%2FWOS:000286996100002","View Full Record in Web of Science")</f>
        <v>View Full Record in Web of Science</v>
      </c>
    </row>
    <row r="984" spans="1:72" x14ac:dyDescent="0.15">
      <c r="A984" t="s">
        <v>72</v>
      </c>
      <c r="B984" t="s">
        <v>17567</v>
      </c>
      <c r="C984" t="s">
        <v>74</v>
      </c>
      <c r="D984" t="s">
        <v>74</v>
      </c>
      <c r="E984" t="s">
        <v>74</v>
      </c>
      <c r="F984" t="s">
        <v>17568</v>
      </c>
      <c r="G984" t="s">
        <v>74</v>
      </c>
      <c r="H984" t="s">
        <v>74</v>
      </c>
      <c r="I984" t="s">
        <v>17569</v>
      </c>
      <c r="J984" t="s">
        <v>4460</v>
      </c>
      <c r="K984" t="s">
        <v>74</v>
      </c>
      <c r="L984" t="s">
        <v>74</v>
      </c>
      <c r="M984" t="s">
        <v>78</v>
      </c>
      <c r="N984" t="s">
        <v>79</v>
      </c>
      <c r="O984" t="s">
        <v>74</v>
      </c>
      <c r="P984" t="s">
        <v>74</v>
      </c>
      <c r="Q984" t="s">
        <v>74</v>
      </c>
      <c r="R984" t="s">
        <v>74</v>
      </c>
      <c r="S984" t="s">
        <v>74</v>
      </c>
      <c r="T984" t="s">
        <v>17570</v>
      </c>
      <c r="U984" t="s">
        <v>17571</v>
      </c>
      <c r="V984" t="s">
        <v>17572</v>
      </c>
      <c r="W984" t="s">
        <v>17573</v>
      </c>
      <c r="X984" t="s">
        <v>17574</v>
      </c>
      <c r="Y984" t="s">
        <v>17575</v>
      </c>
      <c r="Z984" t="s">
        <v>17576</v>
      </c>
      <c r="AA984" t="s">
        <v>17577</v>
      </c>
      <c r="AB984" t="s">
        <v>17578</v>
      </c>
      <c r="AC984" t="s">
        <v>3371</v>
      </c>
      <c r="AD984" t="s">
        <v>2421</v>
      </c>
      <c r="AE984" t="s">
        <v>17579</v>
      </c>
      <c r="AF984" t="s">
        <v>74</v>
      </c>
      <c r="AG984">
        <v>44</v>
      </c>
      <c r="AH984">
        <v>24</v>
      </c>
      <c r="AI984">
        <v>26</v>
      </c>
      <c r="AJ984">
        <v>0</v>
      </c>
      <c r="AK984">
        <v>22</v>
      </c>
      <c r="AL984" t="s">
        <v>926</v>
      </c>
      <c r="AM984" t="s">
        <v>508</v>
      </c>
      <c r="AN984" t="s">
        <v>927</v>
      </c>
      <c r="AO984" t="s">
        <v>4472</v>
      </c>
      <c r="AP984" t="s">
        <v>74</v>
      </c>
      <c r="AQ984" t="s">
        <v>74</v>
      </c>
      <c r="AR984" t="s">
        <v>4474</v>
      </c>
      <c r="AS984" t="s">
        <v>4475</v>
      </c>
      <c r="AT984" t="s">
        <v>17319</v>
      </c>
      <c r="AU984">
        <v>2011</v>
      </c>
      <c r="AV984">
        <v>58</v>
      </c>
      <c r="AW984" t="s">
        <v>315</v>
      </c>
      <c r="AX984" t="s">
        <v>74</v>
      </c>
      <c r="AY984" t="s">
        <v>74</v>
      </c>
      <c r="AZ984" t="s">
        <v>74</v>
      </c>
      <c r="BA984" t="s">
        <v>74</v>
      </c>
      <c r="BB984">
        <v>284</v>
      </c>
      <c r="BC984">
        <v>295</v>
      </c>
      <c r="BD984" t="s">
        <v>74</v>
      </c>
      <c r="BE984" t="s">
        <v>17580</v>
      </c>
      <c r="BF984" t="str">
        <f>HYPERLINK("http://dx.doi.org/10.1016/j.dsr2.2010.08.015","http://dx.doi.org/10.1016/j.dsr2.2010.08.015")</f>
        <v>http://dx.doi.org/10.1016/j.dsr2.2010.08.015</v>
      </c>
      <c r="BG984" t="s">
        <v>74</v>
      </c>
      <c r="BH984" t="s">
        <v>74</v>
      </c>
      <c r="BI984">
        <v>12</v>
      </c>
      <c r="BJ984" t="s">
        <v>271</v>
      </c>
      <c r="BK984" t="s">
        <v>100</v>
      </c>
      <c r="BL984" t="s">
        <v>271</v>
      </c>
      <c r="BM984" t="s">
        <v>17581</v>
      </c>
      <c r="BN984" t="s">
        <v>74</v>
      </c>
      <c r="BO984" t="s">
        <v>74</v>
      </c>
      <c r="BP984" t="s">
        <v>74</v>
      </c>
      <c r="BQ984" t="s">
        <v>74</v>
      </c>
      <c r="BR984" t="s">
        <v>103</v>
      </c>
      <c r="BS984" t="s">
        <v>17582</v>
      </c>
      <c r="BT984" t="str">
        <f>HYPERLINK("https%3A%2F%2Fwww.webofscience.com%2Fwos%2Fwoscc%2Ffull-record%2FWOS:000288313100002","View Full Record in Web of Science")</f>
        <v>View Full Record in Web of Science</v>
      </c>
    </row>
    <row r="985" spans="1:72" x14ac:dyDescent="0.15">
      <c r="A985" t="s">
        <v>72</v>
      </c>
      <c r="B985" t="s">
        <v>17583</v>
      </c>
      <c r="C985" t="s">
        <v>74</v>
      </c>
      <c r="D985" t="s">
        <v>74</v>
      </c>
      <c r="E985" t="s">
        <v>74</v>
      </c>
      <c r="F985" t="s">
        <v>17584</v>
      </c>
      <c r="G985" t="s">
        <v>74</v>
      </c>
      <c r="H985" t="s">
        <v>74</v>
      </c>
      <c r="I985" t="s">
        <v>17585</v>
      </c>
      <c r="J985" t="s">
        <v>17586</v>
      </c>
      <c r="K985" t="s">
        <v>74</v>
      </c>
      <c r="L985" t="s">
        <v>74</v>
      </c>
      <c r="M985" t="s">
        <v>78</v>
      </c>
      <c r="N985" t="s">
        <v>79</v>
      </c>
      <c r="O985" t="s">
        <v>74</v>
      </c>
      <c r="P985" t="s">
        <v>74</v>
      </c>
      <c r="Q985" t="s">
        <v>74</v>
      </c>
      <c r="R985" t="s">
        <v>74</v>
      </c>
      <c r="S985" t="s">
        <v>74</v>
      </c>
      <c r="T985" t="s">
        <v>17587</v>
      </c>
      <c r="U985" t="s">
        <v>17588</v>
      </c>
      <c r="V985" t="s">
        <v>17589</v>
      </c>
      <c r="W985" t="s">
        <v>17590</v>
      </c>
      <c r="X985" t="s">
        <v>17591</v>
      </c>
      <c r="Y985" t="s">
        <v>17592</v>
      </c>
      <c r="Z985" t="s">
        <v>74</v>
      </c>
      <c r="AA985" t="s">
        <v>74</v>
      </c>
      <c r="AB985" t="s">
        <v>74</v>
      </c>
      <c r="AC985" t="s">
        <v>74</v>
      </c>
      <c r="AD985" t="s">
        <v>74</v>
      </c>
      <c r="AE985" t="s">
        <v>74</v>
      </c>
      <c r="AF985" t="s">
        <v>74</v>
      </c>
      <c r="AG985">
        <v>28</v>
      </c>
      <c r="AH985">
        <v>0</v>
      </c>
      <c r="AI985">
        <v>0</v>
      </c>
      <c r="AJ985">
        <v>0</v>
      </c>
      <c r="AK985">
        <v>5</v>
      </c>
      <c r="AL985" t="s">
        <v>3455</v>
      </c>
      <c r="AM985" t="s">
        <v>3456</v>
      </c>
      <c r="AN985" t="s">
        <v>3457</v>
      </c>
      <c r="AO985" t="s">
        <v>17593</v>
      </c>
      <c r="AP985" t="s">
        <v>74</v>
      </c>
      <c r="AQ985" t="s">
        <v>74</v>
      </c>
      <c r="AR985" t="s">
        <v>17594</v>
      </c>
      <c r="AS985" t="s">
        <v>17595</v>
      </c>
      <c r="AT985" t="s">
        <v>17319</v>
      </c>
      <c r="AU985">
        <v>2011</v>
      </c>
      <c r="AV985" t="s">
        <v>74</v>
      </c>
      <c r="AW985" t="s">
        <v>74</v>
      </c>
      <c r="AX985" t="s">
        <v>74</v>
      </c>
      <c r="AY985" t="s">
        <v>74</v>
      </c>
      <c r="AZ985" t="s">
        <v>74</v>
      </c>
      <c r="BA985" t="s">
        <v>74</v>
      </c>
      <c r="BB985" t="s">
        <v>74</v>
      </c>
      <c r="BC985" t="s">
        <v>74</v>
      </c>
      <c r="BD985" t="s">
        <v>17596</v>
      </c>
      <c r="BE985" t="s">
        <v>17597</v>
      </c>
      <c r="BF985" t="str">
        <f>HYPERLINK("http://dx.doi.org/10.1088/1742-5468/2011/02/P02011","http://dx.doi.org/10.1088/1742-5468/2011/02/P02011")</f>
        <v>http://dx.doi.org/10.1088/1742-5468/2011/02/P02011</v>
      </c>
      <c r="BG985" t="s">
        <v>74</v>
      </c>
      <c r="BH985" t="s">
        <v>74</v>
      </c>
      <c r="BI985">
        <v>9</v>
      </c>
      <c r="BJ985" t="s">
        <v>17598</v>
      </c>
      <c r="BK985" t="s">
        <v>100</v>
      </c>
      <c r="BL985" t="s">
        <v>17599</v>
      </c>
      <c r="BM985" t="s">
        <v>17600</v>
      </c>
      <c r="BN985" t="s">
        <v>74</v>
      </c>
      <c r="BO985" t="s">
        <v>74</v>
      </c>
      <c r="BP985" t="s">
        <v>74</v>
      </c>
      <c r="BQ985" t="s">
        <v>74</v>
      </c>
      <c r="BR985" t="s">
        <v>103</v>
      </c>
      <c r="BS985" t="s">
        <v>17601</v>
      </c>
      <c r="BT985" t="str">
        <f>HYPERLINK("https%3A%2F%2Fwww.webofscience.com%2Fwos%2Fwoscc%2Ffull-record%2FWOS:000287802800015","View Full Record in Web of Science")</f>
        <v>View Full Record in Web of Science</v>
      </c>
    </row>
    <row r="986" spans="1:72" x14ac:dyDescent="0.15">
      <c r="A986" t="s">
        <v>72</v>
      </c>
      <c r="B986" t="s">
        <v>17602</v>
      </c>
      <c r="C986" t="s">
        <v>74</v>
      </c>
      <c r="D986" t="s">
        <v>74</v>
      </c>
      <c r="E986" t="s">
        <v>74</v>
      </c>
      <c r="F986" t="s">
        <v>17603</v>
      </c>
      <c r="G986" t="s">
        <v>74</v>
      </c>
      <c r="H986" t="s">
        <v>74</v>
      </c>
      <c r="I986" t="s">
        <v>17604</v>
      </c>
      <c r="J986" t="s">
        <v>1454</v>
      </c>
      <c r="K986" t="s">
        <v>74</v>
      </c>
      <c r="L986" t="s">
        <v>74</v>
      </c>
      <c r="M986" t="s">
        <v>78</v>
      </c>
      <c r="N986" t="s">
        <v>79</v>
      </c>
      <c r="O986" t="s">
        <v>74</v>
      </c>
      <c r="P986" t="s">
        <v>74</v>
      </c>
      <c r="Q986" t="s">
        <v>74</v>
      </c>
      <c r="R986" t="s">
        <v>74</v>
      </c>
      <c r="S986" t="s">
        <v>74</v>
      </c>
      <c r="T986" t="s">
        <v>74</v>
      </c>
      <c r="U986" t="s">
        <v>17605</v>
      </c>
      <c r="V986" t="s">
        <v>17606</v>
      </c>
      <c r="W986" t="s">
        <v>17607</v>
      </c>
      <c r="X986" t="s">
        <v>17608</v>
      </c>
      <c r="Y986" t="s">
        <v>17609</v>
      </c>
      <c r="Z986" t="s">
        <v>17610</v>
      </c>
      <c r="AA986" t="s">
        <v>17611</v>
      </c>
      <c r="AB986" t="s">
        <v>17612</v>
      </c>
      <c r="AC986" t="s">
        <v>17613</v>
      </c>
      <c r="AD986" t="s">
        <v>17614</v>
      </c>
      <c r="AE986" t="s">
        <v>17615</v>
      </c>
      <c r="AF986" t="s">
        <v>74</v>
      </c>
      <c r="AG986">
        <v>78</v>
      </c>
      <c r="AH986">
        <v>25</v>
      </c>
      <c r="AI986">
        <v>25</v>
      </c>
      <c r="AJ986">
        <v>0</v>
      </c>
      <c r="AK986">
        <v>11</v>
      </c>
      <c r="AL986" t="s">
        <v>1323</v>
      </c>
      <c r="AM986" t="s">
        <v>1324</v>
      </c>
      <c r="AN986" t="s">
        <v>1325</v>
      </c>
      <c r="AO986" t="s">
        <v>1466</v>
      </c>
      <c r="AP986" t="s">
        <v>1467</v>
      </c>
      <c r="AQ986" t="s">
        <v>74</v>
      </c>
      <c r="AR986" t="s">
        <v>1468</v>
      </c>
      <c r="AS986" t="s">
        <v>1469</v>
      </c>
      <c r="AT986" t="s">
        <v>17319</v>
      </c>
      <c r="AU986">
        <v>2011</v>
      </c>
      <c r="AV986">
        <v>46</v>
      </c>
      <c r="AW986">
        <v>2</v>
      </c>
      <c r="AX986" t="s">
        <v>74</v>
      </c>
      <c r="AY986" t="s">
        <v>74</v>
      </c>
      <c r="AZ986" t="s">
        <v>74</v>
      </c>
      <c r="BA986" t="s">
        <v>74</v>
      </c>
      <c r="BB986" t="s">
        <v>74</v>
      </c>
      <c r="BC986" t="s">
        <v>74</v>
      </c>
      <c r="BD986" t="s">
        <v>74</v>
      </c>
      <c r="BE986" t="s">
        <v>17616</v>
      </c>
      <c r="BF986" t="str">
        <f>HYPERLINK("http://dx.doi.org/10.1111/j.1945-5100.2010.01142.x","http://dx.doi.org/10.1111/j.1945-5100.2010.01142.x")</f>
        <v>http://dx.doi.org/10.1111/j.1945-5100.2010.01142.x</v>
      </c>
      <c r="BG986" t="s">
        <v>74</v>
      </c>
      <c r="BH986" t="s">
        <v>74</v>
      </c>
      <c r="BI986">
        <v>22</v>
      </c>
      <c r="BJ986" t="s">
        <v>488</v>
      </c>
      <c r="BK986" t="s">
        <v>100</v>
      </c>
      <c r="BL986" t="s">
        <v>488</v>
      </c>
      <c r="BM986" t="s">
        <v>17617</v>
      </c>
      <c r="BN986" t="s">
        <v>74</v>
      </c>
      <c r="BO986" t="s">
        <v>1051</v>
      </c>
      <c r="BP986" t="s">
        <v>74</v>
      </c>
      <c r="BQ986" t="s">
        <v>74</v>
      </c>
      <c r="BR986" t="s">
        <v>103</v>
      </c>
      <c r="BS986" t="s">
        <v>17618</v>
      </c>
      <c r="BT986" t="str">
        <f>HYPERLINK("https%3A%2F%2Fwww.webofscience.com%2Fwos%2Fwoscc%2Ffull-record%2FWOS:000287487300002","View Full Record in Web of Science")</f>
        <v>View Full Record in Web of Science</v>
      </c>
    </row>
    <row r="987" spans="1:72" x14ac:dyDescent="0.15">
      <c r="A987" t="s">
        <v>72</v>
      </c>
      <c r="B987" t="s">
        <v>17619</v>
      </c>
      <c r="C987" t="s">
        <v>74</v>
      </c>
      <c r="D987" t="s">
        <v>74</v>
      </c>
      <c r="E987" t="s">
        <v>74</v>
      </c>
      <c r="F987" t="s">
        <v>17620</v>
      </c>
      <c r="G987" t="s">
        <v>74</v>
      </c>
      <c r="H987" t="s">
        <v>74</v>
      </c>
      <c r="I987" t="s">
        <v>17621</v>
      </c>
      <c r="J987" t="s">
        <v>1889</v>
      </c>
      <c r="K987" t="s">
        <v>74</v>
      </c>
      <c r="L987" t="s">
        <v>74</v>
      </c>
      <c r="M987" t="s">
        <v>78</v>
      </c>
      <c r="N987" t="s">
        <v>278</v>
      </c>
      <c r="O987" t="s">
        <v>74</v>
      </c>
      <c r="P987" t="s">
        <v>74</v>
      </c>
      <c r="Q987" t="s">
        <v>74</v>
      </c>
      <c r="R987" t="s">
        <v>74</v>
      </c>
      <c r="S987" t="s">
        <v>74</v>
      </c>
      <c r="T987" t="s">
        <v>17622</v>
      </c>
      <c r="U987" t="s">
        <v>17623</v>
      </c>
      <c r="V987" t="s">
        <v>17624</v>
      </c>
      <c r="W987" t="s">
        <v>17625</v>
      </c>
      <c r="X987" t="s">
        <v>3693</v>
      </c>
      <c r="Y987" t="s">
        <v>17626</v>
      </c>
      <c r="Z987" t="s">
        <v>17627</v>
      </c>
      <c r="AA987" t="s">
        <v>74</v>
      </c>
      <c r="AB987" t="s">
        <v>74</v>
      </c>
      <c r="AC987" t="s">
        <v>74</v>
      </c>
      <c r="AD987" t="s">
        <v>74</v>
      </c>
      <c r="AE987" t="s">
        <v>74</v>
      </c>
      <c r="AF987" t="s">
        <v>74</v>
      </c>
      <c r="AG987">
        <v>86</v>
      </c>
      <c r="AH987">
        <v>7</v>
      </c>
      <c r="AI987">
        <v>8</v>
      </c>
      <c r="AJ987">
        <v>4</v>
      </c>
      <c r="AK987">
        <v>68</v>
      </c>
      <c r="AL987" t="s">
        <v>1441</v>
      </c>
      <c r="AM987" t="s">
        <v>91</v>
      </c>
      <c r="AN987" t="s">
        <v>1902</v>
      </c>
      <c r="AO987" t="s">
        <v>1903</v>
      </c>
      <c r="AP987" t="s">
        <v>1904</v>
      </c>
      <c r="AQ987" t="s">
        <v>74</v>
      </c>
      <c r="AR987" t="s">
        <v>1905</v>
      </c>
      <c r="AS987" t="s">
        <v>1906</v>
      </c>
      <c r="AT987" t="s">
        <v>17319</v>
      </c>
      <c r="AU987">
        <v>2011</v>
      </c>
      <c r="AV987">
        <v>34</v>
      </c>
      <c r="AW987">
        <v>2</v>
      </c>
      <c r="AX987" t="s">
        <v>74</v>
      </c>
      <c r="AY987" t="s">
        <v>74</v>
      </c>
      <c r="AZ987" t="s">
        <v>74</v>
      </c>
      <c r="BA987" t="s">
        <v>74</v>
      </c>
      <c r="BB987">
        <v>153</v>
      </c>
      <c r="BC987">
        <v>167</v>
      </c>
      <c r="BD987" t="s">
        <v>74</v>
      </c>
      <c r="BE987" t="s">
        <v>17628</v>
      </c>
      <c r="BF987" t="str">
        <f>HYPERLINK("http://dx.doi.org/10.1007/s00300-010-0882-0","http://dx.doi.org/10.1007/s00300-010-0882-0")</f>
        <v>http://dx.doi.org/10.1007/s00300-010-0882-0</v>
      </c>
      <c r="BG987" t="s">
        <v>74</v>
      </c>
      <c r="BH987" t="s">
        <v>74</v>
      </c>
      <c r="BI987">
        <v>15</v>
      </c>
      <c r="BJ987" t="s">
        <v>1908</v>
      </c>
      <c r="BK987" t="s">
        <v>100</v>
      </c>
      <c r="BL987" t="s">
        <v>1909</v>
      </c>
      <c r="BM987" t="s">
        <v>17629</v>
      </c>
      <c r="BN987" t="s">
        <v>74</v>
      </c>
      <c r="BO987" t="s">
        <v>74</v>
      </c>
      <c r="BP987" t="s">
        <v>74</v>
      </c>
      <c r="BQ987" t="s">
        <v>74</v>
      </c>
      <c r="BR987" t="s">
        <v>103</v>
      </c>
      <c r="BS987" t="s">
        <v>17630</v>
      </c>
      <c r="BT987" t="str">
        <f>HYPERLINK("https%3A%2F%2Fwww.webofscience.com%2Fwos%2Fwoscc%2Ffull-record%2FWOS:000287904600001","View Full Record in Web of Science")</f>
        <v>View Full Record in Web of Science</v>
      </c>
    </row>
    <row r="988" spans="1:72" x14ac:dyDescent="0.15">
      <c r="A988" t="s">
        <v>72</v>
      </c>
      <c r="B988" t="s">
        <v>17631</v>
      </c>
      <c r="C988" t="s">
        <v>74</v>
      </c>
      <c r="D988" t="s">
        <v>74</v>
      </c>
      <c r="E988" t="s">
        <v>74</v>
      </c>
      <c r="F988" t="s">
        <v>17632</v>
      </c>
      <c r="G988" t="s">
        <v>74</v>
      </c>
      <c r="H988" t="s">
        <v>74</v>
      </c>
      <c r="I988" t="s">
        <v>17633</v>
      </c>
      <c r="J988" t="s">
        <v>1889</v>
      </c>
      <c r="K988" t="s">
        <v>74</v>
      </c>
      <c r="L988" t="s">
        <v>74</v>
      </c>
      <c r="M988" t="s">
        <v>78</v>
      </c>
      <c r="N988" t="s">
        <v>79</v>
      </c>
      <c r="O988" t="s">
        <v>74</v>
      </c>
      <c r="P988" t="s">
        <v>74</v>
      </c>
      <c r="Q988" t="s">
        <v>74</v>
      </c>
      <c r="R988" t="s">
        <v>74</v>
      </c>
      <c r="S988" t="s">
        <v>74</v>
      </c>
      <c r="T988" t="s">
        <v>17634</v>
      </c>
      <c r="U988" t="s">
        <v>17635</v>
      </c>
      <c r="V988" t="s">
        <v>17636</v>
      </c>
      <c r="W988" t="s">
        <v>17637</v>
      </c>
      <c r="X988" t="s">
        <v>17638</v>
      </c>
      <c r="Y988" t="s">
        <v>17639</v>
      </c>
      <c r="Z988" t="s">
        <v>17640</v>
      </c>
      <c r="AA988" t="s">
        <v>17641</v>
      </c>
      <c r="AB988" t="s">
        <v>17642</v>
      </c>
      <c r="AC988" t="s">
        <v>17643</v>
      </c>
      <c r="AD988" t="s">
        <v>17644</v>
      </c>
      <c r="AE988" t="s">
        <v>17645</v>
      </c>
      <c r="AF988" t="s">
        <v>74</v>
      </c>
      <c r="AG988">
        <v>37</v>
      </c>
      <c r="AH988">
        <v>13</v>
      </c>
      <c r="AI988">
        <v>15</v>
      </c>
      <c r="AJ988">
        <v>0</v>
      </c>
      <c r="AK988">
        <v>5</v>
      </c>
      <c r="AL988" t="s">
        <v>1441</v>
      </c>
      <c r="AM988" t="s">
        <v>91</v>
      </c>
      <c r="AN988" t="s">
        <v>1595</v>
      </c>
      <c r="AO988" t="s">
        <v>1903</v>
      </c>
      <c r="AP988" t="s">
        <v>1904</v>
      </c>
      <c r="AQ988" t="s">
        <v>74</v>
      </c>
      <c r="AR988" t="s">
        <v>1905</v>
      </c>
      <c r="AS988" t="s">
        <v>1906</v>
      </c>
      <c r="AT988" t="s">
        <v>17319</v>
      </c>
      <c r="AU988">
        <v>2011</v>
      </c>
      <c r="AV988">
        <v>34</v>
      </c>
      <c r="AW988">
        <v>2</v>
      </c>
      <c r="AX988" t="s">
        <v>74</v>
      </c>
      <c r="AY988" t="s">
        <v>74</v>
      </c>
      <c r="AZ988" t="s">
        <v>74</v>
      </c>
      <c r="BA988" t="s">
        <v>74</v>
      </c>
      <c r="BB988">
        <v>193</v>
      </c>
      <c r="BC988">
        <v>204</v>
      </c>
      <c r="BD988" t="s">
        <v>74</v>
      </c>
      <c r="BE988" t="s">
        <v>17646</v>
      </c>
      <c r="BF988" t="str">
        <f>HYPERLINK("http://dx.doi.org/10.1007/s00300-010-0869-x","http://dx.doi.org/10.1007/s00300-010-0869-x")</f>
        <v>http://dx.doi.org/10.1007/s00300-010-0869-x</v>
      </c>
      <c r="BG988" t="s">
        <v>74</v>
      </c>
      <c r="BH988" t="s">
        <v>74</v>
      </c>
      <c r="BI988">
        <v>12</v>
      </c>
      <c r="BJ988" t="s">
        <v>1908</v>
      </c>
      <c r="BK988" t="s">
        <v>100</v>
      </c>
      <c r="BL988" t="s">
        <v>1909</v>
      </c>
      <c r="BM988" t="s">
        <v>17629</v>
      </c>
      <c r="BN988" t="s">
        <v>74</v>
      </c>
      <c r="BO988" t="s">
        <v>1025</v>
      </c>
      <c r="BP988" t="s">
        <v>74</v>
      </c>
      <c r="BQ988" t="s">
        <v>74</v>
      </c>
      <c r="BR988" t="s">
        <v>103</v>
      </c>
      <c r="BS988" t="s">
        <v>17647</v>
      </c>
      <c r="BT988" t="str">
        <f>HYPERLINK("https%3A%2F%2Fwww.webofscience.com%2Fwos%2Fwoscc%2Ffull-record%2FWOS:000287904600004","View Full Record in Web of Science")</f>
        <v>View Full Record in Web of Science</v>
      </c>
    </row>
    <row r="989" spans="1:72" x14ac:dyDescent="0.15">
      <c r="A989" t="s">
        <v>72</v>
      </c>
      <c r="B989" t="s">
        <v>17648</v>
      </c>
      <c r="C989" t="s">
        <v>74</v>
      </c>
      <c r="D989" t="s">
        <v>74</v>
      </c>
      <c r="E989" t="s">
        <v>74</v>
      </c>
      <c r="F989" t="s">
        <v>17649</v>
      </c>
      <c r="G989" t="s">
        <v>74</v>
      </c>
      <c r="H989" t="s">
        <v>74</v>
      </c>
      <c r="I989" t="s">
        <v>17650</v>
      </c>
      <c r="J989" t="s">
        <v>1889</v>
      </c>
      <c r="K989" t="s">
        <v>74</v>
      </c>
      <c r="L989" t="s">
        <v>74</v>
      </c>
      <c r="M989" t="s">
        <v>78</v>
      </c>
      <c r="N989" t="s">
        <v>79</v>
      </c>
      <c r="O989" t="s">
        <v>74</v>
      </c>
      <c r="P989" t="s">
        <v>74</v>
      </c>
      <c r="Q989" t="s">
        <v>74</v>
      </c>
      <c r="R989" t="s">
        <v>74</v>
      </c>
      <c r="S989" t="s">
        <v>74</v>
      </c>
      <c r="T989" t="s">
        <v>17651</v>
      </c>
      <c r="U989" t="s">
        <v>17652</v>
      </c>
      <c r="V989" t="s">
        <v>17653</v>
      </c>
      <c r="W989" t="s">
        <v>17654</v>
      </c>
      <c r="X989" t="s">
        <v>17655</v>
      </c>
      <c r="Y989" t="s">
        <v>1895</v>
      </c>
      <c r="Z989" t="s">
        <v>1896</v>
      </c>
      <c r="AA989" t="s">
        <v>74</v>
      </c>
      <c r="AB989" t="s">
        <v>74</v>
      </c>
      <c r="AC989" t="s">
        <v>17656</v>
      </c>
      <c r="AD989" t="s">
        <v>17657</v>
      </c>
      <c r="AE989" t="s">
        <v>17658</v>
      </c>
      <c r="AF989" t="s">
        <v>74</v>
      </c>
      <c r="AG989">
        <v>32</v>
      </c>
      <c r="AH989">
        <v>3</v>
      </c>
      <c r="AI989">
        <v>3</v>
      </c>
      <c r="AJ989">
        <v>1</v>
      </c>
      <c r="AK989">
        <v>7</v>
      </c>
      <c r="AL989" t="s">
        <v>1441</v>
      </c>
      <c r="AM989" t="s">
        <v>91</v>
      </c>
      <c r="AN989" t="s">
        <v>1902</v>
      </c>
      <c r="AO989" t="s">
        <v>1903</v>
      </c>
      <c r="AP989" t="s">
        <v>1904</v>
      </c>
      <c r="AQ989" t="s">
        <v>74</v>
      </c>
      <c r="AR989" t="s">
        <v>1905</v>
      </c>
      <c r="AS989" t="s">
        <v>1906</v>
      </c>
      <c r="AT989" t="s">
        <v>17319</v>
      </c>
      <c r="AU989">
        <v>2011</v>
      </c>
      <c r="AV989">
        <v>34</v>
      </c>
      <c r="AW989">
        <v>2</v>
      </c>
      <c r="AX989" t="s">
        <v>74</v>
      </c>
      <c r="AY989" t="s">
        <v>74</v>
      </c>
      <c r="AZ989" t="s">
        <v>74</v>
      </c>
      <c r="BA989" t="s">
        <v>74</v>
      </c>
      <c r="BB989">
        <v>235</v>
      </c>
      <c r="BC989">
        <v>242</v>
      </c>
      <c r="BD989" t="s">
        <v>74</v>
      </c>
      <c r="BE989" t="s">
        <v>17659</v>
      </c>
      <c r="BF989" t="str">
        <f>HYPERLINK("http://dx.doi.org/10.1007/s00300-010-0875-z","http://dx.doi.org/10.1007/s00300-010-0875-z")</f>
        <v>http://dx.doi.org/10.1007/s00300-010-0875-z</v>
      </c>
      <c r="BG989" t="s">
        <v>74</v>
      </c>
      <c r="BH989" t="s">
        <v>74</v>
      </c>
      <c r="BI989">
        <v>8</v>
      </c>
      <c r="BJ989" t="s">
        <v>1908</v>
      </c>
      <c r="BK989" t="s">
        <v>100</v>
      </c>
      <c r="BL989" t="s">
        <v>1909</v>
      </c>
      <c r="BM989" t="s">
        <v>17629</v>
      </c>
      <c r="BN989" t="s">
        <v>74</v>
      </c>
      <c r="BO989" t="s">
        <v>74</v>
      </c>
      <c r="BP989" t="s">
        <v>74</v>
      </c>
      <c r="BQ989" t="s">
        <v>74</v>
      </c>
      <c r="BR989" t="s">
        <v>103</v>
      </c>
      <c r="BS989" t="s">
        <v>17660</v>
      </c>
      <c r="BT989" t="str">
        <f>HYPERLINK("https%3A%2F%2Fwww.webofscience.com%2Fwos%2Fwoscc%2Ffull-record%2FWOS:000287904600008","View Full Record in Web of Science")</f>
        <v>View Full Record in Web of Science</v>
      </c>
    </row>
    <row r="990" spans="1:72" x14ac:dyDescent="0.15">
      <c r="A990" t="s">
        <v>72</v>
      </c>
      <c r="B990" t="s">
        <v>17661</v>
      </c>
      <c r="C990" t="s">
        <v>74</v>
      </c>
      <c r="D990" t="s">
        <v>74</v>
      </c>
      <c r="E990" t="s">
        <v>74</v>
      </c>
      <c r="F990" t="s">
        <v>17662</v>
      </c>
      <c r="G990" t="s">
        <v>74</v>
      </c>
      <c r="H990" t="s">
        <v>74</v>
      </c>
      <c r="I990" t="s">
        <v>17663</v>
      </c>
      <c r="J990" t="s">
        <v>1889</v>
      </c>
      <c r="K990" t="s">
        <v>74</v>
      </c>
      <c r="L990" t="s">
        <v>74</v>
      </c>
      <c r="M990" t="s">
        <v>78</v>
      </c>
      <c r="N990" t="s">
        <v>79</v>
      </c>
      <c r="O990" t="s">
        <v>74</v>
      </c>
      <c r="P990" t="s">
        <v>74</v>
      </c>
      <c r="Q990" t="s">
        <v>74</v>
      </c>
      <c r="R990" t="s">
        <v>74</v>
      </c>
      <c r="S990" t="s">
        <v>74</v>
      </c>
      <c r="T990" t="s">
        <v>17664</v>
      </c>
      <c r="U990" t="s">
        <v>17665</v>
      </c>
      <c r="V990" t="s">
        <v>17666</v>
      </c>
      <c r="W990" t="s">
        <v>17667</v>
      </c>
      <c r="X990" t="s">
        <v>17668</v>
      </c>
      <c r="Y990" t="s">
        <v>4582</v>
      </c>
      <c r="Z990" t="s">
        <v>4583</v>
      </c>
      <c r="AA990" t="s">
        <v>17669</v>
      </c>
      <c r="AB990" t="s">
        <v>74</v>
      </c>
      <c r="AC990" t="s">
        <v>17670</v>
      </c>
      <c r="AD990" t="s">
        <v>17671</v>
      </c>
      <c r="AE990" t="s">
        <v>17672</v>
      </c>
      <c r="AF990" t="s">
        <v>74</v>
      </c>
      <c r="AG990">
        <v>49</v>
      </c>
      <c r="AH990">
        <v>14</v>
      </c>
      <c r="AI990">
        <v>14</v>
      </c>
      <c r="AJ990">
        <v>0</v>
      </c>
      <c r="AK990">
        <v>21</v>
      </c>
      <c r="AL990" t="s">
        <v>1441</v>
      </c>
      <c r="AM990" t="s">
        <v>91</v>
      </c>
      <c r="AN990" t="s">
        <v>1595</v>
      </c>
      <c r="AO990" t="s">
        <v>1903</v>
      </c>
      <c r="AP990" t="s">
        <v>1904</v>
      </c>
      <c r="AQ990" t="s">
        <v>74</v>
      </c>
      <c r="AR990" t="s">
        <v>1905</v>
      </c>
      <c r="AS990" t="s">
        <v>1906</v>
      </c>
      <c r="AT990" t="s">
        <v>17319</v>
      </c>
      <c r="AU990">
        <v>2011</v>
      </c>
      <c r="AV990">
        <v>34</v>
      </c>
      <c r="AW990">
        <v>2</v>
      </c>
      <c r="AX990" t="s">
        <v>74</v>
      </c>
      <c r="AY990" t="s">
        <v>74</v>
      </c>
      <c r="AZ990" t="s">
        <v>74</v>
      </c>
      <c r="BA990" t="s">
        <v>74</v>
      </c>
      <c r="BB990">
        <v>257</v>
      </c>
      <c r="BC990">
        <v>271</v>
      </c>
      <c r="BD990" t="s">
        <v>74</v>
      </c>
      <c r="BE990" t="s">
        <v>17673</v>
      </c>
      <c r="BF990" t="str">
        <f>HYPERLINK("http://dx.doi.org/10.1007/s00300-010-0878-9","http://dx.doi.org/10.1007/s00300-010-0878-9")</f>
        <v>http://dx.doi.org/10.1007/s00300-010-0878-9</v>
      </c>
      <c r="BG990" t="s">
        <v>74</v>
      </c>
      <c r="BH990" t="s">
        <v>74</v>
      </c>
      <c r="BI990">
        <v>15</v>
      </c>
      <c r="BJ990" t="s">
        <v>1908</v>
      </c>
      <c r="BK990" t="s">
        <v>100</v>
      </c>
      <c r="BL990" t="s">
        <v>1909</v>
      </c>
      <c r="BM990" t="s">
        <v>17629</v>
      </c>
      <c r="BN990" t="s">
        <v>74</v>
      </c>
      <c r="BO990" t="s">
        <v>74</v>
      </c>
      <c r="BP990" t="s">
        <v>74</v>
      </c>
      <c r="BQ990" t="s">
        <v>74</v>
      </c>
      <c r="BR990" t="s">
        <v>103</v>
      </c>
      <c r="BS990" t="s">
        <v>17674</v>
      </c>
      <c r="BT990" t="str">
        <f>HYPERLINK("https%3A%2F%2Fwww.webofscience.com%2Fwos%2Fwoscc%2Ffull-record%2FWOS:000287904600010","View Full Record in Web of Science")</f>
        <v>View Full Record in Web of Science</v>
      </c>
    </row>
    <row r="991" spans="1:72" x14ac:dyDescent="0.15">
      <c r="A991" t="s">
        <v>72</v>
      </c>
      <c r="B991" t="s">
        <v>17675</v>
      </c>
      <c r="C991" t="s">
        <v>74</v>
      </c>
      <c r="D991" t="s">
        <v>74</v>
      </c>
      <c r="E991" t="s">
        <v>74</v>
      </c>
      <c r="F991" t="s">
        <v>17676</v>
      </c>
      <c r="G991" t="s">
        <v>74</v>
      </c>
      <c r="H991" t="s">
        <v>74</v>
      </c>
      <c r="I991" t="s">
        <v>17677</v>
      </c>
      <c r="J991" t="s">
        <v>1889</v>
      </c>
      <c r="K991" t="s">
        <v>74</v>
      </c>
      <c r="L991" t="s">
        <v>74</v>
      </c>
      <c r="M991" t="s">
        <v>78</v>
      </c>
      <c r="N991" t="s">
        <v>79</v>
      </c>
      <c r="O991" t="s">
        <v>74</v>
      </c>
      <c r="P991" t="s">
        <v>74</v>
      </c>
      <c r="Q991" t="s">
        <v>74</v>
      </c>
      <c r="R991" t="s">
        <v>74</v>
      </c>
      <c r="S991" t="s">
        <v>74</v>
      </c>
      <c r="T991" t="s">
        <v>17678</v>
      </c>
      <c r="U991" t="s">
        <v>17679</v>
      </c>
      <c r="V991" t="s">
        <v>17680</v>
      </c>
      <c r="W991" t="s">
        <v>17681</v>
      </c>
      <c r="X991" t="s">
        <v>17682</v>
      </c>
      <c r="Y991" t="s">
        <v>17683</v>
      </c>
      <c r="Z991" t="s">
        <v>17684</v>
      </c>
      <c r="AA991" t="s">
        <v>17685</v>
      </c>
      <c r="AB991" t="s">
        <v>17686</v>
      </c>
      <c r="AC991" t="s">
        <v>17687</v>
      </c>
      <c r="AD991" t="s">
        <v>17688</v>
      </c>
      <c r="AE991" t="s">
        <v>17689</v>
      </c>
      <c r="AF991" t="s">
        <v>74</v>
      </c>
      <c r="AG991">
        <v>37</v>
      </c>
      <c r="AH991">
        <v>49</v>
      </c>
      <c r="AI991">
        <v>51</v>
      </c>
      <c r="AJ991">
        <v>1</v>
      </c>
      <c r="AK991">
        <v>42</v>
      </c>
      <c r="AL991" t="s">
        <v>1441</v>
      </c>
      <c r="AM991" t="s">
        <v>91</v>
      </c>
      <c r="AN991" t="s">
        <v>1595</v>
      </c>
      <c r="AO991" t="s">
        <v>1903</v>
      </c>
      <c r="AP991" t="s">
        <v>1904</v>
      </c>
      <c r="AQ991" t="s">
        <v>74</v>
      </c>
      <c r="AR991" t="s">
        <v>1905</v>
      </c>
      <c r="AS991" t="s">
        <v>1906</v>
      </c>
      <c r="AT991" t="s">
        <v>17319</v>
      </c>
      <c r="AU991">
        <v>2011</v>
      </c>
      <c r="AV991">
        <v>34</v>
      </c>
      <c r="AW991">
        <v>2</v>
      </c>
      <c r="AX991" t="s">
        <v>74</v>
      </c>
      <c r="AY991" t="s">
        <v>74</v>
      </c>
      <c r="AZ991" t="s">
        <v>74</v>
      </c>
      <c r="BA991" t="s">
        <v>74</v>
      </c>
      <c r="BB991">
        <v>291</v>
      </c>
      <c r="BC991">
        <v>302</v>
      </c>
      <c r="BD991" t="s">
        <v>74</v>
      </c>
      <c r="BE991" t="s">
        <v>17690</v>
      </c>
      <c r="BF991" t="str">
        <f>HYPERLINK("http://dx.doi.org/10.1007/s00300-010-0949-y","http://dx.doi.org/10.1007/s00300-010-0949-y")</f>
        <v>http://dx.doi.org/10.1007/s00300-010-0949-y</v>
      </c>
      <c r="BG991" t="s">
        <v>74</v>
      </c>
      <c r="BH991" t="s">
        <v>74</v>
      </c>
      <c r="BI991">
        <v>12</v>
      </c>
      <c r="BJ991" t="s">
        <v>1908</v>
      </c>
      <c r="BK991" t="s">
        <v>100</v>
      </c>
      <c r="BL991" t="s">
        <v>1909</v>
      </c>
      <c r="BM991" t="s">
        <v>17629</v>
      </c>
      <c r="BN991" t="s">
        <v>74</v>
      </c>
      <c r="BO991" t="s">
        <v>74</v>
      </c>
      <c r="BP991" t="s">
        <v>74</v>
      </c>
      <c r="BQ991" t="s">
        <v>74</v>
      </c>
      <c r="BR991" t="s">
        <v>103</v>
      </c>
      <c r="BS991" t="s">
        <v>17691</v>
      </c>
      <c r="BT991" t="str">
        <f>HYPERLINK("https%3A%2F%2Fwww.webofscience.com%2Fwos%2Fwoscc%2Ffull-record%2FWOS:000287904600013","View Full Record in Web of Science")</f>
        <v>View Full Record in Web of Science</v>
      </c>
    </row>
    <row r="992" spans="1:72" x14ac:dyDescent="0.15">
      <c r="A992" t="s">
        <v>72</v>
      </c>
      <c r="B992" t="s">
        <v>17692</v>
      </c>
      <c r="C992" t="s">
        <v>74</v>
      </c>
      <c r="D992" t="s">
        <v>74</v>
      </c>
      <c r="E992" t="s">
        <v>74</v>
      </c>
      <c r="F992" t="s">
        <v>17693</v>
      </c>
      <c r="G992" t="s">
        <v>74</v>
      </c>
      <c r="H992" t="s">
        <v>74</v>
      </c>
      <c r="I992" t="s">
        <v>17694</v>
      </c>
      <c r="J992" t="s">
        <v>1889</v>
      </c>
      <c r="K992" t="s">
        <v>74</v>
      </c>
      <c r="L992" t="s">
        <v>74</v>
      </c>
      <c r="M992" t="s">
        <v>78</v>
      </c>
      <c r="N992" t="s">
        <v>79</v>
      </c>
      <c r="O992" t="s">
        <v>74</v>
      </c>
      <c r="P992" t="s">
        <v>74</v>
      </c>
      <c r="Q992" t="s">
        <v>74</v>
      </c>
      <c r="R992" t="s">
        <v>74</v>
      </c>
      <c r="S992" t="s">
        <v>74</v>
      </c>
      <c r="T992" t="s">
        <v>17695</v>
      </c>
      <c r="U992" t="s">
        <v>74</v>
      </c>
      <c r="V992" t="s">
        <v>17696</v>
      </c>
      <c r="W992" t="s">
        <v>17697</v>
      </c>
      <c r="X992" t="s">
        <v>74</v>
      </c>
      <c r="Y992" t="s">
        <v>17698</v>
      </c>
      <c r="Z992" t="s">
        <v>9057</v>
      </c>
      <c r="AA992" t="s">
        <v>9058</v>
      </c>
      <c r="AB992" t="s">
        <v>17699</v>
      </c>
      <c r="AC992" t="s">
        <v>17700</v>
      </c>
      <c r="AD992" t="s">
        <v>17701</v>
      </c>
      <c r="AE992" t="s">
        <v>17702</v>
      </c>
      <c r="AF992" t="s">
        <v>74</v>
      </c>
      <c r="AG992">
        <v>39</v>
      </c>
      <c r="AH992">
        <v>7</v>
      </c>
      <c r="AI992">
        <v>9</v>
      </c>
      <c r="AJ992">
        <v>1</v>
      </c>
      <c r="AK992">
        <v>10</v>
      </c>
      <c r="AL992" t="s">
        <v>1441</v>
      </c>
      <c r="AM992" t="s">
        <v>91</v>
      </c>
      <c r="AN992" t="s">
        <v>1595</v>
      </c>
      <c r="AO992" t="s">
        <v>1903</v>
      </c>
      <c r="AP992" t="s">
        <v>74</v>
      </c>
      <c r="AQ992" t="s">
        <v>74</v>
      </c>
      <c r="AR992" t="s">
        <v>1905</v>
      </c>
      <c r="AS992" t="s">
        <v>1906</v>
      </c>
      <c r="AT992" t="s">
        <v>17319</v>
      </c>
      <c r="AU992">
        <v>2011</v>
      </c>
      <c r="AV992">
        <v>34</v>
      </c>
      <c r="AW992">
        <v>2</v>
      </c>
      <c r="AX992" t="s">
        <v>74</v>
      </c>
      <c r="AY992" t="s">
        <v>74</v>
      </c>
      <c r="AZ992" t="s">
        <v>74</v>
      </c>
      <c r="BA992" t="s">
        <v>74</v>
      </c>
      <c r="BB992">
        <v>313</v>
      </c>
      <c r="BC992">
        <v>318</v>
      </c>
      <c r="BD992" t="s">
        <v>74</v>
      </c>
      <c r="BE992" t="s">
        <v>17703</v>
      </c>
      <c r="BF992" t="str">
        <f>HYPERLINK("http://dx.doi.org/10.1007/s00300-010-0884-y","http://dx.doi.org/10.1007/s00300-010-0884-y")</f>
        <v>http://dx.doi.org/10.1007/s00300-010-0884-y</v>
      </c>
      <c r="BG992" t="s">
        <v>74</v>
      </c>
      <c r="BH992" t="s">
        <v>74</v>
      </c>
      <c r="BI992">
        <v>6</v>
      </c>
      <c r="BJ992" t="s">
        <v>1908</v>
      </c>
      <c r="BK992" t="s">
        <v>100</v>
      </c>
      <c r="BL992" t="s">
        <v>1909</v>
      </c>
      <c r="BM992" t="s">
        <v>17629</v>
      </c>
      <c r="BN992" t="s">
        <v>74</v>
      </c>
      <c r="BO992" t="s">
        <v>74</v>
      </c>
      <c r="BP992" t="s">
        <v>74</v>
      </c>
      <c r="BQ992" t="s">
        <v>74</v>
      </c>
      <c r="BR992" t="s">
        <v>103</v>
      </c>
      <c r="BS992" t="s">
        <v>17704</v>
      </c>
      <c r="BT992" t="str">
        <f>HYPERLINK("https%3A%2F%2Fwww.webofscience.com%2Fwos%2Fwoscc%2Ffull-record%2FWOS:000287904600016","View Full Record in Web of Science")</f>
        <v>View Full Record in Web of Science</v>
      </c>
    </row>
    <row r="993" spans="1:72" x14ac:dyDescent="0.15">
      <c r="A993" t="s">
        <v>72</v>
      </c>
      <c r="B993" t="s">
        <v>17705</v>
      </c>
      <c r="C993" t="s">
        <v>74</v>
      </c>
      <c r="D993" t="s">
        <v>74</v>
      </c>
      <c r="E993" t="s">
        <v>74</v>
      </c>
      <c r="F993" t="s">
        <v>17706</v>
      </c>
      <c r="G993" t="s">
        <v>74</v>
      </c>
      <c r="H993" t="s">
        <v>74</v>
      </c>
      <c r="I993" t="s">
        <v>17707</v>
      </c>
      <c r="J993" t="s">
        <v>7566</v>
      </c>
      <c r="K993" t="s">
        <v>74</v>
      </c>
      <c r="L993" t="s">
        <v>74</v>
      </c>
      <c r="M993" t="s">
        <v>78</v>
      </c>
      <c r="N993" t="s">
        <v>79</v>
      </c>
      <c r="O993" t="s">
        <v>74</v>
      </c>
      <c r="P993" t="s">
        <v>74</v>
      </c>
      <c r="Q993" t="s">
        <v>74</v>
      </c>
      <c r="R993" t="s">
        <v>74</v>
      </c>
      <c r="S993" t="s">
        <v>74</v>
      </c>
      <c r="T993" t="s">
        <v>74</v>
      </c>
      <c r="U993" t="s">
        <v>17708</v>
      </c>
      <c r="V993" t="s">
        <v>17709</v>
      </c>
      <c r="W993" t="s">
        <v>17710</v>
      </c>
      <c r="X993" t="s">
        <v>17711</v>
      </c>
      <c r="Y993" t="s">
        <v>17712</v>
      </c>
      <c r="Z993" t="s">
        <v>17713</v>
      </c>
      <c r="AA993" t="s">
        <v>17714</v>
      </c>
      <c r="AB993" t="s">
        <v>17715</v>
      </c>
      <c r="AC993" t="s">
        <v>17716</v>
      </c>
      <c r="AD993" t="s">
        <v>17717</v>
      </c>
      <c r="AE993" t="s">
        <v>17718</v>
      </c>
      <c r="AF993" t="s">
        <v>74</v>
      </c>
      <c r="AG993">
        <v>52</v>
      </c>
      <c r="AH993">
        <v>19</v>
      </c>
      <c r="AI993">
        <v>19</v>
      </c>
      <c r="AJ993">
        <v>0</v>
      </c>
      <c r="AK993">
        <v>16</v>
      </c>
      <c r="AL993" t="s">
        <v>7577</v>
      </c>
      <c r="AM993" t="s">
        <v>121</v>
      </c>
      <c r="AN993" t="s">
        <v>7578</v>
      </c>
      <c r="AO993" t="s">
        <v>7579</v>
      </c>
      <c r="AP993" t="s">
        <v>7958</v>
      </c>
      <c r="AQ993" t="s">
        <v>74</v>
      </c>
      <c r="AR993" t="s">
        <v>7580</v>
      </c>
      <c r="AS993" t="s">
        <v>7581</v>
      </c>
      <c r="AT993" t="s">
        <v>17319</v>
      </c>
      <c r="AU993">
        <v>2011</v>
      </c>
      <c r="AV993">
        <v>77</v>
      </c>
      <c r="AW993">
        <v>4</v>
      </c>
      <c r="AX993" t="s">
        <v>74</v>
      </c>
      <c r="AY993" t="s">
        <v>74</v>
      </c>
      <c r="AZ993" t="s">
        <v>74</v>
      </c>
      <c r="BA993" t="s">
        <v>74</v>
      </c>
      <c r="BB993">
        <v>1276</v>
      </c>
      <c r="BC993">
        <v>1283</v>
      </c>
      <c r="BD993" t="s">
        <v>74</v>
      </c>
      <c r="BE993" t="s">
        <v>17719</v>
      </c>
      <c r="BF993" t="str">
        <f>HYPERLINK("http://dx.doi.org/10.1128/AEM.01750-10","http://dx.doi.org/10.1128/AEM.01750-10")</f>
        <v>http://dx.doi.org/10.1128/AEM.01750-10</v>
      </c>
      <c r="BG993" t="s">
        <v>74</v>
      </c>
      <c r="BH993" t="s">
        <v>74</v>
      </c>
      <c r="BI993">
        <v>8</v>
      </c>
      <c r="BJ993" t="s">
        <v>4406</v>
      </c>
      <c r="BK993" t="s">
        <v>100</v>
      </c>
      <c r="BL993" t="s">
        <v>4406</v>
      </c>
      <c r="BM993" t="s">
        <v>17720</v>
      </c>
      <c r="BN993">
        <v>21183643</v>
      </c>
      <c r="BO993" t="s">
        <v>702</v>
      </c>
      <c r="BP993" t="s">
        <v>74</v>
      </c>
      <c r="BQ993" t="s">
        <v>74</v>
      </c>
      <c r="BR993" t="s">
        <v>103</v>
      </c>
      <c r="BS993" t="s">
        <v>17721</v>
      </c>
      <c r="BT993" t="str">
        <f>HYPERLINK("https%3A%2F%2Fwww.webofscience.com%2Fwos%2Fwoscc%2Ffull-record%2FWOS:000287078100015","View Full Record in Web of Science")</f>
        <v>View Full Record in Web of Science</v>
      </c>
    </row>
    <row r="994" spans="1:72" x14ac:dyDescent="0.15">
      <c r="A994" t="s">
        <v>72</v>
      </c>
      <c r="B994" t="s">
        <v>17722</v>
      </c>
      <c r="C994" t="s">
        <v>74</v>
      </c>
      <c r="D994" t="s">
        <v>74</v>
      </c>
      <c r="E994" t="s">
        <v>74</v>
      </c>
      <c r="F994" t="s">
        <v>17723</v>
      </c>
      <c r="G994" t="s">
        <v>74</v>
      </c>
      <c r="H994" t="s">
        <v>74</v>
      </c>
      <c r="I994" t="s">
        <v>17724</v>
      </c>
      <c r="J994" t="s">
        <v>7566</v>
      </c>
      <c r="K994" t="s">
        <v>74</v>
      </c>
      <c r="L994" t="s">
        <v>74</v>
      </c>
      <c r="M994" t="s">
        <v>78</v>
      </c>
      <c r="N994" t="s">
        <v>79</v>
      </c>
      <c r="O994" t="s">
        <v>74</v>
      </c>
      <c r="P994" t="s">
        <v>74</v>
      </c>
      <c r="Q994" t="s">
        <v>74</v>
      </c>
      <c r="R994" t="s">
        <v>74</v>
      </c>
      <c r="S994" t="s">
        <v>74</v>
      </c>
      <c r="T994" t="s">
        <v>74</v>
      </c>
      <c r="U994" t="s">
        <v>17725</v>
      </c>
      <c r="V994" t="s">
        <v>17726</v>
      </c>
      <c r="W994" t="s">
        <v>17727</v>
      </c>
      <c r="X994" t="s">
        <v>17728</v>
      </c>
      <c r="Y994" t="s">
        <v>17729</v>
      </c>
      <c r="Z994" t="s">
        <v>17730</v>
      </c>
      <c r="AA994" t="s">
        <v>17731</v>
      </c>
      <c r="AB994" t="s">
        <v>17732</v>
      </c>
      <c r="AC994" t="s">
        <v>17733</v>
      </c>
      <c r="AD994" t="s">
        <v>1925</v>
      </c>
      <c r="AE994" t="s">
        <v>17734</v>
      </c>
      <c r="AF994" t="s">
        <v>74</v>
      </c>
      <c r="AG994">
        <v>28</v>
      </c>
      <c r="AH994">
        <v>15</v>
      </c>
      <c r="AI994">
        <v>18</v>
      </c>
      <c r="AJ994">
        <v>1</v>
      </c>
      <c r="AK994">
        <v>17</v>
      </c>
      <c r="AL994" t="s">
        <v>7577</v>
      </c>
      <c r="AM994" t="s">
        <v>121</v>
      </c>
      <c r="AN994" t="s">
        <v>7578</v>
      </c>
      <c r="AO994" t="s">
        <v>7579</v>
      </c>
      <c r="AP994" t="s">
        <v>7958</v>
      </c>
      <c r="AQ994" t="s">
        <v>74</v>
      </c>
      <c r="AR994" t="s">
        <v>7580</v>
      </c>
      <c r="AS994" t="s">
        <v>7581</v>
      </c>
      <c r="AT994" t="s">
        <v>17319</v>
      </c>
      <c r="AU994">
        <v>2011</v>
      </c>
      <c r="AV994">
        <v>77</v>
      </c>
      <c r="AW994">
        <v>4</v>
      </c>
      <c r="AX994" t="s">
        <v>74</v>
      </c>
      <c r="AY994" t="s">
        <v>74</v>
      </c>
      <c r="AZ994" t="s">
        <v>74</v>
      </c>
      <c r="BA994" t="s">
        <v>74</v>
      </c>
      <c r="BB994">
        <v>1524</v>
      </c>
      <c r="BC994">
        <v>1527</v>
      </c>
      <c r="BD994" t="s">
        <v>74</v>
      </c>
      <c r="BE994" t="s">
        <v>17735</v>
      </c>
      <c r="BF994" t="str">
        <f>HYPERLINK("http://dx.doi.org/10.1128/AEM.01422-10","http://dx.doi.org/10.1128/AEM.01422-10")</f>
        <v>http://dx.doi.org/10.1128/AEM.01422-10</v>
      </c>
      <c r="BG994" t="s">
        <v>74</v>
      </c>
      <c r="BH994" t="s">
        <v>74</v>
      </c>
      <c r="BI994">
        <v>4</v>
      </c>
      <c r="BJ994" t="s">
        <v>4406</v>
      </c>
      <c r="BK994" t="s">
        <v>100</v>
      </c>
      <c r="BL994" t="s">
        <v>4406</v>
      </c>
      <c r="BM994" t="s">
        <v>17720</v>
      </c>
      <c r="BN994">
        <v>21169427</v>
      </c>
      <c r="BO994" t="s">
        <v>702</v>
      </c>
      <c r="BP994" t="s">
        <v>74</v>
      </c>
      <c r="BQ994" t="s">
        <v>74</v>
      </c>
      <c r="BR994" t="s">
        <v>103</v>
      </c>
      <c r="BS994" t="s">
        <v>17736</v>
      </c>
      <c r="BT994" t="str">
        <f>HYPERLINK("https%3A%2F%2Fwww.webofscience.com%2Fwos%2Fwoscc%2Ffull-record%2FWOS:000287078100047","View Full Record in Web of Science")</f>
        <v>View Full Record in Web of Science</v>
      </c>
    </row>
    <row r="995" spans="1:72" x14ac:dyDescent="0.15">
      <c r="A995" t="s">
        <v>72</v>
      </c>
      <c r="B995" t="s">
        <v>17737</v>
      </c>
      <c r="C995" t="s">
        <v>74</v>
      </c>
      <c r="D995" t="s">
        <v>74</v>
      </c>
      <c r="E995" t="s">
        <v>74</v>
      </c>
      <c r="F995" t="s">
        <v>17738</v>
      </c>
      <c r="G995" t="s">
        <v>74</v>
      </c>
      <c r="H995" t="s">
        <v>74</v>
      </c>
      <c r="I995" t="s">
        <v>17739</v>
      </c>
      <c r="J995" t="s">
        <v>17740</v>
      </c>
      <c r="K995" t="s">
        <v>74</v>
      </c>
      <c r="L995" t="s">
        <v>74</v>
      </c>
      <c r="M995" t="s">
        <v>17741</v>
      </c>
      <c r="N995" t="s">
        <v>79</v>
      </c>
      <c r="O995" t="s">
        <v>74</v>
      </c>
      <c r="P995" t="s">
        <v>74</v>
      </c>
      <c r="Q995" t="s">
        <v>74</v>
      </c>
      <c r="R995" t="s">
        <v>74</v>
      </c>
      <c r="S995" t="s">
        <v>74</v>
      </c>
      <c r="T995" t="s">
        <v>17742</v>
      </c>
      <c r="U995" t="s">
        <v>17743</v>
      </c>
      <c r="V995" t="s">
        <v>17744</v>
      </c>
      <c r="W995" t="s">
        <v>17745</v>
      </c>
      <c r="X995" t="s">
        <v>17746</v>
      </c>
      <c r="Y995" t="s">
        <v>17747</v>
      </c>
      <c r="Z995" t="s">
        <v>74</v>
      </c>
      <c r="AA995" t="s">
        <v>17748</v>
      </c>
      <c r="AB995" t="s">
        <v>17749</v>
      </c>
      <c r="AC995" t="s">
        <v>74</v>
      </c>
      <c r="AD995" t="s">
        <v>74</v>
      </c>
      <c r="AE995" t="s">
        <v>74</v>
      </c>
      <c r="AF995" t="s">
        <v>74</v>
      </c>
      <c r="AG995">
        <v>20</v>
      </c>
      <c r="AH995">
        <v>0</v>
      </c>
      <c r="AI995">
        <v>0</v>
      </c>
      <c r="AJ995">
        <v>0</v>
      </c>
      <c r="AK995">
        <v>18</v>
      </c>
      <c r="AL995" t="s">
        <v>17750</v>
      </c>
      <c r="AM995" t="s">
        <v>15280</v>
      </c>
      <c r="AN995" t="s">
        <v>17751</v>
      </c>
      <c r="AO995" t="s">
        <v>17752</v>
      </c>
      <c r="AP995" t="s">
        <v>74</v>
      </c>
      <c r="AQ995" t="s">
        <v>74</v>
      </c>
      <c r="AR995" t="s">
        <v>17740</v>
      </c>
      <c r="AS995" t="s">
        <v>17753</v>
      </c>
      <c r="AT995" t="s">
        <v>17319</v>
      </c>
      <c r="AU995">
        <v>2011</v>
      </c>
      <c r="AV995">
        <v>60</v>
      </c>
      <c r="AW995">
        <v>2</v>
      </c>
      <c r="AX995" t="s">
        <v>74</v>
      </c>
      <c r="AY995" t="s">
        <v>74</v>
      </c>
      <c r="AZ995" t="s">
        <v>74</v>
      </c>
      <c r="BA995" t="s">
        <v>74</v>
      </c>
      <c r="BB995">
        <v>179</v>
      </c>
      <c r="BC995">
        <v>190</v>
      </c>
      <c r="BD995" t="s">
        <v>74</v>
      </c>
      <c r="BE995" t="s">
        <v>17754</v>
      </c>
      <c r="BF995" t="str">
        <f>HYPERLINK("http://dx.doi.org/10.2116/bunsekikagaku.60.179","http://dx.doi.org/10.2116/bunsekikagaku.60.179")</f>
        <v>http://dx.doi.org/10.2116/bunsekikagaku.60.179</v>
      </c>
      <c r="BG995" t="s">
        <v>74</v>
      </c>
      <c r="BH995" t="s">
        <v>74</v>
      </c>
      <c r="BI995">
        <v>12</v>
      </c>
      <c r="BJ995" t="s">
        <v>17755</v>
      </c>
      <c r="BK995" t="s">
        <v>100</v>
      </c>
      <c r="BL995" t="s">
        <v>6691</v>
      </c>
      <c r="BM995" t="s">
        <v>17756</v>
      </c>
      <c r="BN995" t="s">
        <v>74</v>
      </c>
      <c r="BO995" t="s">
        <v>152</v>
      </c>
      <c r="BP995" t="s">
        <v>74</v>
      </c>
      <c r="BQ995" t="s">
        <v>74</v>
      </c>
      <c r="BR995" t="s">
        <v>103</v>
      </c>
      <c r="BS995" t="s">
        <v>17757</v>
      </c>
      <c r="BT995" t="str">
        <f>HYPERLINK("https%3A%2F%2Fwww.webofscience.com%2Fwos%2Fwoscc%2Ffull-record%2FWOS:000287822200011","View Full Record in Web of Science")</f>
        <v>View Full Record in Web of Science</v>
      </c>
    </row>
    <row r="996" spans="1:72" x14ac:dyDescent="0.15">
      <c r="A996" t="s">
        <v>72</v>
      </c>
      <c r="B996" t="s">
        <v>17758</v>
      </c>
      <c r="C996" t="s">
        <v>74</v>
      </c>
      <c r="D996" t="s">
        <v>74</v>
      </c>
      <c r="E996" t="s">
        <v>74</v>
      </c>
      <c r="F996" t="s">
        <v>17759</v>
      </c>
      <c r="G996" t="s">
        <v>74</v>
      </c>
      <c r="H996" t="s">
        <v>74</v>
      </c>
      <c r="I996" t="s">
        <v>17760</v>
      </c>
      <c r="J996" t="s">
        <v>2229</v>
      </c>
      <c r="K996" t="s">
        <v>74</v>
      </c>
      <c r="L996" t="s">
        <v>74</v>
      </c>
      <c r="M996" t="s">
        <v>78</v>
      </c>
      <c r="N996" t="s">
        <v>79</v>
      </c>
      <c r="O996" t="s">
        <v>74</v>
      </c>
      <c r="P996" t="s">
        <v>74</v>
      </c>
      <c r="Q996" t="s">
        <v>74</v>
      </c>
      <c r="R996" t="s">
        <v>74</v>
      </c>
      <c r="S996" t="s">
        <v>74</v>
      </c>
      <c r="T996" t="s">
        <v>17761</v>
      </c>
      <c r="U996" t="s">
        <v>17762</v>
      </c>
      <c r="V996" t="s">
        <v>17763</v>
      </c>
      <c r="W996" t="s">
        <v>17764</v>
      </c>
      <c r="X996" t="s">
        <v>17765</v>
      </c>
      <c r="Y996" t="s">
        <v>17766</v>
      </c>
      <c r="Z996" t="s">
        <v>17767</v>
      </c>
      <c r="AA996" t="s">
        <v>17768</v>
      </c>
      <c r="AB996" t="s">
        <v>17769</v>
      </c>
      <c r="AC996" t="s">
        <v>17770</v>
      </c>
      <c r="AD996" t="s">
        <v>17771</v>
      </c>
      <c r="AE996" t="s">
        <v>17772</v>
      </c>
      <c r="AF996" t="s">
        <v>74</v>
      </c>
      <c r="AG996">
        <v>57</v>
      </c>
      <c r="AH996">
        <v>46</v>
      </c>
      <c r="AI996">
        <v>51</v>
      </c>
      <c r="AJ996">
        <v>3</v>
      </c>
      <c r="AK996">
        <v>25</v>
      </c>
      <c r="AL996" t="s">
        <v>308</v>
      </c>
      <c r="AM996" t="s">
        <v>309</v>
      </c>
      <c r="AN996" t="s">
        <v>310</v>
      </c>
      <c r="AO996" t="s">
        <v>2242</v>
      </c>
      <c r="AP996" t="s">
        <v>2243</v>
      </c>
      <c r="AQ996" t="s">
        <v>74</v>
      </c>
      <c r="AR996" t="s">
        <v>2244</v>
      </c>
      <c r="AS996" t="s">
        <v>2245</v>
      </c>
      <c r="AT996" t="s">
        <v>17280</v>
      </c>
      <c r="AU996">
        <v>2011</v>
      </c>
      <c r="AV996">
        <v>302</v>
      </c>
      <c r="AW996" t="s">
        <v>2154</v>
      </c>
      <c r="AX996" t="s">
        <v>74</v>
      </c>
      <c r="AY996" t="s">
        <v>74</v>
      </c>
      <c r="AZ996" t="s">
        <v>74</v>
      </c>
      <c r="BA996" t="s">
        <v>74</v>
      </c>
      <c r="BB996">
        <v>154</v>
      </c>
      <c r="BC996">
        <v>162</v>
      </c>
      <c r="BD996" t="s">
        <v>74</v>
      </c>
      <c r="BE996" t="s">
        <v>17773</v>
      </c>
      <c r="BF996" t="str">
        <f>HYPERLINK("http://dx.doi.org/10.1016/j.epsl.2010.12.007","http://dx.doi.org/10.1016/j.epsl.2010.12.007")</f>
        <v>http://dx.doi.org/10.1016/j.epsl.2010.12.007</v>
      </c>
      <c r="BG996" t="s">
        <v>74</v>
      </c>
      <c r="BH996" t="s">
        <v>74</v>
      </c>
      <c r="BI996">
        <v>9</v>
      </c>
      <c r="BJ996" t="s">
        <v>488</v>
      </c>
      <c r="BK996" t="s">
        <v>100</v>
      </c>
      <c r="BL996" t="s">
        <v>488</v>
      </c>
      <c r="BM996" t="s">
        <v>17282</v>
      </c>
      <c r="BN996" t="s">
        <v>74</v>
      </c>
      <c r="BO996" t="s">
        <v>7561</v>
      </c>
      <c r="BP996" t="s">
        <v>74</v>
      </c>
      <c r="BQ996" t="s">
        <v>74</v>
      </c>
      <c r="BR996" t="s">
        <v>103</v>
      </c>
      <c r="BS996" t="s">
        <v>17774</v>
      </c>
      <c r="BT996" t="str">
        <f>HYPERLINK("https%3A%2F%2Fwww.webofscience.com%2Fwos%2Fwoscc%2Ffull-record%2FWOS:000287555800014","View Full Record in Web of Science")</f>
        <v>View Full Record in Web of Science</v>
      </c>
    </row>
    <row r="997" spans="1:72" x14ac:dyDescent="0.15">
      <c r="A997" t="s">
        <v>72</v>
      </c>
      <c r="B997" t="s">
        <v>17775</v>
      </c>
      <c r="C997" t="s">
        <v>74</v>
      </c>
      <c r="D997" t="s">
        <v>74</v>
      </c>
      <c r="E997" t="s">
        <v>74</v>
      </c>
      <c r="F997" t="s">
        <v>17776</v>
      </c>
      <c r="G997" t="s">
        <v>74</v>
      </c>
      <c r="H997" t="s">
        <v>74</v>
      </c>
      <c r="I997" t="s">
        <v>17777</v>
      </c>
      <c r="J997" t="s">
        <v>2229</v>
      </c>
      <c r="K997" t="s">
        <v>74</v>
      </c>
      <c r="L997" t="s">
        <v>74</v>
      </c>
      <c r="M997" t="s">
        <v>78</v>
      </c>
      <c r="N997" t="s">
        <v>79</v>
      </c>
      <c r="O997" t="s">
        <v>74</v>
      </c>
      <c r="P997" t="s">
        <v>74</v>
      </c>
      <c r="Q997" t="s">
        <v>74</v>
      </c>
      <c r="R997" t="s">
        <v>74</v>
      </c>
      <c r="S997" t="s">
        <v>74</v>
      </c>
      <c r="T997" t="s">
        <v>17778</v>
      </c>
      <c r="U997" t="s">
        <v>17779</v>
      </c>
      <c r="V997" t="s">
        <v>17780</v>
      </c>
      <c r="W997" t="s">
        <v>17781</v>
      </c>
      <c r="X997" t="s">
        <v>17782</v>
      </c>
      <c r="Y997" t="s">
        <v>17783</v>
      </c>
      <c r="Z997" t="s">
        <v>17784</v>
      </c>
      <c r="AA997" t="s">
        <v>17785</v>
      </c>
      <c r="AB997" t="s">
        <v>17786</v>
      </c>
      <c r="AC997" t="s">
        <v>74</v>
      </c>
      <c r="AD997" t="s">
        <v>74</v>
      </c>
      <c r="AE997" t="s">
        <v>74</v>
      </c>
      <c r="AF997" t="s">
        <v>74</v>
      </c>
      <c r="AG997">
        <v>72</v>
      </c>
      <c r="AH997">
        <v>26</v>
      </c>
      <c r="AI997">
        <v>30</v>
      </c>
      <c r="AJ997">
        <v>1</v>
      </c>
      <c r="AK997">
        <v>37</v>
      </c>
      <c r="AL997" t="s">
        <v>308</v>
      </c>
      <c r="AM997" t="s">
        <v>309</v>
      </c>
      <c r="AN997" t="s">
        <v>310</v>
      </c>
      <c r="AO997" t="s">
        <v>2242</v>
      </c>
      <c r="AP997" t="s">
        <v>2243</v>
      </c>
      <c r="AQ997" t="s">
        <v>74</v>
      </c>
      <c r="AR997" t="s">
        <v>2244</v>
      </c>
      <c r="AS997" t="s">
        <v>2245</v>
      </c>
      <c r="AT997" t="s">
        <v>17280</v>
      </c>
      <c r="AU997">
        <v>2011</v>
      </c>
      <c r="AV997">
        <v>302</v>
      </c>
      <c r="AW997" t="s">
        <v>315</v>
      </c>
      <c r="AX997" t="s">
        <v>74</v>
      </c>
      <c r="AY997" t="s">
        <v>74</v>
      </c>
      <c r="AZ997" t="s">
        <v>74</v>
      </c>
      <c r="BA997" t="s">
        <v>74</v>
      </c>
      <c r="BB997">
        <v>337</v>
      </c>
      <c r="BC997">
        <v>348</v>
      </c>
      <c r="BD997" t="s">
        <v>74</v>
      </c>
      <c r="BE997" t="s">
        <v>17787</v>
      </c>
      <c r="BF997" t="str">
        <f>HYPERLINK("http://dx.doi.org/10.1016/j.epsl.2010.12.021","http://dx.doi.org/10.1016/j.epsl.2010.12.021")</f>
        <v>http://dx.doi.org/10.1016/j.epsl.2010.12.021</v>
      </c>
      <c r="BG997" t="s">
        <v>74</v>
      </c>
      <c r="BH997" t="s">
        <v>74</v>
      </c>
      <c r="BI997">
        <v>12</v>
      </c>
      <c r="BJ997" t="s">
        <v>488</v>
      </c>
      <c r="BK997" t="s">
        <v>100</v>
      </c>
      <c r="BL997" t="s">
        <v>488</v>
      </c>
      <c r="BM997" t="s">
        <v>17788</v>
      </c>
      <c r="BN997" t="s">
        <v>74</v>
      </c>
      <c r="BO997" t="s">
        <v>74</v>
      </c>
      <c r="BP997" t="s">
        <v>74</v>
      </c>
      <c r="BQ997" t="s">
        <v>74</v>
      </c>
      <c r="BR997" t="s">
        <v>103</v>
      </c>
      <c r="BS997" t="s">
        <v>17789</v>
      </c>
      <c r="BT997" t="str">
        <f>HYPERLINK("https%3A%2F%2Fwww.webofscience.com%2Fwos%2Fwoscc%2Ffull-record%2FWOS:000287614900008","View Full Record in Web of Science")</f>
        <v>View Full Record in Web of Science</v>
      </c>
    </row>
    <row r="998" spans="1:72" x14ac:dyDescent="0.15">
      <c r="A998" t="s">
        <v>72</v>
      </c>
      <c r="B998" t="s">
        <v>17790</v>
      </c>
      <c r="C998" t="s">
        <v>74</v>
      </c>
      <c r="D998" t="s">
        <v>74</v>
      </c>
      <c r="E998" t="s">
        <v>74</v>
      </c>
      <c r="F998" t="s">
        <v>17791</v>
      </c>
      <c r="G998" t="s">
        <v>74</v>
      </c>
      <c r="H998" t="s">
        <v>74</v>
      </c>
      <c r="I998" t="s">
        <v>17792</v>
      </c>
      <c r="J998" t="s">
        <v>1722</v>
      </c>
      <c r="K998" t="s">
        <v>74</v>
      </c>
      <c r="L998" t="s">
        <v>74</v>
      </c>
      <c r="M998" t="s">
        <v>78</v>
      </c>
      <c r="N998" t="s">
        <v>79</v>
      </c>
      <c r="O998" t="s">
        <v>74</v>
      </c>
      <c r="P998" t="s">
        <v>74</v>
      </c>
      <c r="Q998" t="s">
        <v>74</v>
      </c>
      <c r="R998" t="s">
        <v>74</v>
      </c>
      <c r="S998" t="s">
        <v>74</v>
      </c>
      <c r="T998" t="s">
        <v>74</v>
      </c>
      <c r="U998" t="s">
        <v>17793</v>
      </c>
      <c r="V998" t="s">
        <v>17794</v>
      </c>
      <c r="W998" t="s">
        <v>17795</v>
      </c>
      <c r="X998" t="s">
        <v>17796</v>
      </c>
      <c r="Y998" t="s">
        <v>17797</v>
      </c>
      <c r="Z998" t="s">
        <v>17798</v>
      </c>
      <c r="AA998" t="s">
        <v>17799</v>
      </c>
      <c r="AB998" t="s">
        <v>17800</v>
      </c>
      <c r="AC998" t="s">
        <v>17801</v>
      </c>
      <c r="AD998" t="s">
        <v>17801</v>
      </c>
      <c r="AE998" t="s">
        <v>17802</v>
      </c>
      <c r="AF998" t="s">
        <v>74</v>
      </c>
      <c r="AG998">
        <v>26</v>
      </c>
      <c r="AH998">
        <v>34</v>
      </c>
      <c r="AI998">
        <v>42</v>
      </c>
      <c r="AJ998">
        <v>1</v>
      </c>
      <c r="AK998">
        <v>102</v>
      </c>
      <c r="AL998" t="s">
        <v>216</v>
      </c>
      <c r="AM998" t="s">
        <v>121</v>
      </c>
      <c r="AN998" t="s">
        <v>217</v>
      </c>
      <c r="AO998" t="s">
        <v>1734</v>
      </c>
      <c r="AP998" t="s">
        <v>3588</v>
      </c>
      <c r="AQ998" t="s">
        <v>74</v>
      </c>
      <c r="AR998" t="s">
        <v>1735</v>
      </c>
      <c r="AS998" t="s">
        <v>1736</v>
      </c>
      <c r="AT998" t="s">
        <v>17280</v>
      </c>
      <c r="AU998">
        <v>2011</v>
      </c>
      <c r="AV998">
        <v>45</v>
      </c>
      <c r="AW998">
        <v>3</v>
      </c>
      <c r="AX998" t="s">
        <v>74</v>
      </c>
      <c r="AY998" t="s">
        <v>74</v>
      </c>
      <c r="AZ998" t="s">
        <v>74</v>
      </c>
      <c r="BA998" t="s">
        <v>74</v>
      </c>
      <c r="BB998">
        <v>1061</v>
      </c>
      <c r="BC998">
        <v>1066</v>
      </c>
      <c r="BD998" t="s">
        <v>74</v>
      </c>
      <c r="BE998" t="s">
        <v>17803</v>
      </c>
      <c r="BF998" t="str">
        <f>HYPERLINK("http://dx.doi.org/10.1021/es1022653","http://dx.doi.org/10.1021/es1022653")</f>
        <v>http://dx.doi.org/10.1021/es1022653</v>
      </c>
      <c r="BG998" t="s">
        <v>74</v>
      </c>
      <c r="BH998" t="s">
        <v>74</v>
      </c>
      <c r="BI998">
        <v>6</v>
      </c>
      <c r="BJ998" t="s">
        <v>1739</v>
      </c>
      <c r="BK998" t="s">
        <v>100</v>
      </c>
      <c r="BL998" t="s">
        <v>1740</v>
      </c>
      <c r="BM998" t="s">
        <v>17804</v>
      </c>
      <c r="BN998">
        <v>21194195</v>
      </c>
      <c r="BO998" t="s">
        <v>1025</v>
      </c>
      <c r="BP998" t="s">
        <v>74</v>
      </c>
      <c r="BQ998" t="s">
        <v>74</v>
      </c>
      <c r="BR998" t="s">
        <v>103</v>
      </c>
      <c r="BS998" t="s">
        <v>17805</v>
      </c>
      <c r="BT998" t="str">
        <f>HYPERLINK("https%3A%2F%2Fwww.webofscience.com%2Fwos%2Fwoscc%2Ffull-record%2FWOS:000286577100034","View Full Record in Web of Science")</f>
        <v>View Full Record in Web of Science</v>
      </c>
    </row>
    <row r="999" spans="1:72" x14ac:dyDescent="0.15">
      <c r="A999" t="s">
        <v>72</v>
      </c>
      <c r="B999" t="s">
        <v>17806</v>
      </c>
      <c r="C999" t="s">
        <v>74</v>
      </c>
      <c r="D999" t="s">
        <v>74</v>
      </c>
      <c r="E999" t="s">
        <v>74</v>
      </c>
      <c r="F999" t="s">
        <v>17807</v>
      </c>
      <c r="G999" t="s">
        <v>74</v>
      </c>
      <c r="H999" t="s">
        <v>74</v>
      </c>
      <c r="I999" t="s">
        <v>17808</v>
      </c>
      <c r="J999" t="s">
        <v>17809</v>
      </c>
      <c r="K999" t="s">
        <v>74</v>
      </c>
      <c r="L999" t="s">
        <v>74</v>
      </c>
      <c r="M999" t="s">
        <v>78</v>
      </c>
      <c r="N999" t="s">
        <v>79</v>
      </c>
      <c r="O999" t="s">
        <v>74</v>
      </c>
      <c r="P999" t="s">
        <v>74</v>
      </c>
      <c r="Q999" t="s">
        <v>74</v>
      </c>
      <c r="R999" t="s">
        <v>74</v>
      </c>
      <c r="S999" t="s">
        <v>74</v>
      </c>
      <c r="T999" t="s">
        <v>17810</v>
      </c>
      <c r="U999" t="s">
        <v>17811</v>
      </c>
      <c r="V999" t="s">
        <v>17812</v>
      </c>
      <c r="W999" t="s">
        <v>17813</v>
      </c>
      <c r="X999" t="s">
        <v>17814</v>
      </c>
      <c r="Y999" t="s">
        <v>17815</v>
      </c>
      <c r="Z999" t="s">
        <v>17816</v>
      </c>
      <c r="AA999" t="s">
        <v>17817</v>
      </c>
      <c r="AB999" t="s">
        <v>17818</v>
      </c>
      <c r="AC999" t="s">
        <v>74</v>
      </c>
      <c r="AD999" t="s">
        <v>74</v>
      </c>
      <c r="AE999" t="s">
        <v>74</v>
      </c>
      <c r="AF999" t="s">
        <v>74</v>
      </c>
      <c r="AG999">
        <v>63</v>
      </c>
      <c r="AH999">
        <v>38</v>
      </c>
      <c r="AI999">
        <v>46</v>
      </c>
      <c r="AJ999">
        <v>0</v>
      </c>
      <c r="AK999">
        <v>54</v>
      </c>
      <c r="AL999" t="s">
        <v>926</v>
      </c>
      <c r="AM999" t="s">
        <v>508</v>
      </c>
      <c r="AN999" t="s">
        <v>927</v>
      </c>
      <c r="AO999" t="s">
        <v>17819</v>
      </c>
      <c r="AP999" t="s">
        <v>17820</v>
      </c>
      <c r="AQ999" t="s">
        <v>74</v>
      </c>
      <c r="AR999" t="s">
        <v>17821</v>
      </c>
      <c r="AS999" t="s">
        <v>17822</v>
      </c>
      <c r="AT999" t="s">
        <v>17319</v>
      </c>
      <c r="AU999">
        <v>2011</v>
      </c>
      <c r="AV999">
        <v>41</v>
      </c>
      <c r="AW999">
        <v>2</v>
      </c>
      <c r="AX999" t="s">
        <v>74</v>
      </c>
      <c r="AY999" t="s">
        <v>74</v>
      </c>
      <c r="AZ999" t="s">
        <v>74</v>
      </c>
      <c r="BA999" t="s">
        <v>74</v>
      </c>
      <c r="BB999">
        <v>109</v>
      </c>
      <c r="BC999">
        <v>117</v>
      </c>
      <c r="BD999" t="s">
        <v>74</v>
      </c>
      <c r="BE999" t="s">
        <v>17823</v>
      </c>
      <c r="BF999" t="str">
        <f>HYPERLINK("http://dx.doi.org/10.1016/j.ibmb.2010.11.002","http://dx.doi.org/10.1016/j.ibmb.2010.11.002")</f>
        <v>http://dx.doi.org/10.1016/j.ibmb.2010.11.002</v>
      </c>
      <c r="BG999" t="s">
        <v>74</v>
      </c>
      <c r="BH999" t="s">
        <v>74</v>
      </c>
      <c r="BI999">
        <v>9</v>
      </c>
      <c r="BJ999" t="s">
        <v>8632</v>
      </c>
      <c r="BK999" t="s">
        <v>100</v>
      </c>
      <c r="BL999" t="s">
        <v>8632</v>
      </c>
      <c r="BM999" t="s">
        <v>17824</v>
      </c>
      <c r="BN999">
        <v>21078390</v>
      </c>
      <c r="BO999" t="s">
        <v>74</v>
      </c>
      <c r="BP999" t="s">
        <v>74</v>
      </c>
      <c r="BQ999" t="s">
        <v>74</v>
      </c>
      <c r="BR999" t="s">
        <v>103</v>
      </c>
      <c r="BS999" t="s">
        <v>17825</v>
      </c>
      <c r="BT999" t="str">
        <f>HYPERLINK("https%3A%2F%2Fwww.webofscience.com%2Fwos%2Fwoscc%2Ffull-record%2FWOS:000287055100004","View Full Record in Web of Science")</f>
        <v>View Full Record in Web of Science</v>
      </c>
    </row>
    <row r="1000" spans="1:72" x14ac:dyDescent="0.15">
      <c r="A1000" t="s">
        <v>72</v>
      </c>
      <c r="B1000" t="s">
        <v>17826</v>
      </c>
      <c r="C1000" t="s">
        <v>74</v>
      </c>
      <c r="D1000" t="s">
        <v>74</v>
      </c>
      <c r="E1000" t="s">
        <v>74</v>
      </c>
      <c r="F1000" t="s">
        <v>17827</v>
      </c>
      <c r="G1000" t="s">
        <v>74</v>
      </c>
      <c r="H1000" t="s">
        <v>74</v>
      </c>
      <c r="I1000" t="s">
        <v>17828</v>
      </c>
      <c r="J1000" t="s">
        <v>17829</v>
      </c>
      <c r="K1000" t="s">
        <v>74</v>
      </c>
      <c r="L1000" t="s">
        <v>74</v>
      </c>
      <c r="M1000" t="s">
        <v>78</v>
      </c>
      <c r="N1000" t="s">
        <v>79</v>
      </c>
      <c r="O1000" t="s">
        <v>74</v>
      </c>
      <c r="P1000" t="s">
        <v>74</v>
      </c>
      <c r="Q1000" t="s">
        <v>74</v>
      </c>
      <c r="R1000" t="s">
        <v>74</v>
      </c>
      <c r="S1000" t="s">
        <v>74</v>
      </c>
      <c r="T1000" t="s">
        <v>17830</v>
      </c>
      <c r="U1000" t="s">
        <v>17831</v>
      </c>
      <c r="V1000" t="s">
        <v>17832</v>
      </c>
      <c r="W1000" t="s">
        <v>17833</v>
      </c>
      <c r="X1000" t="s">
        <v>17834</v>
      </c>
      <c r="Y1000" t="s">
        <v>17835</v>
      </c>
      <c r="Z1000" t="s">
        <v>17836</v>
      </c>
      <c r="AA1000" t="s">
        <v>17837</v>
      </c>
      <c r="AB1000" t="s">
        <v>17838</v>
      </c>
      <c r="AC1000" t="s">
        <v>17839</v>
      </c>
      <c r="AD1000" t="s">
        <v>17840</v>
      </c>
      <c r="AE1000" t="s">
        <v>17841</v>
      </c>
      <c r="AF1000" t="s">
        <v>74</v>
      </c>
      <c r="AG1000">
        <v>60</v>
      </c>
      <c r="AH1000">
        <v>18</v>
      </c>
      <c r="AI1000">
        <v>18</v>
      </c>
      <c r="AJ1000">
        <v>0</v>
      </c>
      <c r="AK1000">
        <v>10</v>
      </c>
      <c r="AL1000" t="s">
        <v>1441</v>
      </c>
      <c r="AM1000" t="s">
        <v>91</v>
      </c>
      <c r="AN1000" t="s">
        <v>1595</v>
      </c>
      <c r="AO1000" t="s">
        <v>17842</v>
      </c>
      <c r="AP1000" t="s">
        <v>17843</v>
      </c>
      <c r="AQ1000" t="s">
        <v>74</v>
      </c>
      <c r="AR1000" t="s">
        <v>17844</v>
      </c>
      <c r="AS1000" t="s">
        <v>17845</v>
      </c>
      <c r="AT1000" t="s">
        <v>17319</v>
      </c>
      <c r="AU1000">
        <v>2011</v>
      </c>
      <c r="AV1000">
        <v>16</v>
      </c>
      <c r="AW1000">
        <v>2</v>
      </c>
      <c r="AX1000" t="s">
        <v>74</v>
      </c>
      <c r="AY1000" t="s">
        <v>74</v>
      </c>
      <c r="AZ1000" t="s">
        <v>74</v>
      </c>
      <c r="BA1000" t="s">
        <v>74</v>
      </c>
      <c r="BB1000">
        <v>299</v>
      </c>
      <c r="BC1000">
        <v>311</v>
      </c>
      <c r="BD1000" t="s">
        <v>74</v>
      </c>
      <c r="BE1000" t="s">
        <v>17846</v>
      </c>
      <c r="BF1000" t="str">
        <f>HYPERLINK("http://dx.doi.org/10.1007/s00775-010-0726-y","http://dx.doi.org/10.1007/s00775-010-0726-y")</f>
        <v>http://dx.doi.org/10.1007/s00775-010-0726-y</v>
      </c>
      <c r="BG1000" t="s">
        <v>74</v>
      </c>
      <c r="BH1000" t="s">
        <v>74</v>
      </c>
      <c r="BI1000">
        <v>13</v>
      </c>
      <c r="BJ1000" t="s">
        <v>17847</v>
      </c>
      <c r="BK1000" t="s">
        <v>100</v>
      </c>
      <c r="BL1000" t="s">
        <v>3927</v>
      </c>
      <c r="BM1000" t="s">
        <v>17848</v>
      </c>
      <c r="BN1000">
        <v>21076847</v>
      </c>
      <c r="BO1000" t="s">
        <v>1025</v>
      </c>
      <c r="BP1000" t="s">
        <v>74</v>
      </c>
      <c r="BQ1000" t="s">
        <v>74</v>
      </c>
      <c r="BR1000" t="s">
        <v>103</v>
      </c>
      <c r="BS1000" t="s">
        <v>17849</v>
      </c>
      <c r="BT1000" t="str">
        <f>HYPERLINK("https%3A%2F%2Fwww.webofscience.com%2Fwos%2Fwoscc%2Ffull-record%2FWOS:000286832200012","View Full Record in Web of Science")</f>
        <v>View Full Record in Web of Science</v>
      </c>
    </row>
    <row r="1001" spans="1:72" x14ac:dyDescent="0.15">
      <c r="A1001" t="s">
        <v>72</v>
      </c>
      <c r="B1001" t="s">
        <v>17850</v>
      </c>
      <c r="C1001" t="s">
        <v>74</v>
      </c>
      <c r="D1001" t="s">
        <v>74</v>
      </c>
      <c r="E1001" t="s">
        <v>74</v>
      </c>
      <c r="F1001" t="s">
        <v>17851</v>
      </c>
      <c r="G1001" t="s">
        <v>74</v>
      </c>
      <c r="H1001" t="s">
        <v>74</v>
      </c>
      <c r="I1001" t="s">
        <v>17852</v>
      </c>
      <c r="J1001" t="s">
        <v>17853</v>
      </c>
      <c r="K1001" t="s">
        <v>74</v>
      </c>
      <c r="L1001" t="s">
        <v>74</v>
      </c>
      <c r="M1001" t="s">
        <v>78</v>
      </c>
      <c r="N1001" t="s">
        <v>79</v>
      </c>
      <c r="O1001" t="s">
        <v>74</v>
      </c>
      <c r="P1001" t="s">
        <v>74</v>
      </c>
      <c r="Q1001" t="s">
        <v>74</v>
      </c>
      <c r="R1001" t="s">
        <v>74</v>
      </c>
      <c r="S1001" t="s">
        <v>74</v>
      </c>
      <c r="T1001" t="s">
        <v>74</v>
      </c>
      <c r="U1001" t="s">
        <v>17854</v>
      </c>
      <c r="V1001" t="s">
        <v>17855</v>
      </c>
      <c r="W1001" t="s">
        <v>17856</v>
      </c>
      <c r="X1001" t="s">
        <v>17857</v>
      </c>
      <c r="Y1001" t="s">
        <v>17858</v>
      </c>
      <c r="Z1001" t="s">
        <v>17859</v>
      </c>
      <c r="AA1001" t="s">
        <v>17860</v>
      </c>
      <c r="AB1001" t="s">
        <v>74</v>
      </c>
      <c r="AC1001" t="s">
        <v>74</v>
      </c>
      <c r="AD1001" t="s">
        <v>74</v>
      </c>
      <c r="AE1001" t="s">
        <v>74</v>
      </c>
      <c r="AF1001" t="s">
        <v>74</v>
      </c>
      <c r="AG1001">
        <v>18</v>
      </c>
      <c r="AH1001">
        <v>2</v>
      </c>
      <c r="AI1001">
        <v>2</v>
      </c>
      <c r="AJ1001">
        <v>0</v>
      </c>
      <c r="AK1001">
        <v>4</v>
      </c>
      <c r="AL1001" t="s">
        <v>1323</v>
      </c>
      <c r="AM1001" t="s">
        <v>1324</v>
      </c>
      <c r="AN1001" t="s">
        <v>1325</v>
      </c>
      <c r="AO1001" t="s">
        <v>17861</v>
      </c>
      <c r="AP1001" t="s">
        <v>17862</v>
      </c>
      <c r="AQ1001" t="s">
        <v>74</v>
      </c>
      <c r="AR1001" t="s">
        <v>17863</v>
      </c>
      <c r="AS1001" t="s">
        <v>17864</v>
      </c>
      <c r="AT1001" t="s">
        <v>17319</v>
      </c>
      <c r="AU1001">
        <v>2011</v>
      </c>
      <c r="AV1001">
        <v>126</v>
      </c>
      <c r="AW1001">
        <v>2</v>
      </c>
      <c r="AX1001" t="s">
        <v>74</v>
      </c>
      <c r="AY1001" t="s">
        <v>74</v>
      </c>
      <c r="AZ1001" t="s">
        <v>74</v>
      </c>
      <c r="BA1001" t="s">
        <v>74</v>
      </c>
      <c r="BB1001">
        <v>187</v>
      </c>
      <c r="BC1001">
        <v>201</v>
      </c>
      <c r="BD1001" t="s">
        <v>74</v>
      </c>
      <c r="BE1001" t="s">
        <v>17865</v>
      </c>
      <c r="BF1001" t="str">
        <f>HYPERLINK("http://dx.doi.org/10.1111/j.1467-9590.2010.00502.x","http://dx.doi.org/10.1111/j.1467-9590.2010.00502.x")</f>
        <v>http://dx.doi.org/10.1111/j.1467-9590.2010.00502.x</v>
      </c>
      <c r="BG1001" t="s">
        <v>74</v>
      </c>
      <c r="BH1001" t="s">
        <v>74</v>
      </c>
      <c r="BI1001">
        <v>15</v>
      </c>
      <c r="BJ1001" t="s">
        <v>12718</v>
      </c>
      <c r="BK1001" t="s">
        <v>100</v>
      </c>
      <c r="BL1001" t="s">
        <v>12719</v>
      </c>
      <c r="BM1001" t="s">
        <v>17866</v>
      </c>
      <c r="BN1001" t="s">
        <v>74</v>
      </c>
      <c r="BO1001" t="s">
        <v>74</v>
      </c>
      <c r="BP1001" t="s">
        <v>74</v>
      </c>
      <c r="BQ1001" t="s">
        <v>74</v>
      </c>
      <c r="BR1001" t="s">
        <v>103</v>
      </c>
      <c r="BS1001" t="s">
        <v>17867</v>
      </c>
      <c r="BT1001" t="str">
        <f>HYPERLINK("https%3A%2F%2Fwww.webofscience.com%2Fwos%2Fwoscc%2Ffull-record%2FWOS:000286942200004","View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2024-07-28T15:24:20Z</dcterms:created>
  <dcterms:modified xsi:type="dcterms:W3CDTF">2024-07-28T15:24:20Z</dcterms:modified>
</cp:coreProperties>
</file>